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t53c201\public\Dept\総務部\税務課\＜共有＞\■課税担当■\05 不動産取得税\70 評価業務外部委託\R06\01_プロポーザル\01_調達\04調達広告\調達公告（施行用）\"/>
    </mc:Choice>
  </mc:AlternateContent>
  <xr:revisionPtr revIDLastSave="0" documentId="13_ncr:1_{969EF664-11BC-43DC-AB2F-E606AB44FD40}" xr6:coauthVersionLast="47" xr6:coauthVersionMax="47" xr10:uidLastSave="{00000000-0000-0000-0000-000000000000}"/>
  <bookViews>
    <workbookView xWindow="28680" yWindow="-120" windowWidth="29040" windowHeight="15840" tabRatio="917" firstSheet="2" activeTab="2" xr2:uid="{00000000-000D-0000-FFFF-FFFF00000000}"/>
  </bookViews>
  <sheets>
    <sheet name="コード表" sheetId="3" state="hidden" r:id="rId1"/>
    <sheet name="住所コードＤＢ" sheetId="4" state="hidden" r:id="rId2"/>
    <sheet name="調書" sheetId="5" r:id="rId3"/>
    <sheet name="見積拾" sheetId="6" r:id="rId4"/>
    <sheet name="基礎・屋根・外壁" sheetId="7" r:id="rId5"/>
    <sheet name="内壁・間仕切" sheetId="8" r:id="rId6"/>
    <sheet name="床・天井" sheetId="9" r:id="rId7"/>
    <sheet name="建具" sheetId="10" r:id="rId8"/>
    <sheet name="建具の明細" sheetId="11" r:id="rId9"/>
    <sheet name="設備" sheetId="12" r:id="rId10"/>
    <sheet name="設備(個別)" sheetId="13" r:id="rId11"/>
    <sheet name="DB" sheetId="14" state="hidden" r:id="rId12"/>
  </sheets>
  <externalReferences>
    <externalReference r:id="rId13"/>
    <externalReference r:id="rId14"/>
  </externalReferences>
  <definedNames>
    <definedName name="_xlnm._FilterDatabase" localSheetId="4" hidden="1">基礎・屋根・外壁!$AH$1:$AH$257</definedName>
    <definedName name="_xlnm._FilterDatabase" localSheetId="7" hidden="1">建具!$O$5:$O$187</definedName>
    <definedName name="_xlnm._FilterDatabase" localSheetId="8" hidden="1">建具の明細!$N$2:$N$73</definedName>
    <definedName name="_xlnm._FilterDatabase" localSheetId="3" hidden="1">見積拾!$V$2:$V$137</definedName>
    <definedName name="_xlnm._FilterDatabase" localSheetId="6" hidden="1">床・天井!$X$2:$X$93</definedName>
    <definedName name="_xlnm._FilterDatabase" localSheetId="9" hidden="1">設備!$U$1:$U$547</definedName>
    <definedName name="_xlnm._FilterDatabase" localSheetId="10" hidden="1">'設備(個別)'!$Y$1:$Y$130</definedName>
    <definedName name="_xlnm._FilterDatabase" localSheetId="2" hidden="1">調書!$BB$1:$BB$629</definedName>
    <definedName name="_xlnm._FilterDatabase" localSheetId="5" hidden="1">内壁・間仕切!$AC$2:$AC$225</definedName>
    <definedName name="◆01">設備!$C$13</definedName>
    <definedName name="◆02">設備!$C$36</definedName>
    <definedName name="◆03">設備!$C$43</definedName>
    <definedName name="◆04">設備!$C$51</definedName>
    <definedName name="◆05">設備!$C$54</definedName>
    <definedName name="◆06">設備!$C$59</definedName>
    <definedName name="◆07">設備!$C$67</definedName>
    <definedName name="◆08">設備!$C$77</definedName>
    <definedName name="◆09">設備!$C$80</definedName>
    <definedName name="◆10">設備!$I$3</definedName>
    <definedName name="◆11">設備!$C$116</definedName>
    <definedName name="◆12">設備!$C$108</definedName>
    <definedName name="◆13">設備!$C$111</definedName>
    <definedName name="◆14">設備!$C$122</definedName>
    <definedName name="◆15">設備!$C$134</definedName>
    <definedName name="◆16">設備!$C$137</definedName>
    <definedName name="◆17">設備!$C$146</definedName>
    <definedName name="◆18">設備!$C$154</definedName>
    <definedName name="◆19">設備!$C$169</definedName>
    <definedName name="◆20">設備!$C$191</definedName>
    <definedName name="◆21">設備!$C$214</definedName>
    <definedName name="◆22">設備!$C$240</definedName>
    <definedName name="◆23">設備!$C$245</definedName>
    <definedName name="◆24">設備!$C$250</definedName>
    <definedName name="◆25">設備!$D$272</definedName>
    <definedName name="◆26">設備!$D$296</definedName>
    <definedName name="◆27">設備!$C$356</definedName>
    <definedName name="◆28">設備!$D$359</definedName>
    <definedName name="◆29">設備!$D$365</definedName>
    <definedName name="◆30">設備!$D$371</definedName>
    <definedName name="◆31">設備!$D$378</definedName>
    <definedName name="◆32">設備!$D$380</definedName>
    <definedName name="◆33">設備!$D$387</definedName>
    <definedName name="◆34">設備!$C$392</definedName>
    <definedName name="◆35">設備!$C$409</definedName>
    <definedName name="◆36">設備!$C$423</definedName>
    <definedName name="◆37">設備!$C$438</definedName>
    <definedName name="◆38">設備!$C$511</definedName>
    <definedName name="◆39">設備!$C$518</definedName>
    <definedName name="①">調書!$B$19</definedName>
    <definedName name="①建">建具!$B$10</definedName>
    <definedName name="①見">見積拾!$B$6</definedName>
    <definedName name="②">調書!$B$83</definedName>
    <definedName name="②建">建具!$B$35</definedName>
    <definedName name="②見">見積拾!$B$33</definedName>
    <definedName name="③">調書!$B$128</definedName>
    <definedName name="③建">建具!$B$53</definedName>
    <definedName name="③見">見積拾!$B$49</definedName>
    <definedName name="④">調書!$B$163</definedName>
    <definedName name="④建">建具!$B$71</definedName>
    <definedName name="④見">見積拾!$B$65</definedName>
    <definedName name="⑤">調書!$B$191</definedName>
    <definedName name="⑤建">建具!$B$110</definedName>
    <definedName name="⑤見">見積拾!$B$78</definedName>
    <definedName name="⑥">調書!$B$221</definedName>
    <definedName name="⑥建">建具!$B$133</definedName>
    <definedName name="⑥見">見積拾!$B$95</definedName>
    <definedName name="⑦">調書!$B$250</definedName>
    <definedName name="⑦建">建具!$B$155</definedName>
    <definedName name="⑦見">見積拾!$B$112</definedName>
    <definedName name="⑧">調書!$B$279</definedName>
    <definedName name="⑧建">建具!$A$155</definedName>
    <definedName name="⑧見">見積拾!$B$125</definedName>
    <definedName name="⑨">調書!$B$310</definedName>
    <definedName name="⑨建">建具!$B$168</definedName>
    <definedName name="⑩">調書!$B$363</definedName>
    <definedName name="⑪">調書!$B$427</definedName>
    <definedName name="⑫">調書!$B$488</definedName>
    <definedName name="⑬">調書!$B$548</definedName>
    <definedName name="⑭">調書!$B$606</definedName>
    <definedName name="⑮">調書!$B$610</definedName>
    <definedName name="⑯">調書!$B$615</definedName>
    <definedName name="ＥＶ規格">DB!$B$461:$AY$465</definedName>
    <definedName name="ＥＶ高速特注">DB!$B$475:$AY$479</definedName>
    <definedName name="ＥＶ特注">DB!$B$468:$AY$472</definedName>
    <definedName name="ＨＵＢ">DB!$B$209:$AY$213</definedName>
    <definedName name="ＬＧＳ名称">調書!$F$51:$F$52</definedName>
    <definedName name="_xlnm.Print_Area" localSheetId="11">DB!$A$1:$BZ$581</definedName>
    <definedName name="_xlnm.Print_Area" localSheetId="4">基礎・屋根・外壁!$A$2:$AF$247</definedName>
    <definedName name="_xlnm.Print_Area" localSheetId="7">建具!$B$5:$M$187</definedName>
    <definedName name="_xlnm.Print_Area" localSheetId="8">建具の明細!$A$2:$L$73</definedName>
    <definedName name="_xlnm.Print_Area" localSheetId="3">見積拾!$B$2:$T$137</definedName>
    <definedName name="_xlnm.Print_Area" localSheetId="6">床・天井!$A$2:$V$91</definedName>
    <definedName name="_xlnm.Print_Area" localSheetId="9">設備!$B$1:$S$547</definedName>
    <definedName name="_xlnm.Print_Area" localSheetId="10">'設備(個別)'!$A$2:$W$130</definedName>
    <definedName name="_xlnm.Print_Area" localSheetId="2">調書!$B$2:$AZ$628</definedName>
    <definedName name="_xlnm.Print_Area" localSheetId="5">内壁・間仕切!$A$2:$AA$207</definedName>
    <definedName name="_xlnm.Print_Titles" localSheetId="6">床・天井!$4:$5</definedName>
    <definedName name="ＲＣＣＢ名称" localSheetId="3">調書!$F$58:$F$67</definedName>
    <definedName name="ＲＣＣＢ名称">調書!$F$58:$F$67</definedName>
    <definedName name="Ｓ１０００型">DB!$B$531:$AY$535</definedName>
    <definedName name="Ｓ６００型">DB!$B$524:$AY$528</definedName>
    <definedName name="ＳＫ">DB!$B$265:$AY$269</definedName>
    <definedName name="Ｓ名称" localSheetId="3">調書!$F$19:$F$26</definedName>
    <definedName name="Ｓ名称">調書!$F$19:$F$26</definedName>
    <definedName name="ＴＶ局所">DB!$B$76:$AY$80</definedName>
    <definedName name="ＴＶ総体">DB!$B$69:$AY$73</definedName>
    <definedName name="ＵＢ">DB!$B$202:$AY$206</definedName>
    <definedName name="ＵＳ">DB!$B$223:$AY$227</definedName>
    <definedName name="Z_6CFAA980_29D1_42A9_8342_BF14629EBE3B_.wvu.FilterData" localSheetId="4" hidden="1">基礎・屋根・外壁!$AH$1:$AH$257</definedName>
    <definedName name="Z_6CFAA980_29D1_42A9_8342_BF14629EBE3B_.wvu.FilterData" localSheetId="7" hidden="1">建具!$O$5:$O$187</definedName>
    <definedName name="Z_6CFAA980_29D1_42A9_8342_BF14629EBE3B_.wvu.FilterData" localSheetId="8" hidden="1">建具の明細!$N$2:$N$73</definedName>
    <definedName name="Z_6CFAA980_29D1_42A9_8342_BF14629EBE3B_.wvu.FilterData" localSheetId="3" hidden="1">見積拾!$V$2:$V$138</definedName>
    <definedName name="Z_6CFAA980_29D1_42A9_8342_BF14629EBE3B_.wvu.FilterData" localSheetId="6" hidden="1">床・天井!$X$2:$X$93</definedName>
    <definedName name="Z_6CFAA980_29D1_42A9_8342_BF14629EBE3B_.wvu.FilterData" localSheetId="9" hidden="1">設備!$U$1:$U$1078</definedName>
    <definedName name="Z_6CFAA980_29D1_42A9_8342_BF14629EBE3B_.wvu.FilterData" localSheetId="10" hidden="1">'設備(個別)'!$Y$1:$Y$130</definedName>
    <definedName name="Z_6CFAA980_29D1_42A9_8342_BF14629EBE3B_.wvu.FilterData" localSheetId="2" hidden="1">調書!$BB$1:$BB$637</definedName>
    <definedName name="Z_6CFAA980_29D1_42A9_8342_BF14629EBE3B_.wvu.FilterData" localSheetId="5" hidden="1">内壁・間仕切!$AC$2:$AC$225</definedName>
    <definedName name="Z_6CFAA980_29D1_42A9_8342_BF14629EBE3B_.wvu.PrintArea" localSheetId="11" hidden="1">DB!$A$1:$BZ$581</definedName>
    <definedName name="Z_6CFAA980_29D1_42A9_8342_BF14629EBE3B_.wvu.PrintArea" localSheetId="4" hidden="1">基礎・屋根・外壁!$A$2:$AF$247</definedName>
    <definedName name="Z_6CFAA980_29D1_42A9_8342_BF14629EBE3B_.wvu.PrintArea" localSheetId="7" hidden="1">建具!$B$5:$M$187</definedName>
    <definedName name="Z_6CFAA980_29D1_42A9_8342_BF14629EBE3B_.wvu.PrintArea" localSheetId="8" hidden="1">建具の明細!$A$2:$L$73</definedName>
    <definedName name="Z_6CFAA980_29D1_42A9_8342_BF14629EBE3B_.wvu.PrintArea" localSheetId="3" hidden="1">見積拾!$B$2:$T$137</definedName>
    <definedName name="Z_6CFAA980_29D1_42A9_8342_BF14629EBE3B_.wvu.PrintArea" localSheetId="6" hidden="1">床・天井!$A$2:$V$91</definedName>
    <definedName name="Z_6CFAA980_29D1_42A9_8342_BF14629EBE3B_.wvu.PrintArea" localSheetId="9" hidden="1">設備!$B$1:$S$547</definedName>
    <definedName name="Z_6CFAA980_29D1_42A9_8342_BF14629EBE3B_.wvu.PrintArea" localSheetId="10" hidden="1">'設備(個別)'!$A$2:$W$130</definedName>
    <definedName name="Z_6CFAA980_29D1_42A9_8342_BF14629EBE3B_.wvu.PrintArea" localSheetId="2" hidden="1">調書!$B$2:$AZ$628</definedName>
    <definedName name="Z_6CFAA980_29D1_42A9_8342_BF14629EBE3B_.wvu.PrintArea" localSheetId="5" hidden="1">内壁・間仕切!$A$2:$AA$207</definedName>
    <definedName name="Z_6CFAA980_29D1_42A9_8342_BF14629EBE3B_.wvu.PrintTitles" localSheetId="6" hidden="1">床・天井!$4:$5</definedName>
    <definedName name="インターホン">DB!$B$41:$AY$45</definedName>
    <definedName name="ガス">DB!$B$272:$AY$276</definedName>
    <definedName name="ゴンドラ">DB!$B$538:$AY$542</definedName>
    <definedName name="ｻｯｼ">建具!$B$11:$M$34</definedName>
    <definedName name="スプリンクラー">DB!$B$440:$AY$444</definedName>
    <definedName name="ドアホン">DB!$B$46:$AY$52</definedName>
    <definedName name="ドレンチャー">DB!$B$419:$AY$423</definedName>
    <definedName name="ベンチレーター">DB!$B$384:$AY$388</definedName>
    <definedName name="ホームＥＶ">DB!$B$482:$AY$486</definedName>
    <definedName name="マルチ">DB!$B$300:$AS$304</definedName>
    <definedName name="ミニＳＫ">DB!$B$258:$AY$262</definedName>
    <definedName name="メーカー">[1]調書!$E$22:$Y$116</definedName>
    <definedName name="メーカー名称">[1]調書!$E$22:$E$116</definedName>
    <definedName name="レンジフード">DB!$B$363:$AY$367</definedName>
    <definedName name="一般機械排煙">DB!$B$370:$AY$374</definedName>
    <definedName name="衛生">DB!$B$139:$AY$143</definedName>
    <definedName name="延床面積">[1]調書!$AD$8</definedName>
    <definedName name="屋根">調書!$F$548:$AL$585</definedName>
    <definedName name="屋根構造">調書!$F$191:$AL$214</definedName>
    <definedName name="屋根構造名称">調書!$F$191:$F$214</definedName>
    <definedName name="屋根仕上名称">[1]調書!$G$275:$G$289</definedName>
    <definedName name="屋根断熱材名称">[1]調書!$G$290:$G$293</definedName>
    <definedName name="屋根名称">調書!$F$548:$F$585</definedName>
    <definedName name="温風暖房">DB!$B$321:$AS$325</definedName>
    <definedName name="化粧台">DB!$B$181:$AY$185</definedName>
    <definedName name="仮設工事">DB!$C$603:$O$611</definedName>
    <definedName name="火災報知">DB!$B$391:$AY$395</definedName>
    <definedName name="階数">[1]調書!$AC$9</definedName>
    <definedName name="階段の程度">[1]調書!$V$332:$Y$335</definedName>
    <definedName name="階段の程度名称">[1]調書!$V$332:$V$335</definedName>
    <definedName name="外骨断熱材">[1]調書!$G$165:$G$167</definedName>
    <definedName name="外周壁">調書!$F$250:$AL$272</definedName>
    <definedName name="外周壁名称">調書!$F$250:$F$272</definedName>
    <definedName name="外部">調書!$F$310:$AL$349</definedName>
    <definedName name="外部開口">建具の明細!$A$6:$A$27</definedName>
    <definedName name="外部開口面積">建具の明細!$I$6:$I$27</definedName>
    <definedName name="外部仕上名称">[1]調書!$E$187:$E$192</definedName>
    <definedName name="外部名称">調書!$F$310:$F$349</definedName>
    <definedName name="拡声器">DB!$B$55:$AY$59</definedName>
    <definedName name="換気一戸建">DB!$B$342:$O$346</definedName>
    <definedName name="換気集合形式">DB!$B$349:$O$353</definedName>
    <definedName name="換気設備">DB!$B$335:$AY$339</definedName>
    <definedName name="換気扇">DB!$B$356:$AY$360</definedName>
    <definedName name="監視カメラ">DB!$B$62:$AY$66</definedName>
    <definedName name="間仕切">調書!$F$279:$AL$303</definedName>
    <definedName name="間仕切断熱材">[1]調書!$G$178:$G$180</definedName>
    <definedName name="間仕切名称">調書!$F$279:$F$303</definedName>
    <definedName name="基礎">[1]DB!$C$14:$S$15</definedName>
    <definedName name="基礎延長名称">調書!$G$143</definedName>
    <definedName name="基礎工事">DB!$C$617:$AC$623</definedName>
    <definedName name="気送管">DB!$B$454:$AY$458</definedName>
    <definedName name="給水">DB!$B$83:$AU$87</definedName>
    <definedName name="給水小">DB!$B$83:$AU$87</definedName>
    <definedName name="給水大">DB!$B$90:$AU$94</definedName>
    <definedName name="給湯管">DB!$B$251:$AY$255</definedName>
    <definedName name="給湯器">DB!$B$237:$AY$241</definedName>
    <definedName name="給湯貯湯式">DB!$B$244:$AY$248</definedName>
    <definedName name="軽量鉄骨名称">[1]DB!$D$6:$E$6</definedName>
    <definedName name="建具" localSheetId="0">[2]建具!$B$7:$F$142</definedName>
    <definedName name="建具">建具!$B$8:$K$115</definedName>
    <definedName name="建具の程度">[1]調書!$U$301:$Y$304</definedName>
    <definedName name="建具の程度名称">[1]調書!$U$302:$U$304</definedName>
    <definedName name="建具形式">[1]調書!$G$302:$R$303</definedName>
    <definedName name="建具総面積">[1]建具!$H$56</definedName>
    <definedName name="建具名称" localSheetId="0">[2]建具!$B$7:$B$142</definedName>
    <definedName name="建具名称">建具!$B$8:$B$115</definedName>
    <definedName name="個別">DB!$B$300:$AD$304</definedName>
    <definedName name="呼出">DB!$B$27:$AY$31</definedName>
    <definedName name="構造コード">[2]DB!$G$591:$I$601</definedName>
    <definedName name="構造名称">DB!$B$592:$B$597</definedName>
    <definedName name="根伐土量名称">調書!$G$134</definedName>
    <definedName name="使用口">DB!$B$139:$AY$143</definedName>
    <definedName name="施工の程度">[1]DB!$D$37:$U$39</definedName>
    <definedName name="施工の程度名称">[1]DB!$D$37:$D$39</definedName>
    <definedName name="施工量の多少">[1]DB!$D$34:$U$36</definedName>
    <definedName name="施工量の多少名称">[1]DB!$D$34:$D$36</definedName>
    <definedName name="自動車">DB!$B$34:$AY$38</definedName>
    <definedName name="自動車電動ＥＶ">DB!$B$503:$AY$507</definedName>
    <definedName name="自動車油圧ＥＶ">DB!$B$510:$AY$514</definedName>
    <definedName name="主体不明確補正" localSheetId="0">[2]DB!$C$562:$BZ$579</definedName>
    <definedName name="主体不明確補正">DB!$C$555:$BZ$568</definedName>
    <definedName name="主体明確補正" localSheetId="0">[2]DB!$C$583:$AQ$588</definedName>
    <definedName name="主体明確補正">DB!$C$572:$BZ$576</definedName>
    <definedName name="取得事由コード">[2]DB!$K$591:$L$595</definedName>
    <definedName name="受水槽">DB!$B$97:$AU$101</definedName>
    <definedName name="住宅建具総合">DB!$B$547:$X$549</definedName>
    <definedName name="小荷物専用昇降機">DB!$B$517:$AA$521</definedName>
    <definedName name="小便器">DB!$B$160:$AY$164</definedName>
    <definedName name="床">調書!$F$427:$AL$474</definedName>
    <definedName name="床構造">調書!$F$221:$AL$243</definedName>
    <definedName name="床構造名称">調書!$F$221:$F$243</definedName>
    <definedName name="床仕上名称">[1]調書!$E$224:$E$242</definedName>
    <definedName name="床断熱材名称">[1]調書!$G$243:$G$246</definedName>
    <definedName name="床暖房">DB!$B$328:$AY$332</definedName>
    <definedName name="床名称">調書!$F$427:$F$474</definedName>
    <definedName name="消火栓">DB!$B$412:$AY$416</definedName>
    <definedName name="硝子名称" localSheetId="0">[2]建具!$B$155:$B$182</definedName>
    <definedName name="硝子名称">建具!$B$133:$B$149</definedName>
    <definedName name="寝台ＥＶ">DB!$B$489:$AY$493</definedName>
    <definedName name="人荷ＥＶ">DB!$B$496:$AY$500</definedName>
    <definedName name="水道直結スプリンクラー">DB!$B$447:$AY$451</definedName>
    <definedName name="洗濯流し">DB!$B$174:$AY$178</definedName>
    <definedName name="洗面器">DB!$B$167:$AY$171</definedName>
    <definedName name="総合集合小">DB!$B$279:$AG$283</definedName>
    <definedName name="総合集合大">DB!$B$286:$AG$290</definedName>
    <definedName name="増圧ポンプ">DB!$B$104:$AY$108</definedName>
    <definedName name="耐火被覆">調書!$F$37:$F$48</definedName>
    <definedName name="大きさ">[1]DB!$D$40:$U$42</definedName>
    <definedName name="大きさ名称">[1]DB!$D$40:$D$42</definedName>
    <definedName name="断熱">調書!$H$350:$AL$356</definedName>
    <definedName name="断熱名称">調書!$H$350:$H$356</definedName>
    <definedName name="中央給湯">DB!$B$132:$AY$136</definedName>
    <definedName name="直接暖房">DB!$B$314:$AS$318</definedName>
    <definedName name="天井">調書!$F$488:$AL$534</definedName>
    <definedName name="天井仕上名称">[1]調書!$E$253:$E$264</definedName>
    <definedName name="天井断熱材名称">[1]調書!$G$265:$G$268</definedName>
    <definedName name="天井名称">調書!$F$488:$F$534</definedName>
    <definedName name="電灯">DB!$B$13:$AY$17</definedName>
    <definedName name="電話">DB!$B$20:$AY$24</definedName>
    <definedName name="動力">DB!$B$6:$BA$10</definedName>
    <definedName name="特殊設備名称" localSheetId="0">[2]建具!$B$188:$B$218</definedName>
    <definedName name="特殊設備名称">建具!$B$168:$B$186</definedName>
    <definedName name="独立基礎名称">調書!$F$152</definedName>
    <definedName name="内部">調書!$F$363:$AL$413</definedName>
    <definedName name="内部開口">建具の明細!$A$31:$A$52</definedName>
    <definedName name="内部開口面積">建具の明細!$I$31:$I$52</definedName>
    <definedName name="内部仕上名称">[1]調書!$E$199:$E$217</definedName>
    <definedName name="内部名称">調書!$F$363:$F$413</definedName>
    <definedName name="熱源方式">DB!$B$293:$AY$297</definedName>
    <definedName name="熱源冷房">DB!$B$307:$AS$311</definedName>
    <definedName name="排水ポンプ">DB!$B$125:$AY$129</definedName>
    <definedName name="排水小">DB!$B$111:$AY$115</definedName>
    <definedName name="排水大">DB!$B$118:$AY$122</definedName>
    <definedName name="避雷導体">DB!$B$405:$AY$409</definedName>
    <definedName name="避雷突針">DB!$B$398:$AY$402</definedName>
    <definedName name="標準量">DB!$C$582:$R$587</definedName>
    <definedName name="評価基準名称" localSheetId="0">[2]DB!$C$583:$C$588</definedName>
    <definedName name="評価基準名称">DB!$C$572:$C$576</definedName>
    <definedName name="不活性ガス">DB!$B$426:$AY$430</definedName>
    <definedName name="附室排煙">DB!$B$377:$AY$381</definedName>
    <definedName name="泡消火">DB!$B$433:$AY$437</definedName>
    <definedName name="網戸名称" localSheetId="0">[2]建具!$B$143:$B$154</definedName>
    <definedName name="網戸名称">建具!$B$116:$B$121</definedName>
    <definedName name="洋便器">DB!$B$153:$AY$157</definedName>
    <definedName name="用途別評点名称">[1]DB!$C$7:$C$8</definedName>
    <definedName name="浴室換気乾燥機">DB!$B$216:$AY$220</definedName>
    <definedName name="浴槽上">DB!$B$188:$AY$192</definedName>
    <definedName name="浴槽並">DB!$B$195:$AY$199</definedName>
    <definedName name="流し台">DB!$B$230:$R$234</definedName>
    <definedName name="和便器">DB!$B$146:$AY$150</definedName>
  </definedNames>
  <calcPr calcId="181029"/>
  <customWorkbookViews>
    <customWorkbookView name="鳥取県 - 個人用ビュー" guid="{6CFAA980-29D1-42A9-8342-BF14629EBE3B}" mergeInterval="0" personalView="1" maximized="1" xWindow="-8" yWindow="-8" windowWidth="1382" windowHeight="744" tabRatio="917" activeSheetId="5"/>
  </customWorkbookViews>
</workbook>
</file>

<file path=xl/calcChain.xml><?xml version="1.0" encoding="utf-8"?>
<calcChain xmlns="http://schemas.openxmlformats.org/spreadsheetml/2006/main">
  <c r="U295" i="12" l="1"/>
  <c r="T141" i="5"/>
  <c r="H312" i="12" l="1"/>
  <c r="I314" i="12" s="1"/>
  <c r="AH143" i="5"/>
  <c r="AH142" i="5"/>
  <c r="AF142" i="5"/>
  <c r="AF143" i="5"/>
  <c r="AD144" i="5"/>
  <c r="AD143" i="5"/>
  <c r="AD142" i="5"/>
  <c r="AB144" i="5"/>
  <c r="AB143" i="5"/>
  <c r="AB142" i="5"/>
  <c r="R145" i="5"/>
  <c r="R144" i="5"/>
  <c r="R143" i="5"/>
  <c r="P139" i="5" s="1"/>
  <c r="R142" i="5"/>
  <c r="P145" i="5"/>
  <c r="P144" i="5"/>
  <c r="P143" i="5"/>
  <c r="P142" i="5"/>
  <c r="I310" i="12" l="1"/>
  <c r="J308" i="12"/>
  <c r="I312" i="12"/>
  <c r="N308" i="12" l="1"/>
  <c r="F140" i="5" l="1"/>
  <c r="L140" i="5"/>
  <c r="AB141" i="5"/>
  <c r="AF141" i="5"/>
  <c r="X144" i="5"/>
  <c r="X143" i="5"/>
  <c r="X142" i="5"/>
  <c r="Z142" i="5"/>
  <c r="Z143" i="5"/>
  <c r="Z144" i="5"/>
  <c r="V143" i="5"/>
  <c r="AJ140" i="5" l="1"/>
  <c r="F135" i="6" l="1"/>
  <c r="I68" i="10"/>
  <c r="O68" i="10" s="1"/>
  <c r="G68" i="10"/>
  <c r="D68" i="10"/>
  <c r="I67" i="10"/>
  <c r="O67" i="10" s="1"/>
  <c r="G67" i="10"/>
  <c r="D67" i="10"/>
  <c r="I66" i="10"/>
  <c r="O66" i="10" s="1"/>
  <c r="G66" i="10"/>
  <c r="D66" i="10"/>
  <c r="I65" i="10"/>
  <c r="O65" i="10" s="1"/>
  <c r="G65" i="10"/>
  <c r="D65" i="10"/>
  <c r="I64" i="10"/>
  <c r="G64" i="10"/>
  <c r="D64" i="10"/>
  <c r="I63" i="10"/>
  <c r="O63" i="10" s="1"/>
  <c r="G63" i="10"/>
  <c r="D63" i="10"/>
  <c r="I62" i="10"/>
  <c r="O62" i="10" s="1"/>
  <c r="G62" i="10"/>
  <c r="D62" i="10"/>
  <c r="I61" i="10"/>
  <c r="O61" i="10" s="1"/>
  <c r="G61" i="10"/>
  <c r="D61" i="10"/>
  <c r="I60" i="10"/>
  <c r="O60" i="10" s="1"/>
  <c r="G60" i="10"/>
  <c r="D60" i="10"/>
  <c r="I59" i="10"/>
  <c r="G59" i="10"/>
  <c r="D59" i="10"/>
  <c r="H66" i="10" l="1"/>
  <c r="H68" i="10"/>
  <c r="H67" i="10"/>
  <c r="H65" i="10"/>
  <c r="H61" i="10"/>
  <c r="J61" i="10" s="1"/>
  <c r="H60" i="10"/>
  <c r="J60" i="10" s="1"/>
  <c r="H64" i="10"/>
  <c r="J64" i="10" s="1"/>
  <c r="H62" i="10"/>
  <c r="J62" i="10" s="1"/>
  <c r="H59" i="10"/>
  <c r="J59" i="10" s="1"/>
  <c r="O64" i="10"/>
  <c r="J66" i="10"/>
  <c r="O59" i="10"/>
  <c r="J65" i="10"/>
  <c r="J68" i="10"/>
  <c r="J67" i="10"/>
  <c r="H63" i="10"/>
  <c r="J63" i="10" s="1"/>
  <c r="AS471" i="5"/>
  <c r="AS458" i="5"/>
  <c r="AS406" i="5"/>
  <c r="AS564" i="5" l="1"/>
  <c r="AS579" i="5"/>
  <c r="AS466" i="5"/>
  <c r="AS465" i="5"/>
  <c r="AS526" i="5"/>
  <c r="V101" i="5" l="1"/>
  <c r="H619" i="14"/>
  <c r="J619" i="14"/>
  <c r="H620" i="14"/>
  <c r="J620" i="14"/>
  <c r="H621" i="14"/>
  <c r="J621" i="14"/>
  <c r="H622" i="14"/>
  <c r="J622" i="14"/>
  <c r="H623" i="14"/>
  <c r="J623" i="14"/>
  <c r="J618" i="14"/>
  <c r="H618" i="14"/>
  <c r="X619" i="14"/>
  <c r="Y619" i="14"/>
  <c r="Z619" i="14"/>
  <c r="AA619" i="14"/>
  <c r="AB619" i="14"/>
  <c r="AC619" i="14"/>
  <c r="X620" i="14"/>
  <c r="Y620" i="14"/>
  <c r="Z620" i="14"/>
  <c r="AA620" i="14"/>
  <c r="AB620" i="14"/>
  <c r="AC620" i="14"/>
  <c r="X621" i="14"/>
  <c r="Y621" i="14"/>
  <c r="Z621" i="14"/>
  <c r="AA621" i="14"/>
  <c r="AB621" i="14"/>
  <c r="AC621" i="14"/>
  <c r="X622" i="14"/>
  <c r="Y622" i="14"/>
  <c r="Z622" i="14"/>
  <c r="AA622" i="14"/>
  <c r="AB622" i="14"/>
  <c r="AC622" i="14"/>
  <c r="X623" i="14"/>
  <c r="Y623" i="14"/>
  <c r="Z623" i="14"/>
  <c r="AA623" i="14"/>
  <c r="AB623" i="14"/>
  <c r="AC623" i="14"/>
  <c r="AC618" i="14"/>
  <c r="AB618" i="14"/>
  <c r="AA618" i="14"/>
  <c r="Z618" i="14"/>
  <c r="Y618" i="14"/>
  <c r="X618" i="14"/>
  <c r="R620" i="14"/>
  <c r="S620" i="14"/>
  <c r="T620" i="14"/>
  <c r="U620" i="14"/>
  <c r="V620" i="14"/>
  <c r="W620" i="14"/>
  <c r="R621" i="14"/>
  <c r="S621" i="14"/>
  <c r="T621" i="14"/>
  <c r="U621" i="14"/>
  <c r="V621" i="14"/>
  <c r="W621" i="14"/>
  <c r="R622" i="14"/>
  <c r="S622" i="14"/>
  <c r="T622" i="14"/>
  <c r="U622" i="14"/>
  <c r="V622" i="14"/>
  <c r="W622" i="14"/>
  <c r="R623" i="14"/>
  <c r="S623" i="14"/>
  <c r="T623" i="14"/>
  <c r="U623" i="14"/>
  <c r="V623" i="14"/>
  <c r="W623" i="14"/>
  <c r="W619" i="14"/>
  <c r="V619" i="14"/>
  <c r="U619" i="14"/>
  <c r="T619" i="14"/>
  <c r="S619" i="14"/>
  <c r="R619" i="14"/>
  <c r="L619" i="14"/>
  <c r="M619" i="14"/>
  <c r="N619" i="14"/>
  <c r="O619" i="14"/>
  <c r="P619" i="14"/>
  <c r="Q619" i="14"/>
  <c r="L620" i="14"/>
  <c r="M620" i="14"/>
  <c r="N620" i="14"/>
  <c r="O620" i="14"/>
  <c r="P620" i="14"/>
  <c r="Q620" i="14"/>
  <c r="L621" i="14"/>
  <c r="M621" i="14"/>
  <c r="N621" i="14"/>
  <c r="O621" i="14"/>
  <c r="P621" i="14"/>
  <c r="Q621" i="14"/>
  <c r="L622" i="14"/>
  <c r="M622" i="14"/>
  <c r="N622" i="14"/>
  <c r="O622" i="14"/>
  <c r="P622" i="14"/>
  <c r="Q622" i="14"/>
  <c r="L623" i="14"/>
  <c r="M623" i="14"/>
  <c r="N623" i="14"/>
  <c r="O623" i="14"/>
  <c r="P623" i="14"/>
  <c r="Q623" i="14"/>
  <c r="Q618" i="14"/>
  <c r="P618" i="14"/>
  <c r="O618" i="14"/>
  <c r="N618" i="14"/>
  <c r="M618" i="14"/>
  <c r="L618" i="14"/>
  <c r="E618" i="14"/>
  <c r="E621" i="14" s="1"/>
  <c r="D618" i="14"/>
  <c r="D623" i="14" s="1"/>
  <c r="F618" i="14"/>
  <c r="F621" i="14" s="1"/>
  <c r="G618" i="14"/>
  <c r="G620" i="14" s="1"/>
  <c r="G617" i="14"/>
  <c r="F617" i="14"/>
  <c r="E617" i="14"/>
  <c r="D617" i="14"/>
  <c r="F623" i="14" l="1"/>
  <c r="F622" i="14"/>
  <c r="E623" i="14"/>
  <c r="E622" i="14"/>
  <c r="D622" i="14"/>
  <c r="D621" i="14"/>
  <c r="F620" i="14"/>
  <c r="E620" i="14"/>
  <c r="F619" i="14"/>
  <c r="D620" i="14"/>
  <c r="D619" i="14"/>
  <c r="E619" i="14"/>
  <c r="G619" i="14"/>
  <c r="G623" i="14"/>
  <c r="G622" i="14"/>
  <c r="G621" i="14"/>
  <c r="U486" i="14"/>
  <c r="T486" i="14"/>
  <c r="S486" i="14"/>
  <c r="R486" i="14"/>
  <c r="Q486" i="14"/>
  <c r="P486" i="14"/>
  <c r="O486" i="14"/>
  <c r="N486" i="14"/>
  <c r="M486" i="14"/>
  <c r="L486" i="14"/>
  <c r="K486" i="14"/>
  <c r="J486" i="14"/>
  <c r="I486" i="14"/>
  <c r="H486" i="14"/>
  <c r="G486" i="14"/>
  <c r="F486" i="14"/>
  <c r="E486" i="14"/>
  <c r="D486" i="14"/>
  <c r="C486" i="14"/>
  <c r="U485" i="14"/>
  <c r="T485" i="14"/>
  <c r="S485" i="14"/>
  <c r="R485" i="14"/>
  <c r="Q485" i="14"/>
  <c r="P485" i="14"/>
  <c r="O485" i="14"/>
  <c r="N485" i="14"/>
  <c r="M485" i="14"/>
  <c r="L485" i="14"/>
  <c r="K485" i="14"/>
  <c r="J485" i="14"/>
  <c r="I485" i="14"/>
  <c r="H485" i="14"/>
  <c r="G485" i="14"/>
  <c r="F485" i="14"/>
  <c r="E485" i="14"/>
  <c r="D485" i="14"/>
  <c r="C485" i="14"/>
  <c r="U484" i="14"/>
  <c r="T484" i="14"/>
  <c r="S484" i="14"/>
  <c r="R484" i="14"/>
  <c r="Q484" i="14"/>
  <c r="P484" i="14"/>
  <c r="O484" i="14"/>
  <c r="N484" i="14"/>
  <c r="M484" i="14"/>
  <c r="L484" i="14"/>
  <c r="K484" i="14"/>
  <c r="J484" i="14"/>
  <c r="I484" i="14"/>
  <c r="H484" i="14"/>
  <c r="G484" i="14"/>
  <c r="F484" i="14"/>
  <c r="E484" i="14"/>
  <c r="D484" i="14"/>
  <c r="C484" i="14"/>
  <c r="I367" i="14"/>
  <c r="H367" i="14"/>
  <c r="G367" i="14"/>
  <c r="F367" i="14"/>
  <c r="E367" i="14"/>
  <c r="D367" i="14"/>
  <c r="C367" i="14"/>
  <c r="I366" i="14"/>
  <c r="H366" i="14"/>
  <c r="G366" i="14"/>
  <c r="F366" i="14"/>
  <c r="E366" i="14"/>
  <c r="D366" i="14"/>
  <c r="C366" i="14"/>
  <c r="I365" i="14"/>
  <c r="H365" i="14"/>
  <c r="G365" i="14"/>
  <c r="F365" i="14"/>
  <c r="E365" i="14"/>
  <c r="D365" i="14"/>
  <c r="C365" i="14"/>
  <c r="Q547" i="14"/>
  <c r="H616" i="5" l="1"/>
  <c r="H99" i="5"/>
  <c r="AJ527" i="5"/>
  <c r="AP527" i="5" s="1"/>
  <c r="AJ526" i="5"/>
  <c r="AP526" i="5" s="1"/>
  <c r="AS525" i="5"/>
  <c r="AJ525" i="5"/>
  <c r="AP525" i="5" s="1"/>
  <c r="Q469" i="5"/>
  <c r="Q467" i="5"/>
  <c r="AJ467" i="5" s="1"/>
  <c r="AP467" i="5" s="1"/>
  <c r="AJ468" i="5"/>
  <c r="AP468" i="5" s="1"/>
  <c r="AJ466" i="5"/>
  <c r="AP466" i="5" s="1"/>
  <c r="AJ465" i="5"/>
  <c r="AP465" i="5" s="1"/>
  <c r="AJ464" i="5"/>
  <c r="AP464" i="5" s="1"/>
  <c r="Q406" i="5"/>
  <c r="Q408" i="5"/>
  <c r="Q407" i="5"/>
  <c r="AW526" i="5" l="1"/>
  <c r="BB526" i="5" s="1"/>
  <c r="AW525" i="5"/>
  <c r="BB525" i="5" s="1"/>
  <c r="AW466" i="5"/>
  <c r="BB466" i="5" s="1"/>
  <c r="AW465" i="5"/>
  <c r="BB465" i="5" s="1"/>
  <c r="AJ407" i="5" l="1"/>
  <c r="AP407" i="5" s="1"/>
  <c r="AJ406" i="5"/>
  <c r="AP406" i="5" s="1"/>
  <c r="AS405" i="5"/>
  <c r="AJ405" i="5"/>
  <c r="AP405" i="5" s="1"/>
  <c r="AL103" i="5"/>
  <c r="AL102" i="5"/>
  <c r="AL101" i="5"/>
  <c r="AL100" i="5"/>
  <c r="AL99" i="5"/>
  <c r="AJ103" i="5"/>
  <c r="AJ102" i="5"/>
  <c r="AJ101" i="5"/>
  <c r="AJ100" i="5"/>
  <c r="AJ99" i="5"/>
  <c r="AW405" i="5" l="1"/>
  <c r="BB405" i="5" s="1"/>
  <c r="AJ98" i="5"/>
  <c r="N185" i="14" l="1"/>
  <c r="N184" i="14"/>
  <c r="Q185" i="14"/>
  <c r="P185" i="14"/>
  <c r="Q184" i="14"/>
  <c r="P184" i="14"/>
  <c r="Q92" i="13"/>
  <c r="P92" i="13"/>
  <c r="O92" i="13"/>
  <c r="P85" i="13"/>
  <c r="O85" i="13"/>
  <c r="Q80" i="13"/>
  <c r="P80" i="13"/>
  <c r="O80" i="13"/>
  <c r="H617" i="5" l="1"/>
  <c r="AB99" i="5"/>
  <c r="B10" i="14"/>
  <c r="O507" i="14"/>
  <c r="N507" i="14"/>
  <c r="O505" i="14"/>
  <c r="N505" i="14"/>
  <c r="O504" i="14"/>
  <c r="N504" i="14"/>
  <c r="AP479" i="14"/>
  <c r="C458" i="14"/>
  <c r="N616" i="5" l="1"/>
  <c r="R620" i="5"/>
  <c r="R619" i="5" s="1"/>
  <c r="R621" i="5"/>
  <c r="R622" i="5"/>
  <c r="R623" i="5" s="1"/>
  <c r="U620" i="5"/>
  <c r="U619" i="5" s="1"/>
  <c r="U621" i="5"/>
  <c r="U622" i="5"/>
  <c r="U623" i="5" s="1"/>
  <c r="D176" i="10"/>
  <c r="W549" i="14"/>
  <c r="Q549" i="14"/>
  <c r="AG620" i="5"/>
  <c r="AG619" i="5"/>
  <c r="AG618" i="5"/>
  <c r="AD620" i="5"/>
  <c r="AD619" i="5"/>
  <c r="AD618" i="5"/>
  <c r="AD615" i="5"/>
  <c r="AG617" i="5" l="1"/>
  <c r="N617" i="5" s="1"/>
  <c r="R83" i="5" l="1"/>
  <c r="R52" i="5"/>
  <c r="R26" i="5"/>
  <c r="R25" i="5"/>
  <c r="R23" i="5"/>
  <c r="R22" i="5"/>
  <c r="R21" i="5"/>
  <c r="R20" i="5"/>
  <c r="R19" i="5"/>
  <c r="AR98" i="5" l="1"/>
  <c r="AN98" i="5"/>
  <c r="BB81" i="5"/>
  <c r="J99" i="5" l="1"/>
  <c r="W547" i="14" l="1"/>
  <c r="W548" i="14"/>
  <c r="Q548" i="14"/>
  <c r="R618" i="5" l="1"/>
  <c r="AA542" i="14"/>
  <c r="Z542" i="14"/>
  <c r="Y542" i="14"/>
  <c r="X542" i="14"/>
  <c r="W542" i="14"/>
  <c r="V542" i="14"/>
  <c r="AA541" i="14"/>
  <c r="Z541" i="14"/>
  <c r="Y541" i="14"/>
  <c r="X541" i="14"/>
  <c r="W541" i="14"/>
  <c r="V541" i="14"/>
  <c r="U542" i="14"/>
  <c r="T542" i="14"/>
  <c r="S542" i="14"/>
  <c r="R542" i="14"/>
  <c r="Q542" i="14"/>
  <c r="P542" i="14"/>
  <c r="O542" i="14"/>
  <c r="N542" i="14"/>
  <c r="M542" i="14"/>
  <c r="L542" i="14"/>
  <c r="K542" i="14"/>
  <c r="J542" i="14"/>
  <c r="I542" i="14"/>
  <c r="H542" i="14"/>
  <c r="G542" i="14"/>
  <c r="F542" i="14"/>
  <c r="E542" i="14"/>
  <c r="D542" i="14"/>
  <c r="C542" i="14"/>
  <c r="U541" i="14"/>
  <c r="T541" i="14"/>
  <c r="S541" i="14"/>
  <c r="R541" i="14"/>
  <c r="Q541" i="14"/>
  <c r="P541" i="14"/>
  <c r="O541" i="14"/>
  <c r="N541" i="14"/>
  <c r="M541" i="14"/>
  <c r="L541" i="14"/>
  <c r="K541" i="14"/>
  <c r="J541" i="14"/>
  <c r="I541" i="14"/>
  <c r="H541" i="14"/>
  <c r="G541" i="14"/>
  <c r="F541" i="14"/>
  <c r="E541" i="14"/>
  <c r="D541" i="14"/>
  <c r="C541" i="14"/>
  <c r="C539" i="14"/>
  <c r="AA539" i="14"/>
  <c r="Z539" i="14"/>
  <c r="Y539" i="14"/>
  <c r="X539" i="14"/>
  <c r="W539" i="14"/>
  <c r="V539" i="14"/>
  <c r="U539" i="14"/>
  <c r="T539" i="14"/>
  <c r="S539" i="14"/>
  <c r="R539" i="14"/>
  <c r="Q539" i="14"/>
  <c r="P539" i="14"/>
  <c r="I539" i="14"/>
  <c r="H539" i="14"/>
  <c r="G539" i="14"/>
  <c r="F539" i="14"/>
  <c r="E539" i="14"/>
  <c r="D539" i="14"/>
  <c r="O539" i="14"/>
  <c r="N539" i="14"/>
  <c r="M539" i="14"/>
  <c r="L539" i="14"/>
  <c r="K539" i="14"/>
  <c r="J539" i="14"/>
  <c r="O535" i="14"/>
  <c r="N535" i="14"/>
  <c r="M535" i="14"/>
  <c r="L535" i="14"/>
  <c r="K535" i="14"/>
  <c r="J535" i="14"/>
  <c r="I535" i="14"/>
  <c r="H535" i="14"/>
  <c r="G535" i="14"/>
  <c r="F535" i="14"/>
  <c r="E535" i="14"/>
  <c r="D535" i="14"/>
  <c r="C535" i="14"/>
  <c r="O532" i="14"/>
  <c r="N532" i="14"/>
  <c r="M532" i="14"/>
  <c r="L532" i="14"/>
  <c r="K532" i="14"/>
  <c r="J532" i="14"/>
  <c r="I532" i="14"/>
  <c r="H532" i="14"/>
  <c r="G532" i="14"/>
  <c r="F532" i="14"/>
  <c r="E532" i="14"/>
  <c r="D532" i="14"/>
  <c r="C532" i="14"/>
  <c r="O528" i="14"/>
  <c r="N528" i="14"/>
  <c r="M528" i="14"/>
  <c r="L528" i="14"/>
  <c r="K528" i="14"/>
  <c r="J528" i="14"/>
  <c r="I528" i="14"/>
  <c r="H528" i="14"/>
  <c r="G528" i="14"/>
  <c r="F528" i="14"/>
  <c r="E528" i="14"/>
  <c r="D528" i="14"/>
  <c r="C528" i="14"/>
  <c r="O525" i="14"/>
  <c r="N525" i="14"/>
  <c r="M525" i="14"/>
  <c r="L525" i="14"/>
  <c r="K525" i="14"/>
  <c r="J525" i="14"/>
  <c r="I525" i="14"/>
  <c r="H525" i="14"/>
  <c r="G525" i="14"/>
  <c r="F525" i="14"/>
  <c r="E525" i="14"/>
  <c r="D525" i="14"/>
  <c r="C525" i="14"/>
  <c r="AA521" i="14"/>
  <c r="Z521" i="14"/>
  <c r="Y521" i="14"/>
  <c r="X521" i="14"/>
  <c r="W521" i="14"/>
  <c r="V521" i="14"/>
  <c r="O521" i="14"/>
  <c r="N521" i="14"/>
  <c r="M521" i="14"/>
  <c r="L521" i="14"/>
  <c r="K521" i="14"/>
  <c r="J521" i="14"/>
  <c r="I521" i="14"/>
  <c r="H521" i="14"/>
  <c r="G521" i="14"/>
  <c r="F521" i="14"/>
  <c r="E521" i="14"/>
  <c r="D521" i="14"/>
  <c r="C521" i="14"/>
  <c r="U518" i="14"/>
  <c r="T518" i="14"/>
  <c r="S518" i="14"/>
  <c r="R518" i="14"/>
  <c r="Q518" i="14"/>
  <c r="P518" i="14"/>
  <c r="AA518" i="14"/>
  <c r="Z518" i="14"/>
  <c r="Y518" i="14"/>
  <c r="X518" i="14"/>
  <c r="W518" i="14"/>
  <c r="V518" i="14"/>
  <c r="O518" i="14"/>
  <c r="N518" i="14"/>
  <c r="M518" i="14"/>
  <c r="L518" i="14"/>
  <c r="K518" i="14"/>
  <c r="J518" i="14"/>
  <c r="I518" i="14"/>
  <c r="H518" i="14"/>
  <c r="G518" i="14"/>
  <c r="F518" i="14"/>
  <c r="E518" i="14"/>
  <c r="D518" i="14"/>
  <c r="C518" i="14"/>
  <c r="O514" i="14"/>
  <c r="N514" i="14"/>
  <c r="M514" i="14"/>
  <c r="L514" i="14"/>
  <c r="K514" i="14"/>
  <c r="J514" i="14"/>
  <c r="O513" i="14"/>
  <c r="N513" i="14"/>
  <c r="M513" i="14"/>
  <c r="L513" i="14"/>
  <c r="K513" i="14"/>
  <c r="J513" i="14"/>
  <c r="O511" i="14"/>
  <c r="N511" i="14"/>
  <c r="M511" i="14"/>
  <c r="L511" i="14"/>
  <c r="K511" i="14"/>
  <c r="J511" i="14"/>
  <c r="U514" i="14"/>
  <c r="T514" i="14"/>
  <c r="S514" i="14"/>
  <c r="R514" i="14"/>
  <c r="Q514" i="14"/>
  <c r="P514" i="14"/>
  <c r="U513" i="14"/>
  <c r="T513" i="14"/>
  <c r="S513" i="14"/>
  <c r="R513" i="14"/>
  <c r="Q513" i="14"/>
  <c r="P513" i="14"/>
  <c r="U511" i="14"/>
  <c r="T511" i="14"/>
  <c r="S511" i="14"/>
  <c r="R511" i="14"/>
  <c r="Q511" i="14"/>
  <c r="P511" i="14"/>
  <c r="I514" i="14"/>
  <c r="H514" i="14"/>
  <c r="G514" i="14"/>
  <c r="F514" i="14"/>
  <c r="E514" i="14"/>
  <c r="D514" i="14"/>
  <c r="C514" i="14"/>
  <c r="I513" i="14"/>
  <c r="H513" i="14"/>
  <c r="G513" i="14"/>
  <c r="F513" i="14"/>
  <c r="E513" i="14"/>
  <c r="D513" i="14"/>
  <c r="C513" i="14"/>
  <c r="I511" i="14"/>
  <c r="H511" i="14"/>
  <c r="G511" i="14"/>
  <c r="F511" i="14"/>
  <c r="E511" i="14"/>
  <c r="D511" i="14"/>
  <c r="C511" i="14"/>
  <c r="AG507" i="14"/>
  <c r="AF507" i="14"/>
  <c r="AE507" i="14"/>
  <c r="AD507" i="14"/>
  <c r="AC507" i="14"/>
  <c r="AB507" i="14"/>
  <c r="AG506" i="14"/>
  <c r="AF506" i="14"/>
  <c r="AE506" i="14"/>
  <c r="AD506" i="14"/>
  <c r="AC506" i="14"/>
  <c r="AB506" i="14"/>
  <c r="AG504" i="14"/>
  <c r="AF504" i="14"/>
  <c r="AE504" i="14"/>
  <c r="AD504" i="14"/>
  <c r="AC504" i="14"/>
  <c r="AB504" i="14"/>
  <c r="X506" i="14"/>
  <c r="Y506" i="14"/>
  <c r="Z506" i="14"/>
  <c r="AA506" i="14"/>
  <c r="X507" i="14"/>
  <c r="Y507" i="14"/>
  <c r="Z507" i="14"/>
  <c r="AA507" i="14"/>
  <c r="W507" i="14"/>
  <c r="V507" i="14"/>
  <c r="W506" i="14"/>
  <c r="V506" i="14"/>
  <c r="X504" i="14"/>
  <c r="Y504" i="14"/>
  <c r="Z504" i="14"/>
  <c r="AA504" i="14"/>
  <c r="R506" i="14"/>
  <c r="S506" i="14"/>
  <c r="T506" i="14"/>
  <c r="U506" i="14"/>
  <c r="R507" i="14"/>
  <c r="S507" i="14"/>
  <c r="T507" i="14"/>
  <c r="U507" i="14"/>
  <c r="Q507" i="14"/>
  <c r="P507" i="14"/>
  <c r="Q506" i="14"/>
  <c r="P506" i="14"/>
  <c r="R504" i="14"/>
  <c r="S504" i="14"/>
  <c r="T504" i="14"/>
  <c r="U504" i="14"/>
  <c r="L504" i="14"/>
  <c r="M504" i="14"/>
  <c r="L506" i="14"/>
  <c r="M506" i="14"/>
  <c r="L507" i="14"/>
  <c r="M507" i="14"/>
  <c r="K507" i="14"/>
  <c r="J507" i="14"/>
  <c r="K506" i="14"/>
  <c r="J506" i="14"/>
  <c r="F504" i="14"/>
  <c r="G504" i="14"/>
  <c r="H504" i="14"/>
  <c r="I504" i="14"/>
  <c r="F506" i="14"/>
  <c r="G506" i="14"/>
  <c r="H506" i="14"/>
  <c r="I506" i="14"/>
  <c r="F507" i="14"/>
  <c r="G507" i="14"/>
  <c r="H507" i="14"/>
  <c r="I507" i="14"/>
  <c r="E507" i="14"/>
  <c r="D507" i="14"/>
  <c r="E506" i="14"/>
  <c r="D506" i="14"/>
  <c r="W504" i="14"/>
  <c r="V504" i="14"/>
  <c r="Q504" i="14"/>
  <c r="P504" i="14"/>
  <c r="K504" i="14"/>
  <c r="J504" i="14"/>
  <c r="E504" i="14"/>
  <c r="D504" i="14"/>
  <c r="C507" i="14"/>
  <c r="C506" i="14"/>
  <c r="C504" i="14"/>
  <c r="F490" i="14"/>
  <c r="G490" i="14"/>
  <c r="H490" i="14"/>
  <c r="I490" i="14"/>
  <c r="J490" i="14"/>
  <c r="K490" i="14"/>
  <c r="L490" i="14"/>
  <c r="M490" i="14"/>
  <c r="N490" i="14"/>
  <c r="O490" i="14"/>
  <c r="P490" i="14"/>
  <c r="Q490" i="14"/>
  <c r="R490" i="14"/>
  <c r="S490" i="14"/>
  <c r="T490" i="14"/>
  <c r="U490" i="14"/>
  <c r="V490" i="14"/>
  <c r="W490" i="14"/>
  <c r="X490" i="14"/>
  <c r="Y490" i="14"/>
  <c r="Z490" i="14"/>
  <c r="AA490" i="14"/>
  <c r="AB490" i="14"/>
  <c r="AC490" i="14"/>
  <c r="AD490" i="14"/>
  <c r="AE490" i="14"/>
  <c r="AF490" i="14"/>
  <c r="AG490" i="14"/>
  <c r="F491" i="14"/>
  <c r="G491" i="14"/>
  <c r="H491" i="14"/>
  <c r="I491" i="14"/>
  <c r="J491" i="14"/>
  <c r="K491" i="14"/>
  <c r="L491" i="14"/>
  <c r="M491" i="14"/>
  <c r="N491" i="14"/>
  <c r="O491" i="14"/>
  <c r="P491" i="14"/>
  <c r="Q491" i="14"/>
  <c r="R491" i="14"/>
  <c r="S491" i="14"/>
  <c r="T491" i="14"/>
  <c r="U491" i="14"/>
  <c r="V491" i="14"/>
  <c r="W491" i="14"/>
  <c r="X491" i="14"/>
  <c r="Y491" i="14"/>
  <c r="Z491" i="14"/>
  <c r="AA491" i="14"/>
  <c r="AB491" i="14"/>
  <c r="AC491" i="14"/>
  <c r="AD491" i="14"/>
  <c r="AE491" i="14"/>
  <c r="AF491" i="14"/>
  <c r="AG491" i="14"/>
  <c r="E491" i="14"/>
  <c r="D491" i="14"/>
  <c r="E490" i="14"/>
  <c r="D490" i="14"/>
  <c r="C491" i="14"/>
  <c r="C490" i="14"/>
  <c r="AG493" i="14"/>
  <c r="AF493" i="14"/>
  <c r="AE493" i="14"/>
  <c r="AD493" i="14"/>
  <c r="AC493" i="14"/>
  <c r="AB493" i="14"/>
  <c r="AA493" i="14"/>
  <c r="Z493" i="14"/>
  <c r="Y493" i="14"/>
  <c r="X493" i="14"/>
  <c r="W493" i="14"/>
  <c r="V493" i="14"/>
  <c r="U493" i="14"/>
  <c r="T493" i="14"/>
  <c r="S493" i="14"/>
  <c r="R493" i="14"/>
  <c r="Q493" i="14"/>
  <c r="P493" i="14"/>
  <c r="O493" i="14"/>
  <c r="N493" i="14"/>
  <c r="M493" i="14"/>
  <c r="L493" i="14"/>
  <c r="K493" i="14"/>
  <c r="J493" i="14"/>
  <c r="I493" i="14"/>
  <c r="H493" i="14"/>
  <c r="G493" i="14"/>
  <c r="F493" i="14"/>
  <c r="E493" i="14"/>
  <c r="D493" i="14"/>
  <c r="C493" i="14"/>
  <c r="F479" i="14"/>
  <c r="G479" i="14"/>
  <c r="H479" i="14"/>
  <c r="I479" i="14"/>
  <c r="J479" i="14"/>
  <c r="K479" i="14"/>
  <c r="L479" i="14"/>
  <c r="M479" i="14"/>
  <c r="N479" i="14"/>
  <c r="O479" i="14"/>
  <c r="P479" i="14"/>
  <c r="Q479" i="14"/>
  <c r="R479" i="14"/>
  <c r="S479" i="14"/>
  <c r="T479" i="14"/>
  <c r="U479" i="14"/>
  <c r="V479" i="14"/>
  <c r="W479" i="14"/>
  <c r="X479" i="14"/>
  <c r="Y479" i="14"/>
  <c r="Z479" i="14"/>
  <c r="AA479" i="14"/>
  <c r="AB479" i="14"/>
  <c r="AC479" i="14"/>
  <c r="AD479" i="14"/>
  <c r="AE479" i="14"/>
  <c r="AF479" i="14"/>
  <c r="AG479" i="14"/>
  <c r="E479" i="14"/>
  <c r="D479" i="14"/>
  <c r="C479" i="14"/>
  <c r="AA458" i="14"/>
  <c r="Z458" i="14"/>
  <c r="Y458" i="14"/>
  <c r="X458" i="14"/>
  <c r="W458" i="14"/>
  <c r="V458" i="14"/>
  <c r="S458" i="14"/>
  <c r="R458" i="14"/>
  <c r="Q458" i="14"/>
  <c r="P458" i="14"/>
  <c r="O458" i="14"/>
  <c r="N458" i="14"/>
  <c r="M458" i="14"/>
  <c r="L458" i="14"/>
  <c r="K458" i="14"/>
  <c r="J458" i="14"/>
  <c r="I458" i="14"/>
  <c r="H458" i="14"/>
  <c r="G458" i="14"/>
  <c r="F458" i="14"/>
  <c r="AA455" i="14"/>
  <c r="Z455" i="14"/>
  <c r="Y455" i="14"/>
  <c r="X455" i="14"/>
  <c r="W455" i="14"/>
  <c r="V455" i="14"/>
  <c r="S455" i="14"/>
  <c r="R455" i="14"/>
  <c r="Q455" i="14"/>
  <c r="P455" i="14"/>
  <c r="O455" i="14"/>
  <c r="N455" i="14"/>
  <c r="M455" i="14"/>
  <c r="L455" i="14"/>
  <c r="K455" i="14"/>
  <c r="J455" i="14"/>
  <c r="I455" i="14"/>
  <c r="H455" i="14"/>
  <c r="G455" i="14"/>
  <c r="F455" i="14"/>
  <c r="E455" i="14"/>
  <c r="D455" i="14"/>
  <c r="E458" i="14"/>
  <c r="D458" i="14"/>
  <c r="C455" i="14"/>
  <c r="I437" i="14"/>
  <c r="H437" i="14"/>
  <c r="G437" i="14"/>
  <c r="F437" i="14"/>
  <c r="E437" i="14"/>
  <c r="D437" i="14"/>
  <c r="C437" i="14"/>
  <c r="I430" i="14"/>
  <c r="H430" i="14"/>
  <c r="G430" i="14"/>
  <c r="F430" i="14"/>
  <c r="E430" i="14"/>
  <c r="D430" i="14"/>
  <c r="C430" i="14"/>
  <c r="L385" i="14"/>
  <c r="M385" i="14"/>
  <c r="N385" i="14"/>
  <c r="O385" i="14"/>
  <c r="L386" i="14"/>
  <c r="M386" i="14"/>
  <c r="N386" i="14"/>
  <c r="O386" i="14"/>
  <c r="L387" i="14"/>
  <c r="M387" i="14"/>
  <c r="N387" i="14"/>
  <c r="O387" i="14"/>
  <c r="K387" i="14"/>
  <c r="J387" i="14"/>
  <c r="K386" i="14"/>
  <c r="J386" i="14"/>
  <c r="K385" i="14"/>
  <c r="J385" i="14"/>
  <c r="F385" i="14"/>
  <c r="G385" i="14"/>
  <c r="H385" i="14"/>
  <c r="I385" i="14"/>
  <c r="F386" i="14"/>
  <c r="G386" i="14"/>
  <c r="H386" i="14"/>
  <c r="I386" i="14"/>
  <c r="F387" i="14"/>
  <c r="G387" i="14"/>
  <c r="H387" i="14"/>
  <c r="I387" i="14"/>
  <c r="E387" i="14"/>
  <c r="D387" i="14"/>
  <c r="E386" i="14"/>
  <c r="D386" i="14"/>
  <c r="E385" i="14"/>
  <c r="D385" i="14"/>
  <c r="C387" i="14"/>
  <c r="C386" i="14"/>
  <c r="C385" i="14"/>
  <c r="F14" i="13"/>
  <c r="F13" i="13"/>
  <c r="F12" i="13"/>
  <c r="F9" i="13"/>
  <c r="F7" i="13"/>
  <c r="F6" i="13"/>
  <c r="O269" i="14"/>
  <c r="O268" i="14"/>
  <c r="O267" i="14"/>
  <c r="L267" i="14"/>
  <c r="M267" i="14"/>
  <c r="N267" i="14"/>
  <c r="L268" i="14"/>
  <c r="M268" i="14"/>
  <c r="N268" i="14"/>
  <c r="L269" i="14"/>
  <c r="M269" i="14"/>
  <c r="N269" i="14"/>
  <c r="K269" i="14"/>
  <c r="J269" i="14"/>
  <c r="K268" i="14"/>
  <c r="J268" i="14"/>
  <c r="K267" i="14"/>
  <c r="J267" i="14"/>
  <c r="I269" i="14"/>
  <c r="H269" i="14"/>
  <c r="G269" i="14"/>
  <c r="F269" i="14"/>
  <c r="I268" i="14"/>
  <c r="H268" i="14"/>
  <c r="G268" i="14"/>
  <c r="F268" i="14"/>
  <c r="I267" i="14"/>
  <c r="H267" i="14"/>
  <c r="G267" i="14"/>
  <c r="F267" i="14"/>
  <c r="E269" i="14"/>
  <c r="D269" i="14"/>
  <c r="E268" i="14"/>
  <c r="D268" i="14"/>
  <c r="E267" i="14"/>
  <c r="D267" i="14"/>
  <c r="L259" i="14"/>
  <c r="M259" i="14"/>
  <c r="N259" i="14"/>
  <c r="O259" i="14"/>
  <c r="K259" i="14"/>
  <c r="J259" i="14"/>
  <c r="O261" i="14"/>
  <c r="N261" i="14"/>
  <c r="M261" i="14"/>
  <c r="L261" i="14"/>
  <c r="K261" i="14"/>
  <c r="J261" i="14"/>
  <c r="F259" i="14"/>
  <c r="G259" i="14"/>
  <c r="H259" i="14"/>
  <c r="I259" i="14"/>
  <c r="E259" i="14"/>
  <c r="D259" i="14"/>
  <c r="I261" i="14"/>
  <c r="H261" i="14"/>
  <c r="G261" i="14"/>
  <c r="F261" i="14"/>
  <c r="E261" i="14"/>
  <c r="D261" i="14"/>
  <c r="C259" i="14"/>
  <c r="C261" i="14"/>
  <c r="O248" i="14"/>
  <c r="N248" i="14"/>
  <c r="M248" i="14"/>
  <c r="L248" i="14"/>
  <c r="O247" i="14"/>
  <c r="N247" i="14"/>
  <c r="M247" i="14"/>
  <c r="L247" i="14"/>
  <c r="O246" i="14"/>
  <c r="N246" i="14"/>
  <c r="M246" i="14"/>
  <c r="L246" i="14"/>
  <c r="K248" i="14"/>
  <c r="J248" i="14"/>
  <c r="K247" i="14"/>
  <c r="J247" i="14"/>
  <c r="K246" i="14"/>
  <c r="J246" i="14"/>
  <c r="I248" i="14"/>
  <c r="H248" i="14"/>
  <c r="G248" i="14"/>
  <c r="F248" i="14"/>
  <c r="I247" i="14"/>
  <c r="H247" i="14"/>
  <c r="G247" i="14"/>
  <c r="F247" i="14"/>
  <c r="I246" i="14"/>
  <c r="H246" i="14"/>
  <c r="G246" i="14"/>
  <c r="F246" i="14"/>
  <c r="E248" i="14"/>
  <c r="D248" i="14"/>
  <c r="E247" i="14"/>
  <c r="D247" i="14"/>
  <c r="E246" i="14"/>
  <c r="D246" i="14"/>
  <c r="U241" i="14"/>
  <c r="T241" i="14"/>
  <c r="S241" i="14"/>
  <c r="R241" i="14"/>
  <c r="Q241" i="14"/>
  <c r="P241" i="14"/>
  <c r="U240" i="14"/>
  <c r="T240" i="14"/>
  <c r="S240" i="14"/>
  <c r="R240" i="14"/>
  <c r="Q240" i="14"/>
  <c r="P240" i="14"/>
  <c r="U239" i="14"/>
  <c r="T239" i="14"/>
  <c r="S239" i="14"/>
  <c r="R239" i="14"/>
  <c r="Q239" i="14"/>
  <c r="P239" i="14"/>
  <c r="K241" i="14"/>
  <c r="J241" i="14"/>
  <c r="K240" i="14"/>
  <c r="J240" i="14"/>
  <c r="K239" i="14"/>
  <c r="J239" i="14"/>
  <c r="O241" i="14"/>
  <c r="O240" i="14"/>
  <c r="O239" i="14"/>
  <c r="M241" i="14"/>
  <c r="M240" i="14"/>
  <c r="M239" i="14"/>
  <c r="N241" i="14"/>
  <c r="N240" i="14"/>
  <c r="N239" i="14"/>
  <c r="L241" i="14"/>
  <c r="L240" i="14"/>
  <c r="L239" i="14"/>
  <c r="I241" i="14"/>
  <c r="I240" i="14"/>
  <c r="I239" i="14"/>
  <c r="G241" i="14"/>
  <c r="G240" i="14"/>
  <c r="G239" i="14"/>
  <c r="H241" i="14"/>
  <c r="H240" i="14"/>
  <c r="H239" i="14"/>
  <c r="F241" i="14"/>
  <c r="F240" i="14"/>
  <c r="F239" i="14"/>
  <c r="D241" i="14"/>
  <c r="D240" i="14"/>
  <c r="D239" i="14"/>
  <c r="U203" i="12"/>
  <c r="C231" i="14" l="1"/>
  <c r="R231" i="14"/>
  <c r="P231" i="14"/>
  <c r="O231" i="14"/>
  <c r="M231" i="14"/>
  <c r="L231" i="14"/>
  <c r="J231" i="14"/>
  <c r="I231" i="14"/>
  <c r="H231" i="14"/>
  <c r="G231" i="14"/>
  <c r="F231" i="14"/>
  <c r="E231" i="14"/>
  <c r="D231" i="14"/>
  <c r="D232" i="14"/>
  <c r="C232" i="14"/>
  <c r="R232" i="14"/>
  <c r="P232" i="14"/>
  <c r="O232" i="14"/>
  <c r="M232" i="14"/>
  <c r="L232" i="14"/>
  <c r="J232" i="14"/>
  <c r="I232" i="14"/>
  <c r="H232" i="14"/>
  <c r="G232" i="14"/>
  <c r="F232" i="14"/>
  <c r="E232" i="14"/>
  <c r="R227" i="14"/>
  <c r="Q227" i="14"/>
  <c r="P227" i="14"/>
  <c r="O227" i="14"/>
  <c r="N227" i="14"/>
  <c r="M227" i="14"/>
  <c r="L227" i="14"/>
  <c r="K227" i="14"/>
  <c r="J227" i="14"/>
  <c r="R226" i="14"/>
  <c r="Q226" i="14"/>
  <c r="P226" i="14"/>
  <c r="O226" i="14"/>
  <c r="N226" i="14"/>
  <c r="M226" i="14"/>
  <c r="L226" i="14"/>
  <c r="K226" i="14"/>
  <c r="J226" i="14"/>
  <c r="R225" i="14"/>
  <c r="Q225" i="14"/>
  <c r="P225" i="14"/>
  <c r="O225" i="14"/>
  <c r="N225" i="14"/>
  <c r="M225" i="14"/>
  <c r="L225" i="14"/>
  <c r="K225" i="14"/>
  <c r="J225" i="14"/>
  <c r="I227" i="14"/>
  <c r="H227" i="14"/>
  <c r="G227" i="14"/>
  <c r="F227" i="14"/>
  <c r="E227" i="14"/>
  <c r="D227" i="14"/>
  <c r="C227" i="14"/>
  <c r="I226" i="14"/>
  <c r="H226" i="14"/>
  <c r="G226" i="14"/>
  <c r="F226" i="14"/>
  <c r="E226" i="14"/>
  <c r="D226" i="14"/>
  <c r="C226" i="14"/>
  <c r="I225" i="14"/>
  <c r="H225" i="14"/>
  <c r="G225" i="14"/>
  <c r="F225" i="14"/>
  <c r="E225" i="14"/>
  <c r="D225" i="14"/>
  <c r="C225" i="14"/>
  <c r="I220" i="14"/>
  <c r="H220" i="14"/>
  <c r="G220" i="14"/>
  <c r="F220" i="14"/>
  <c r="E220" i="14"/>
  <c r="D220" i="14"/>
  <c r="C220" i="14"/>
  <c r="I219" i="14"/>
  <c r="H219" i="14"/>
  <c r="G219" i="14"/>
  <c r="F219" i="14"/>
  <c r="E219" i="14"/>
  <c r="D219" i="14"/>
  <c r="C219" i="14"/>
  <c r="I218" i="14"/>
  <c r="H218" i="14"/>
  <c r="G218" i="14"/>
  <c r="F218" i="14"/>
  <c r="E218" i="14"/>
  <c r="D218" i="14"/>
  <c r="C218" i="14"/>
  <c r="K204" i="14"/>
  <c r="L204" i="14"/>
  <c r="M204" i="14"/>
  <c r="N204" i="14"/>
  <c r="O204" i="14"/>
  <c r="P204" i="14"/>
  <c r="Q204" i="14"/>
  <c r="R204" i="14"/>
  <c r="S204" i="14"/>
  <c r="T204" i="14"/>
  <c r="U204" i="14"/>
  <c r="V204" i="14"/>
  <c r="W204" i="14"/>
  <c r="X204" i="14"/>
  <c r="J204" i="14"/>
  <c r="X206" i="14"/>
  <c r="W206" i="14"/>
  <c r="V206" i="14"/>
  <c r="U206" i="14"/>
  <c r="T206" i="14"/>
  <c r="S206" i="14"/>
  <c r="R206" i="14"/>
  <c r="Q206" i="14"/>
  <c r="P206" i="14"/>
  <c r="O206" i="14"/>
  <c r="N206" i="14"/>
  <c r="M206" i="14"/>
  <c r="L206" i="14"/>
  <c r="K206" i="14"/>
  <c r="G206" i="14"/>
  <c r="F206" i="14"/>
  <c r="E206" i="14"/>
  <c r="D206" i="14"/>
  <c r="J206" i="14"/>
  <c r="E204" i="14"/>
  <c r="F204" i="14"/>
  <c r="G204" i="14"/>
  <c r="D204" i="14"/>
  <c r="C204" i="14"/>
  <c r="C80" i="14" l="1"/>
  <c r="Z73" i="14"/>
  <c r="Y73" i="14"/>
  <c r="X73" i="14"/>
  <c r="W73" i="14"/>
  <c r="V73" i="14"/>
  <c r="U73" i="14"/>
  <c r="T73" i="14"/>
  <c r="S73" i="14"/>
  <c r="R73" i="14"/>
  <c r="Q73" i="14"/>
  <c r="P73" i="14"/>
  <c r="O73" i="14"/>
  <c r="K72" i="14"/>
  <c r="H72" i="14"/>
  <c r="E72" i="14"/>
  <c r="L73" i="14"/>
  <c r="J73" i="14"/>
  <c r="I73" i="14"/>
  <c r="G73" i="14"/>
  <c r="F73" i="14"/>
  <c r="D73" i="14"/>
  <c r="C73" i="14"/>
  <c r="C56" i="14"/>
  <c r="C35" i="14" l="1"/>
  <c r="C38" i="14"/>
  <c r="B24" i="14" l="1"/>
  <c r="B9" i="14"/>
  <c r="B23" i="14" s="1"/>
  <c r="B8" i="14"/>
  <c r="B22" i="14" s="1"/>
  <c r="AS581" i="5"/>
  <c r="AJ581" i="5"/>
  <c r="AP581" i="5" s="1"/>
  <c r="AW581" i="5" l="1"/>
  <c r="BB581" i="5" s="1"/>
  <c r="AS239" i="5"/>
  <c r="AJ239" i="5"/>
  <c r="AP239" i="5" s="1"/>
  <c r="AS209" i="5"/>
  <c r="AJ209" i="5"/>
  <c r="AP209" i="5" s="1"/>
  <c r="AW239" i="5" l="1"/>
  <c r="BB239" i="5" s="1"/>
  <c r="AW209" i="5"/>
  <c r="BB209" i="5" s="1"/>
  <c r="W118" i="6" l="1"/>
  <c r="W119" i="6"/>
  <c r="W120" i="6"/>
  <c r="W121" i="6"/>
  <c r="W117" i="6"/>
  <c r="W105" i="6"/>
  <c r="W106" i="6"/>
  <c r="W107" i="6"/>
  <c r="W108" i="6"/>
  <c r="W104" i="6"/>
  <c r="W88" i="6"/>
  <c r="W89" i="6"/>
  <c r="W90" i="6"/>
  <c r="W91" i="6"/>
  <c r="W87" i="6"/>
  <c r="C29" i="6" l="1"/>
  <c r="AA220" i="8" l="1"/>
  <c r="Y220" i="8"/>
  <c r="W220" i="8"/>
  <c r="U220" i="8"/>
  <c r="S220" i="8"/>
  <c r="Q220" i="8"/>
  <c r="O220" i="8"/>
  <c r="M220" i="8"/>
  <c r="K220" i="8"/>
  <c r="I220" i="8"/>
  <c r="G220" i="8"/>
  <c r="E220" i="8"/>
  <c r="C220" i="8"/>
  <c r="AA214" i="8"/>
  <c r="Y214" i="8"/>
  <c r="W214" i="8"/>
  <c r="U214" i="8"/>
  <c r="S214" i="8"/>
  <c r="Q214" i="8"/>
  <c r="O214" i="8"/>
  <c r="M214" i="8"/>
  <c r="K214" i="8"/>
  <c r="I214" i="8"/>
  <c r="G214" i="8"/>
  <c r="E214" i="8"/>
  <c r="C214" i="8"/>
  <c r="AA184" i="8"/>
  <c r="Y184" i="8"/>
  <c r="W184" i="8"/>
  <c r="U184" i="8"/>
  <c r="S184" i="8"/>
  <c r="Q184" i="8"/>
  <c r="O184" i="8"/>
  <c r="M184" i="8"/>
  <c r="K184" i="8"/>
  <c r="I184" i="8"/>
  <c r="G184" i="8"/>
  <c r="E184" i="8"/>
  <c r="C184" i="8"/>
  <c r="AA178" i="8"/>
  <c r="Y178" i="8"/>
  <c r="W178" i="8"/>
  <c r="U178" i="8"/>
  <c r="S178" i="8"/>
  <c r="Q178" i="8"/>
  <c r="O178" i="8"/>
  <c r="M178" i="8"/>
  <c r="K178" i="8"/>
  <c r="I178" i="8"/>
  <c r="G178" i="8"/>
  <c r="E178" i="8"/>
  <c r="C178" i="8"/>
  <c r="AA149" i="8"/>
  <c r="Y149" i="8"/>
  <c r="W149" i="8"/>
  <c r="U149" i="8"/>
  <c r="S149" i="8"/>
  <c r="Q149" i="8"/>
  <c r="O149" i="8"/>
  <c r="M149" i="8"/>
  <c r="K149" i="8"/>
  <c r="I149" i="8"/>
  <c r="G149" i="8"/>
  <c r="E149" i="8"/>
  <c r="C149" i="8"/>
  <c r="AA142" i="8"/>
  <c r="Y142" i="8"/>
  <c r="W142" i="8"/>
  <c r="U142" i="8"/>
  <c r="S142" i="8"/>
  <c r="Q142" i="8"/>
  <c r="O142" i="8"/>
  <c r="M142" i="8"/>
  <c r="K142" i="8"/>
  <c r="I142" i="8"/>
  <c r="G142" i="8"/>
  <c r="E142" i="8"/>
  <c r="C142" i="8"/>
  <c r="AA112" i="8"/>
  <c r="Y112" i="8"/>
  <c r="W112" i="8"/>
  <c r="U112" i="8"/>
  <c r="S112" i="8"/>
  <c r="Q112" i="8"/>
  <c r="O112" i="8"/>
  <c r="M112" i="8"/>
  <c r="K112" i="8"/>
  <c r="I112" i="8"/>
  <c r="G112" i="8"/>
  <c r="E112" i="8"/>
  <c r="C112" i="8"/>
  <c r="AA106" i="8"/>
  <c r="Y106" i="8"/>
  <c r="W106" i="8"/>
  <c r="U106" i="8"/>
  <c r="S106" i="8"/>
  <c r="Q106" i="8"/>
  <c r="O106" i="8"/>
  <c r="M106" i="8"/>
  <c r="K106" i="8"/>
  <c r="I106" i="8"/>
  <c r="G106" i="8"/>
  <c r="E106" i="8"/>
  <c r="C106" i="8"/>
  <c r="AA223" i="8"/>
  <c r="Y223" i="8"/>
  <c r="W223" i="8"/>
  <c r="U223" i="8"/>
  <c r="S223" i="8"/>
  <c r="Q223" i="8"/>
  <c r="O223" i="8"/>
  <c r="M223" i="8"/>
  <c r="K223" i="8"/>
  <c r="I223" i="8"/>
  <c r="G223" i="8"/>
  <c r="E223" i="8"/>
  <c r="C223" i="8"/>
  <c r="AA222" i="8"/>
  <c r="Y222" i="8"/>
  <c r="W222" i="8"/>
  <c r="U222" i="8"/>
  <c r="S222" i="8"/>
  <c r="Q222" i="8"/>
  <c r="O222" i="8"/>
  <c r="M222" i="8"/>
  <c r="K222" i="8"/>
  <c r="I222" i="8"/>
  <c r="G222" i="8"/>
  <c r="E222" i="8"/>
  <c r="C222" i="8"/>
  <c r="AA221" i="8"/>
  <c r="Y221" i="8"/>
  <c r="W221" i="8"/>
  <c r="U221" i="8"/>
  <c r="S221" i="8"/>
  <c r="Q221" i="8"/>
  <c r="O221" i="8"/>
  <c r="M221" i="8"/>
  <c r="K221" i="8"/>
  <c r="I221" i="8"/>
  <c r="G221" i="8"/>
  <c r="E221" i="8"/>
  <c r="C221" i="8"/>
  <c r="AA219" i="8"/>
  <c r="Y219" i="8"/>
  <c r="W219" i="8"/>
  <c r="U219" i="8"/>
  <c r="S219" i="8"/>
  <c r="Q219" i="8"/>
  <c r="O219" i="8"/>
  <c r="M219" i="8"/>
  <c r="K219" i="8"/>
  <c r="I219" i="8"/>
  <c r="G219" i="8"/>
  <c r="E219" i="8"/>
  <c r="C219" i="8"/>
  <c r="AA218" i="8"/>
  <c r="Y218" i="8"/>
  <c r="W218" i="8"/>
  <c r="U218" i="8"/>
  <c r="S218" i="8"/>
  <c r="Q218" i="8"/>
  <c r="O218" i="8"/>
  <c r="M218" i="8"/>
  <c r="K218" i="8"/>
  <c r="I218" i="8"/>
  <c r="G218" i="8"/>
  <c r="E218" i="8"/>
  <c r="C218" i="8"/>
  <c r="AA187" i="8"/>
  <c r="Y187" i="8"/>
  <c r="W187" i="8"/>
  <c r="U187" i="8"/>
  <c r="S187" i="8"/>
  <c r="Q187" i="8"/>
  <c r="O187" i="8"/>
  <c r="M187" i="8"/>
  <c r="K187" i="8"/>
  <c r="I187" i="8"/>
  <c r="G187" i="8"/>
  <c r="E187" i="8"/>
  <c r="C187" i="8"/>
  <c r="AA186" i="8"/>
  <c r="Y186" i="8"/>
  <c r="W186" i="8"/>
  <c r="U186" i="8"/>
  <c r="S186" i="8"/>
  <c r="Q186" i="8"/>
  <c r="O186" i="8"/>
  <c r="M186" i="8"/>
  <c r="K186" i="8"/>
  <c r="I186" i="8"/>
  <c r="G186" i="8"/>
  <c r="E186" i="8"/>
  <c r="C186" i="8"/>
  <c r="AA185" i="8"/>
  <c r="Y185" i="8"/>
  <c r="W185" i="8"/>
  <c r="U185" i="8"/>
  <c r="S185" i="8"/>
  <c r="Q185" i="8"/>
  <c r="O185" i="8"/>
  <c r="M185" i="8"/>
  <c r="K185" i="8"/>
  <c r="I185" i="8"/>
  <c r="G185" i="8"/>
  <c r="E185" i="8"/>
  <c r="C185" i="8"/>
  <c r="AA183" i="8"/>
  <c r="Y183" i="8"/>
  <c r="W183" i="8"/>
  <c r="U183" i="8"/>
  <c r="S183" i="8"/>
  <c r="Q183" i="8"/>
  <c r="O183" i="8"/>
  <c r="M183" i="8"/>
  <c r="K183" i="8"/>
  <c r="I183" i="8"/>
  <c r="G183" i="8"/>
  <c r="E183" i="8"/>
  <c r="C183" i="8"/>
  <c r="AA182" i="8"/>
  <c r="Y182" i="8"/>
  <c r="W182" i="8"/>
  <c r="U182" i="8"/>
  <c r="S182" i="8"/>
  <c r="Q182" i="8"/>
  <c r="O182" i="8"/>
  <c r="M182" i="8"/>
  <c r="K182" i="8"/>
  <c r="I182" i="8"/>
  <c r="G182" i="8"/>
  <c r="E182" i="8"/>
  <c r="C182" i="8"/>
  <c r="AA151" i="8"/>
  <c r="Y151" i="8"/>
  <c r="W151" i="8"/>
  <c r="U151" i="8"/>
  <c r="S151" i="8"/>
  <c r="Q151" i="8"/>
  <c r="O151" i="8"/>
  <c r="M151" i="8"/>
  <c r="K151" i="8"/>
  <c r="I151" i="8"/>
  <c r="G151" i="8"/>
  <c r="E151" i="8"/>
  <c r="C151" i="8"/>
  <c r="AA150" i="8"/>
  <c r="Y150" i="8"/>
  <c r="W150" i="8"/>
  <c r="U150" i="8"/>
  <c r="S150" i="8"/>
  <c r="Q150" i="8"/>
  <c r="O150" i="8"/>
  <c r="M150" i="8"/>
  <c r="K150" i="8"/>
  <c r="I150" i="8"/>
  <c r="G150" i="8"/>
  <c r="E150" i="8"/>
  <c r="C150" i="8"/>
  <c r="AA148" i="8"/>
  <c r="Y148" i="8"/>
  <c r="W148" i="8"/>
  <c r="U148" i="8"/>
  <c r="S148" i="8"/>
  <c r="Q148" i="8"/>
  <c r="O148" i="8"/>
  <c r="M148" i="8"/>
  <c r="K148" i="8"/>
  <c r="I148" i="8"/>
  <c r="G148" i="8"/>
  <c r="E148" i="8"/>
  <c r="C148" i="8"/>
  <c r="AA147" i="8"/>
  <c r="Y147" i="8"/>
  <c r="W147" i="8"/>
  <c r="U147" i="8"/>
  <c r="S147" i="8"/>
  <c r="Q147" i="8"/>
  <c r="O147" i="8"/>
  <c r="M147" i="8"/>
  <c r="K147" i="8"/>
  <c r="I147" i="8"/>
  <c r="G147" i="8"/>
  <c r="E147" i="8"/>
  <c r="C147" i="8"/>
  <c r="AA146" i="8"/>
  <c r="Y146" i="8"/>
  <c r="W146" i="8"/>
  <c r="U146" i="8"/>
  <c r="S146" i="8"/>
  <c r="Q146" i="8"/>
  <c r="O146" i="8"/>
  <c r="M146" i="8"/>
  <c r="K146" i="8"/>
  <c r="I146" i="8"/>
  <c r="G146" i="8"/>
  <c r="E146" i="8"/>
  <c r="C146" i="8"/>
  <c r="AA115" i="8"/>
  <c r="Y115" i="8"/>
  <c r="W115" i="8"/>
  <c r="U115" i="8"/>
  <c r="S115" i="8"/>
  <c r="Q115" i="8"/>
  <c r="O115" i="8"/>
  <c r="M115" i="8"/>
  <c r="K115" i="8"/>
  <c r="I115" i="8"/>
  <c r="G115" i="8"/>
  <c r="E115" i="8"/>
  <c r="AA114" i="8"/>
  <c r="Y114" i="8"/>
  <c r="W114" i="8"/>
  <c r="U114" i="8"/>
  <c r="S114" i="8"/>
  <c r="Q114" i="8"/>
  <c r="O114" i="8"/>
  <c r="M114" i="8"/>
  <c r="K114" i="8"/>
  <c r="I114" i="8"/>
  <c r="G114" i="8"/>
  <c r="E114" i="8"/>
  <c r="AA113" i="8"/>
  <c r="Y113" i="8"/>
  <c r="W113" i="8"/>
  <c r="U113" i="8"/>
  <c r="S113" i="8"/>
  <c r="Q113" i="8"/>
  <c r="O113" i="8"/>
  <c r="M113" i="8"/>
  <c r="K113" i="8"/>
  <c r="I113" i="8"/>
  <c r="G113" i="8"/>
  <c r="E113" i="8"/>
  <c r="AA111" i="8"/>
  <c r="Y111" i="8"/>
  <c r="W111" i="8"/>
  <c r="U111" i="8"/>
  <c r="S111" i="8"/>
  <c r="Q111" i="8"/>
  <c r="O111" i="8"/>
  <c r="M111" i="8"/>
  <c r="K111" i="8"/>
  <c r="I111" i="8"/>
  <c r="G111" i="8"/>
  <c r="E111" i="8"/>
  <c r="AA110" i="8"/>
  <c r="Y110" i="8"/>
  <c r="W110" i="8"/>
  <c r="U110" i="8"/>
  <c r="S110" i="8"/>
  <c r="Q110" i="8"/>
  <c r="O110" i="8"/>
  <c r="M110" i="8"/>
  <c r="K110" i="8"/>
  <c r="I110" i="8"/>
  <c r="G110" i="8"/>
  <c r="E110" i="8"/>
  <c r="AA216" i="8"/>
  <c r="Y216" i="8"/>
  <c r="W216" i="8"/>
  <c r="U216" i="8"/>
  <c r="S216" i="8"/>
  <c r="Q216" i="8"/>
  <c r="O216" i="8"/>
  <c r="M216" i="8"/>
  <c r="K216" i="8"/>
  <c r="I216" i="8"/>
  <c r="G216" i="8"/>
  <c r="E216" i="8"/>
  <c r="C216" i="8"/>
  <c r="AA215" i="8"/>
  <c r="Y215" i="8"/>
  <c r="W215" i="8"/>
  <c r="U215" i="8"/>
  <c r="S215" i="8"/>
  <c r="Q215" i="8"/>
  <c r="O215" i="8"/>
  <c r="M215" i="8"/>
  <c r="K215" i="8"/>
  <c r="I215" i="8"/>
  <c r="G215" i="8"/>
  <c r="E215" i="8"/>
  <c r="C215" i="8"/>
  <c r="AA213" i="8"/>
  <c r="Y213" i="8"/>
  <c r="W213" i="8"/>
  <c r="U213" i="8"/>
  <c r="S213" i="8"/>
  <c r="Q213" i="8"/>
  <c r="O213" i="8"/>
  <c r="M213" i="8"/>
  <c r="K213" i="8"/>
  <c r="I213" i="8"/>
  <c r="G213" i="8"/>
  <c r="E213" i="8"/>
  <c r="C213" i="8"/>
  <c r="AA212" i="8"/>
  <c r="Y212" i="8"/>
  <c r="W212" i="8"/>
  <c r="U212" i="8"/>
  <c r="S212" i="8"/>
  <c r="Q212" i="8"/>
  <c r="O212" i="8"/>
  <c r="M212" i="8"/>
  <c r="K212" i="8"/>
  <c r="I212" i="8"/>
  <c r="G212" i="8"/>
  <c r="E212" i="8"/>
  <c r="C212" i="8"/>
  <c r="AA211" i="8"/>
  <c r="Y211" i="8"/>
  <c r="W211" i="8"/>
  <c r="U211" i="8"/>
  <c r="S211" i="8"/>
  <c r="Q211" i="8"/>
  <c r="O211" i="8"/>
  <c r="M211" i="8"/>
  <c r="K211" i="8"/>
  <c r="I211" i="8"/>
  <c r="G211" i="8"/>
  <c r="E211" i="8"/>
  <c r="C211" i="8"/>
  <c r="AA180" i="8"/>
  <c r="Y180" i="8"/>
  <c r="W180" i="8"/>
  <c r="U180" i="8"/>
  <c r="S180" i="8"/>
  <c r="Q180" i="8"/>
  <c r="O180" i="8"/>
  <c r="M180" i="8"/>
  <c r="K180" i="8"/>
  <c r="I180" i="8"/>
  <c r="G180" i="8"/>
  <c r="E180" i="8"/>
  <c r="C180" i="8"/>
  <c r="AA179" i="8"/>
  <c r="Y179" i="8"/>
  <c r="W179" i="8"/>
  <c r="U179" i="8"/>
  <c r="S179" i="8"/>
  <c r="Q179" i="8"/>
  <c r="O179" i="8"/>
  <c r="M179" i="8"/>
  <c r="K179" i="8"/>
  <c r="I179" i="8"/>
  <c r="G179" i="8"/>
  <c r="E179" i="8"/>
  <c r="C179" i="8"/>
  <c r="AA177" i="8"/>
  <c r="Y177" i="8"/>
  <c r="W177" i="8"/>
  <c r="U177" i="8"/>
  <c r="S177" i="8"/>
  <c r="Q177" i="8"/>
  <c r="O177" i="8"/>
  <c r="M177" i="8"/>
  <c r="K177" i="8"/>
  <c r="I177" i="8"/>
  <c r="G177" i="8"/>
  <c r="E177" i="8"/>
  <c r="C177" i="8"/>
  <c r="AA176" i="8"/>
  <c r="Y176" i="8"/>
  <c r="W176" i="8"/>
  <c r="U176" i="8"/>
  <c r="S176" i="8"/>
  <c r="Q176" i="8"/>
  <c r="O176" i="8"/>
  <c r="M176" i="8"/>
  <c r="K176" i="8"/>
  <c r="I176" i="8"/>
  <c r="G176" i="8"/>
  <c r="E176" i="8"/>
  <c r="C176" i="8"/>
  <c r="AA175" i="8"/>
  <c r="Y175" i="8"/>
  <c r="W175" i="8"/>
  <c r="U175" i="8"/>
  <c r="S175" i="8"/>
  <c r="Q175" i="8"/>
  <c r="O175" i="8"/>
  <c r="M175" i="8"/>
  <c r="K175" i="8"/>
  <c r="I175" i="8"/>
  <c r="G175" i="8"/>
  <c r="E175" i="8"/>
  <c r="C175" i="8"/>
  <c r="AA144" i="8"/>
  <c r="Y144" i="8"/>
  <c r="W144" i="8"/>
  <c r="U144" i="8"/>
  <c r="S144" i="8"/>
  <c r="Q144" i="8"/>
  <c r="O144" i="8"/>
  <c r="M144" i="8"/>
  <c r="K144" i="8"/>
  <c r="I144" i="8"/>
  <c r="G144" i="8"/>
  <c r="E144" i="8"/>
  <c r="C144" i="8"/>
  <c r="AA143" i="8"/>
  <c r="Y143" i="8"/>
  <c r="W143" i="8"/>
  <c r="U143" i="8"/>
  <c r="S143" i="8"/>
  <c r="Q143" i="8"/>
  <c r="O143" i="8"/>
  <c r="M143" i="8"/>
  <c r="K143" i="8"/>
  <c r="I143" i="8"/>
  <c r="G143" i="8"/>
  <c r="E143" i="8"/>
  <c r="C143" i="8"/>
  <c r="AA141" i="8"/>
  <c r="Y141" i="8"/>
  <c r="W141" i="8"/>
  <c r="U141" i="8"/>
  <c r="S141" i="8"/>
  <c r="Q141" i="8"/>
  <c r="O141" i="8"/>
  <c r="M141" i="8"/>
  <c r="K141" i="8"/>
  <c r="I141" i="8"/>
  <c r="G141" i="8"/>
  <c r="E141" i="8"/>
  <c r="C141" i="8"/>
  <c r="AA140" i="8"/>
  <c r="Y140" i="8"/>
  <c r="W140" i="8"/>
  <c r="U140" i="8"/>
  <c r="S140" i="8"/>
  <c r="Q140" i="8"/>
  <c r="O140" i="8"/>
  <c r="M140" i="8"/>
  <c r="K140" i="8"/>
  <c r="I140" i="8"/>
  <c r="G140" i="8"/>
  <c r="E140" i="8"/>
  <c r="C140" i="8"/>
  <c r="AA139" i="8"/>
  <c r="Y139" i="8"/>
  <c r="W139" i="8"/>
  <c r="U139" i="8"/>
  <c r="S139" i="8"/>
  <c r="Q139" i="8"/>
  <c r="O139" i="8"/>
  <c r="M139" i="8"/>
  <c r="K139" i="8"/>
  <c r="I139" i="8"/>
  <c r="G139" i="8"/>
  <c r="E139" i="8"/>
  <c r="C139" i="8"/>
  <c r="AA108" i="8"/>
  <c r="Y108" i="8"/>
  <c r="W108" i="8"/>
  <c r="U108" i="8"/>
  <c r="S108" i="8"/>
  <c r="Q108" i="8"/>
  <c r="O108" i="8"/>
  <c r="M108" i="8"/>
  <c r="K108" i="8"/>
  <c r="I108" i="8"/>
  <c r="G108" i="8"/>
  <c r="E108" i="8"/>
  <c r="AA107" i="8"/>
  <c r="Y107" i="8"/>
  <c r="W107" i="8"/>
  <c r="U107" i="8"/>
  <c r="S107" i="8"/>
  <c r="Q107" i="8"/>
  <c r="O107" i="8"/>
  <c r="M107" i="8"/>
  <c r="K107" i="8"/>
  <c r="I107" i="8"/>
  <c r="G107" i="8"/>
  <c r="E107" i="8"/>
  <c r="AA105" i="8"/>
  <c r="Y105" i="8"/>
  <c r="W105" i="8"/>
  <c r="U105" i="8"/>
  <c r="S105" i="8"/>
  <c r="Q105" i="8"/>
  <c r="O105" i="8"/>
  <c r="M105" i="8"/>
  <c r="K105" i="8"/>
  <c r="I105" i="8"/>
  <c r="G105" i="8"/>
  <c r="E105" i="8"/>
  <c r="AA104" i="8"/>
  <c r="Y104" i="8"/>
  <c r="W104" i="8"/>
  <c r="U104" i="8"/>
  <c r="S104" i="8"/>
  <c r="Q104" i="8"/>
  <c r="O104" i="8"/>
  <c r="M104" i="8"/>
  <c r="K104" i="8"/>
  <c r="I104" i="8"/>
  <c r="G104" i="8"/>
  <c r="E104" i="8"/>
  <c r="AA103" i="8"/>
  <c r="Y103" i="8"/>
  <c r="W103" i="8"/>
  <c r="U103" i="8"/>
  <c r="S103" i="8"/>
  <c r="Q103" i="8"/>
  <c r="O103" i="8"/>
  <c r="M103" i="8"/>
  <c r="K103" i="8"/>
  <c r="I103" i="8"/>
  <c r="G103" i="8"/>
  <c r="E103" i="8"/>
  <c r="C108" i="8"/>
  <c r="C105" i="8"/>
  <c r="C104" i="8"/>
  <c r="C103" i="8"/>
  <c r="C115" i="8"/>
  <c r="C114" i="8"/>
  <c r="C113" i="8"/>
  <c r="C111" i="8"/>
  <c r="C110" i="8"/>
  <c r="X77" i="8"/>
  <c r="X76" i="8"/>
  <c r="X75" i="8"/>
  <c r="X74" i="8"/>
  <c r="X73" i="8"/>
  <c r="X72" i="8"/>
  <c r="Q77" i="8"/>
  <c r="Q76" i="8"/>
  <c r="Q75" i="8"/>
  <c r="Q74" i="8"/>
  <c r="Q73" i="8"/>
  <c r="Q72" i="8"/>
  <c r="J77" i="8"/>
  <c r="J76" i="8"/>
  <c r="J75" i="8"/>
  <c r="J74" i="8"/>
  <c r="J73" i="8"/>
  <c r="J72" i="8"/>
  <c r="C77" i="8"/>
  <c r="C76" i="8"/>
  <c r="C75" i="8"/>
  <c r="C74" i="8"/>
  <c r="C73" i="8"/>
  <c r="C72" i="8"/>
  <c r="X39" i="8"/>
  <c r="X38" i="8"/>
  <c r="X37" i="8"/>
  <c r="X36" i="8"/>
  <c r="X35" i="8"/>
  <c r="X34" i="8"/>
  <c r="Q39" i="8"/>
  <c r="Q38" i="8"/>
  <c r="Q37" i="8"/>
  <c r="Q36" i="8"/>
  <c r="Q35" i="8"/>
  <c r="Q34" i="8"/>
  <c r="J39" i="8"/>
  <c r="J38" i="8"/>
  <c r="J37" i="8"/>
  <c r="J36" i="8"/>
  <c r="J35" i="8"/>
  <c r="J34" i="8"/>
  <c r="C39" i="8"/>
  <c r="C38" i="8"/>
  <c r="C37" i="8"/>
  <c r="C36" i="8"/>
  <c r="C35" i="8"/>
  <c r="C34" i="8"/>
  <c r="AC255" i="7"/>
  <c r="W255" i="7"/>
  <c r="Q255" i="7"/>
  <c r="K255" i="7"/>
  <c r="E255" i="7"/>
  <c r="AC254" i="7"/>
  <c r="W254" i="7"/>
  <c r="Q254" i="7"/>
  <c r="K254" i="7"/>
  <c r="E254" i="7"/>
  <c r="AC253" i="7"/>
  <c r="W253" i="7"/>
  <c r="Q253" i="7"/>
  <c r="K253" i="7"/>
  <c r="E253" i="7"/>
  <c r="AC252" i="7"/>
  <c r="W252" i="7"/>
  <c r="Q252" i="7"/>
  <c r="K252" i="7"/>
  <c r="E252" i="7"/>
  <c r="AC251" i="7"/>
  <c r="W251" i="7"/>
  <c r="Q251" i="7"/>
  <c r="K251" i="7"/>
  <c r="E251" i="7"/>
  <c r="AC250" i="7"/>
  <c r="W250" i="7"/>
  <c r="Q250" i="7"/>
  <c r="K250" i="7"/>
  <c r="E250" i="7"/>
  <c r="AC219" i="7"/>
  <c r="W219" i="7"/>
  <c r="Q219" i="7"/>
  <c r="K219" i="7"/>
  <c r="E219" i="7"/>
  <c r="AC218" i="7"/>
  <c r="W218" i="7"/>
  <c r="Q218" i="7"/>
  <c r="K218" i="7"/>
  <c r="E218" i="7"/>
  <c r="AC217" i="7"/>
  <c r="W217" i="7"/>
  <c r="Q217" i="7"/>
  <c r="K217" i="7"/>
  <c r="E217" i="7"/>
  <c r="AC216" i="7"/>
  <c r="W216" i="7"/>
  <c r="Q216" i="7"/>
  <c r="K216" i="7"/>
  <c r="E216" i="7"/>
  <c r="AC215" i="7"/>
  <c r="W215" i="7"/>
  <c r="Q215" i="7"/>
  <c r="K215" i="7"/>
  <c r="E215" i="7"/>
  <c r="AC214" i="7"/>
  <c r="W214" i="7"/>
  <c r="Q214" i="7"/>
  <c r="K214" i="7"/>
  <c r="E214" i="7"/>
  <c r="AC183" i="7"/>
  <c r="W183" i="7"/>
  <c r="Q183" i="7"/>
  <c r="K183" i="7"/>
  <c r="E183" i="7"/>
  <c r="AC182" i="7"/>
  <c r="W182" i="7"/>
  <c r="Q182" i="7"/>
  <c r="K182" i="7"/>
  <c r="E182" i="7"/>
  <c r="AC181" i="7"/>
  <c r="W181" i="7"/>
  <c r="Q181" i="7"/>
  <c r="K181" i="7"/>
  <c r="E181" i="7"/>
  <c r="AC180" i="7"/>
  <c r="W180" i="7"/>
  <c r="Q180" i="7"/>
  <c r="K180" i="7"/>
  <c r="E180" i="7"/>
  <c r="AC179" i="7"/>
  <c r="W179" i="7"/>
  <c r="Q179" i="7"/>
  <c r="K179" i="7"/>
  <c r="E179" i="7"/>
  <c r="AC178" i="7"/>
  <c r="W178" i="7"/>
  <c r="Q178" i="7"/>
  <c r="K178" i="7"/>
  <c r="E178" i="7"/>
  <c r="AC149" i="7"/>
  <c r="AC148" i="7"/>
  <c r="AC147" i="7"/>
  <c r="AC146" i="7"/>
  <c r="AC145" i="7"/>
  <c r="AC144" i="7"/>
  <c r="W149" i="7"/>
  <c r="W148" i="7"/>
  <c r="W147" i="7"/>
  <c r="W146" i="7"/>
  <c r="W145" i="7"/>
  <c r="W144" i="7"/>
  <c r="Q149" i="7"/>
  <c r="Q148" i="7"/>
  <c r="Q147" i="7"/>
  <c r="Q146" i="7"/>
  <c r="Q145" i="7"/>
  <c r="Q144" i="7"/>
  <c r="K149" i="7"/>
  <c r="K148" i="7"/>
  <c r="K147" i="7"/>
  <c r="K146" i="7"/>
  <c r="K145" i="7"/>
  <c r="K144" i="7"/>
  <c r="E149" i="7"/>
  <c r="E148" i="7"/>
  <c r="E147" i="7"/>
  <c r="E146" i="7"/>
  <c r="E145" i="7"/>
  <c r="E144" i="7"/>
  <c r="AC220" i="8" l="1"/>
  <c r="AC214" i="8"/>
  <c r="AC184" i="8"/>
  <c r="AC178" i="8"/>
  <c r="AC142" i="8"/>
  <c r="AC149" i="8"/>
  <c r="AC112" i="8"/>
  <c r="AC106" i="8"/>
  <c r="AH144" i="7" l="1"/>
  <c r="AH149" i="7"/>
  <c r="AH146" i="7"/>
  <c r="AH145" i="7"/>
  <c r="AH252" i="7"/>
  <c r="AH216" i="7"/>
  <c r="AH182" i="7"/>
  <c r="AH178" i="7"/>
  <c r="S188" i="8"/>
  <c r="AC222" i="8"/>
  <c r="AC216" i="8"/>
  <c r="AC187" i="8"/>
  <c r="AC176" i="8"/>
  <c r="AC158" i="8"/>
  <c r="AC159" i="8"/>
  <c r="AC160" i="8"/>
  <c r="AC161" i="8"/>
  <c r="AC162" i="8"/>
  <c r="AC163" i="8"/>
  <c r="AC164" i="8"/>
  <c r="AC165" i="8"/>
  <c r="AC166" i="8"/>
  <c r="AC167" i="8"/>
  <c r="AC168" i="8"/>
  <c r="AC96" i="8"/>
  <c r="AC95" i="8"/>
  <c r="AC94" i="8"/>
  <c r="AC93" i="8"/>
  <c r="AC92" i="8"/>
  <c r="AC91" i="8"/>
  <c r="AC90" i="8"/>
  <c r="AC89" i="8"/>
  <c r="AC88" i="8"/>
  <c r="AC87" i="8"/>
  <c r="AC86" i="8"/>
  <c r="Y224" i="8"/>
  <c r="Q224" i="8"/>
  <c r="I224" i="8"/>
  <c r="Z209" i="8"/>
  <c r="X209" i="8"/>
  <c r="V209" i="8"/>
  <c r="T209" i="8"/>
  <c r="R209" i="8"/>
  <c r="P209" i="8"/>
  <c r="N209" i="8"/>
  <c r="L209" i="8"/>
  <c r="J209" i="8"/>
  <c r="H209" i="8"/>
  <c r="F209" i="8"/>
  <c r="D209" i="8"/>
  <c r="B209" i="8"/>
  <c r="Z173" i="8"/>
  <c r="X173" i="8"/>
  <c r="V173" i="8"/>
  <c r="T173" i="8"/>
  <c r="R173" i="8"/>
  <c r="P173" i="8"/>
  <c r="N173" i="8"/>
  <c r="L173" i="8"/>
  <c r="J173" i="8"/>
  <c r="H173" i="8"/>
  <c r="F173" i="8"/>
  <c r="D173" i="8"/>
  <c r="B173" i="8"/>
  <c r="Z137" i="8"/>
  <c r="X137" i="8"/>
  <c r="V137" i="8"/>
  <c r="T137" i="8"/>
  <c r="R137" i="8"/>
  <c r="P137" i="8"/>
  <c r="N137" i="8"/>
  <c r="L137" i="8"/>
  <c r="J137" i="8"/>
  <c r="H137" i="8"/>
  <c r="F137" i="8"/>
  <c r="D137" i="8"/>
  <c r="B137" i="8"/>
  <c r="AC182" i="8" l="1"/>
  <c r="AH217" i="7"/>
  <c r="U188" i="8"/>
  <c r="AH253" i="7"/>
  <c r="AC141" i="8"/>
  <c r="AH180" i="7"/>
  <c r="AH214" i="7"/>
  <c r="AH218" i="7"/>
  <c r="AH250" i="7"/>
  <c r="AH254" i="7"/>
  <c r="AH147" i="7"/>
  <c r="AH215" i="7"/>
  <c r="AH219" i="7"/>
  <c r="AH251" i="7"/>
  <c r="AH255" i="7"/>
  <c r="AH148" i="7"/>
  <c r="I188" i="8"/>
  <c r="E188" i="8"/>
  <c r="AH181" i="7"/>
  <c r="O188" i="8"/>
  <c r="W188" i="8"/>
  <c r="AC183" i="8"/>
  <c r="AC185" i="8"/>
  <c r="AC186" i="8"/>
  <c r="Q188" i="8"/>
  <c r="Y188" i="8"/>
  <c r="E224" i="8"/>
  <c r="G152" i="8"/>
  <c r="O152" i="8"/>
  <c r="W152" i="8"/>
  <c r="AC146" i="8"/>
  <c r="AC147" i="8"/>
  <c r="AC148" i="8"/>
  <c r="G224" i="8"/>
  <c r="O224" i="8"/>
  <c r="W224" i="8"/>
  <c r="AC218" i="8"/>
  <c r="AC219" i="8"/>
  <c r="AC221" i="8"/>
  <c r="AC223" i="8"/>
  <c r="AH179" i="7"/>
  <c r="AH183" i="7"/>
  <c r="AC175" i="8"/>
  <c r="M188" i="8"/>
  <c r="AC177" i="8"/>
  <c r="K188" i="8"/>
  <c r="AA188" i="8"/>
  <c r="AC179" i="8"/>
  <c r="AC180" i="8"/>
  <c r="C224" i="8"/>
  <c r="AC143" i="8"/>
  <c r="AC144" i="8"/>
  <c r="AC212" i="8"/>
  <c r="M224" i="8"/>
  <c r="U224" i="8"/>
  <c r="AC213" i="8"/>
  <c r="K224" i="8"/>
  <c r="S224" i="8"/>
  <c r="AA224" i="8"/>
  <c r="AC215" i="8"/>
  <c r="AC211" i="8"/>
  <c r="C188" i="8"/>
  <c r="G188" i="8"/>
  <c r="I152" i="8"/>
  <c r="Q152" i="8"/>
  <c r="Y152" i="8"/>
  <c r="C152" i="8"/>
  <c r="K152" i="8"/>
  <c r="S152" i="8"/>
  <c r="AA152" i="8"/>
  <c r="E152" i="8"/>
  <c r="M152" i="8"/>
  <c r="U152" i="8"/>
  <c r="AC113" i="8"/>
  <c r="AC105" i="8"/>
  <c r="AC111" i="8"/>
  <c r="AC224" i="8" l="1"/>
  <c r="AC210" i="8" s="1"/>
  <c r="AC188" i="8"/>
  <c r="AC173" i="8" s="1"/>
  <c r="Z249" i="7"/>
  <c r="T249" i="7"/>
  <c r="N249" i="7"/>
  <c r="H249" i="7"/>
  <c r="B249" i="7"/>
  <c r="Z213" i="7"/>
  <c r="T213" i="7"/>
  <c r="N213" i="7"/>
  <c r="H213" i="7"/>
  <c r="B213" i="7"/>
  <c r="B177" i="7"/>
  <c r="Z177" i="7"/>
  <c r="T177" i="7"/>
  <c r="N177" i="7"/>
  <c r="H177" i="7"/>
  <c r="Z143" i="7"/>
  <c r="T143" i="7"/>
  <c r="N143" i="7"/>
  <c r="H143" i="7"/>
  <c r="B143" i="7"/>
  <c r="AC209" i="8" l="1"/>
  <c r="AC208" i="8"/>
  <c r="AC174" i="8"/>
  <c r="AC217" i="8"/>
  <c r="AC172" i="8"/>
  <c r="AC181" i="8"/>
  <c r="K256" i="7"/>
  <c r="Q256" i="7"/>
  <c r="N246" i="7" s="1"/>
  <c r="W256" i="7"/>
  <c r="T246" i="7" s="1"/>
  <c r="Q220" i="7"/>
  <c r="N210" i="7" s="1"/>
  <c r="E256" i="7"/>
  <c r="AC256" i="7"/>
  <c r="Z246" i="7" s="1"/>
  <c r="Q184" i="7"/>
  <c r="N174" i="7" s="1"/>
  <c r="W220" i="7"/>
  <c r="T210" i="7" s="1"/>
  <c r="E220" i="7"/>
  <c r="B210" i="7" s="1"/>
  <c r="AC220" i="7"/>
  <c r="Z210" i="7" s="1"/>
  <c r="K220" i="7"/>
  <c r="H210" i="7" s="1"/>
  <c r="W184" i="7"/>
  <c r="T174" i="7" s="1"/>
  <c r="E184" i="7"/>
  <c r="AC184" i="7"/>
  <c r="Z174" i="7" s="1"/>
  <c r="K184" i="7"/>
  <c r="H174" i="7" s="1"/>
  <c r="K150" i="7"/>
  <c r="H140" i="7" s="1"/>
  <c r="W150" i="7"/>
  <c r="T140" i="7" s="1"/>
  <c r="AC150" i="7"/>
  <c r="Z140" i="7" s="1"/>
  <c r="Q150" i="7"/>
  <c r="N140" i="7" s="1"/>
  <c r="E150" i="7"/>
  <c r="U231" i="12"/>
  <c r="AH184" i="7" l="1"/>
  <c r="B140" i="7"/>
  <c r="AH150" i="7"/>
  <c r="H246" i="7"/>
  <c r="AH256" i="7"/>
  <c r="B174" i="7"/>
  <c r="B246" i="7"/>
  <c r="AH220" i="7"/>
  <c r="AC204" i="8"/>
  <c r="AC203" i="8"/>
  <c r="AC202" i="8"/>
  <c r="AC201" i="8"/>
  <c r="AC200" i="8"/>
  <c r="AC199" i="8"/>
  <c r="AC198" i="8"/>
  <c r="AC197" i="8"/>
  <c r="AC196" i="8"/>
  <c r="AC132" i="8"/>
  <c r="AC131" i="8"/>
  <c r="AC130" i="8"/>
  <c r="AC129" i="8"/>
  <c r="AC128" i="8"/>
  <c r="AC127" i="8"/>
  <c r="AC126" i="8"/>
  <c r="AC125" i="8"/>
  <c r="AC124" i="8"/>
  <c r="C40" i="8"/>
  <c r="D28" i="8" s="1"/>
  <c r="W33" i="8"/>
  <c r="P33" i="8"/>
  <c r="I33" i="8"/>
  <c r="B33" i="8"/>
  <c r="W71" i="8"/>
  <c r="P71" i="8"/>
  <c r="I71" i="8"/>
  <c r="B71" i="8"/>
  <c r="Y116" i="8"/>
  <c r="X97" i="8" s="1"/>
  <c r="X99" i="8" s="1"/>
  <c r="U116" i="8"/>
  <c r="T97" i="8" s="1"/>
  <c r="T99" i="8" s="1"/>
  <c r="S116" i="8"/>
  <c r="R97" i="8" s="1"/>
  <c r="R99" i="8" s="1"/>
  <c r="O116" i="8"/>
  <c r="N97" i="8" s="1"/>
  <c r="N99" i="8" s="1"/>
  <c r="M116" i="8"/>
  <c r="L97" i="8" s="1"/>
  <c r="L99" i="8" s="1"/>
  <c r="G116" i="8"/>
  <c r="F97" i="8" s="1"/>
  <c r="F99" i="8" s="1"/>
  <c r="D101" i="8"/>
  <c r="F101" i="8"/>
  <c r="H101" i="8"/>
  <c r="J101" i="8"/>
  <c r="L101" i="8"/>
  <c r="N101" i="8"/>
  <c r="P101" i="8"/>
  <c r="R101" i="8"/>
  <c r="T101" i="8"/>
  <c r="V101" i="8"/>
  <c r="X101" i="8"/>
  <c r="Z101" i="8"/>
  <c r="B101" i="8"/>
  <c r="AH213" i="7" l="1"/>
  <c r="AH212" i="7"/>
  <c r="AH142" i="7"/>
  <c r="AH143" i="7"/>
  <c r="AH249" i="7"/>
  <c r="AH248" i="7"/>
  <c r="AH177" i="7"/>
  <c r="AH176" i="7"/>
  <c r="X40" i="8"/>
  <c r="Y28" i="8" s="1"/>
  <c r="Q40" i="8"/>
  <c r="R28" i="8" s="1"/>
  <c r="W116" i="8"/>
  <c r="V97" i="8" s="1"/>
  <c r="V99" i="8" s="1"/>
  <c r="AA116" i="8"/>
  <c r="Z97" i="8" s="1"/>
  <c r="Z99" i="8" s="1"/>
  <c r="C78" i="8"/>
  <c r="D66" i="8" s="1"/>
  <c r="J78" i="8"/>
  <c r="K66" i="8" s="1"/>
  <c r="AC35" i="8"/>
  <c r="AC36" i="8"/>
  <c r="AC37" i="8"/>
  <c r="AC38" i="8"/>
  <c r="AC39" i="8"/>
  <c r="J40" i="8"/>
  <c r="X78" i="8"/>
  <c r="Y66" i="8" s="1"/>
  <c r="Q78" i="8"/>
  <c r="R66" i="8" s="1"/>
  <c r="AC34" i="8"/>
  <c r="Q116" i="8"/>
  <c r="P97" i="8" s="1"/>
  <c r="P99" i="8" s="1"/>
  <c r="I116" i="8"/>
  <c r="H97" i="8" s="1"/>
  <c r="H99" i="8" s="1"/>
  <c r="E116" i="8"/>
  <c r="D97" i="8" s="1"/>
  <c r="D99" i="8" s="1"/>
  <c r="F205" i="8"/>
  <c r="F207" i="8" s="1"/>
  <c r="N205" i="8"/>
  <c r="N207" i="8" s="1"/>
  <c r="V205" i="8"/>
  <c r="V207" i="8" s="1"/>
  <c r="K116" i="8"/>
  <c r="J97" i="8" s="1"/>
  <c r="J99" i="8" s="1"/>
  <c r="F169" i="8"/>
  <c r="F171" i="8" s="1"/>
  <c r="N169" i="8"/>
  <c r="N171" i="8" s="1"/>
  <c r="V169" i="8"/>
  <c r="V171" i="8" s="1"/>
  <c r="H205" i="8"/>
  <c r="H207" i="8" s="1"/>
  <c r="P205" i="8"/>
  <c r="P207" i="8" s="1"/>
  <c r="X205" i="8"/>
  <c r="X207" i="8" s="1"/>
  <c r="J205" i="8"/>
  <c r="J207" i="8" s="1"/>
  <c r="R205" i="8"/>
  <c r="R207" i="8" s="1"/>
  <c r="Z205" i="8"/>
  <c r="Z207" i="8" s="1"/>
  <c r="D205" i="8"/>
  <c r="D207" i="8" s="1"/>
  <c r="L205" i="8"/>
  <c r="L207" i="8" s="1"/>
  <c r="T205" i="8"/>
  <c r="T207" i="8" s="1"/>
  <c r="F133" i="8"/>
  <c r="F135" i="8" s="1"/>
  <c r="N133" i="8"/>
  <c r="N135" i="8" s="1"/>
  <c r="V133" i="8"/>
  <c r="V135" i="8" s="1"/>
  <c r="AC140" i="8"/>
  <c r="H169" i="8"/>
  <c r="H171" i="8" s="1"/>
  <c r="P169" i="8"/>
  <c r="P171" i="8" s="1"/>
  <c r="X169" i="8"/>
  <c r="X171" i="8" s="1"/>
  <c r="J169" i="8"/>
  <c r="J171" i="8" s="1"/>
  <c r="R169" i="8"/>
  <c r="R171" i="8" s="1"/>
  <c r="Z169" i="8"/>
  <c r="Z171" i="8" s="1"/>
  <c r="B205" i="8"/>
  <c r="B207" i="8" s="1"/>
  <c r="D169" i="8"/>
  <c r="D171" i="8" s="1"/>
  <c r="L169" i="8"/>
  <c r="L171" i="8" s="1"/>
  <c r="T169" i="8"/>
  <c r="T171" i="8" s="1"/>
  <c r="H133" i="8"/>
  <c r="H135" i="8" s="1"/>
  <c r="P133" i="8"/>
  <c r="P135" i="8" s="1"/>
  <c r="X133" i="8"/>
  <c r="X135" i="8" s="1"/>
  <c r="AC108" i="8"/>
  <c r="AC138" i="8"/>
  <c r="J133" i="8"/>
  <c r="J135" i="8" s="1"/>
  <c r="R133" i="8"/>
  <c r="R135" i="8" s="1"/>
  <c r="Z133" i="8"/>
  <c r="Z135" i="8" s="1"/>
  <c r="AC150" i="8"/>
  <c r="B169" i="8"/>
  <c r="D133" i="8"/>
  <c r="D135" i="8" s="1"/>
  <c r="L133" i="8"/>
  <c r="L135" i="8" s="1"/>
  <c r="T133" i="8"/>
  <c r="T135" i="8" s="1"/>
  <c r="AC139" i="8"/>
  <c r="AC151" i="8"/>
  <c r="B133" i="8"/>
  <c r="B135" i="8" s="1"/>
  <c r="AC103" i="8"/>
  <c r="AC114" i="8"/>
  <c r="AC104" i="8"/>
  <c r="AC110" i="8"/>
  <c r="AC115" i="8"/>
  <c r="B171" i="8" l="1"/>
  <c r="AC169" i="8"/>
  <c r="AC40" i="8"/>
  <c r="AC33" i="8" s="1"/>
  <c r="K28" i="8"/>
  <c r="AC205" i="8"/>
  <c r="AC133" i="8"/>
  <c r="AC152" i="8"/>
  <c r="AC137" i="8" l="1"/>
  <c r="AC145" i="8"/>
  <c r="AS197" i="5"/>
  <c r="W27" i="6" l="1"/>
  <c r="W23" i="6"/>
  <c r="W22" i="6"/>
  <c r="W21" i="6"/>
  <c r="W20" i="6"/>
  <c r="W19" i="6"/>
  <c r="W18" i="6"/>
  <c r="W17" i="6"/>
  <c r="W15" i="6"/>
  <c r="W13" i="6"/>
  <c r="W12" i="6"/>
  <c r="W11" i="6"/>
  <c r="W9" i="6"/>
  <c r="W8" i="6"/>
  <c r="W7" i="6"/>
  <c r="W34" i="6"/>
  <c r="W35" i="6"/>
  <c r="W36" i="6"/>
  <c r="W37" i="6"/>
  <c r="W33" i="6"/>
  <c r="W42" i="6"/>
  <c r="W43" i="6"/>
  <c r="W44" i="6"/>
  <c r="W45" i="6"/>
  <c r="W41" i="6"/>
  <c r="W50" i="6"/>
  <c r="W51" i="6"/>
  <c r="W52" i="6"/>
  <c r="W53" i="6"/>
  <c r="W49" i="6"/>
  <c r="W58" i="6"/>
  <c r="W59" i="6"/>
  <c r="W60" i="6"/>
  <c r="W61" i="6"/>
  <c r="W57" i="6"/>
  <c r="W79" i="6"/>
  <c r="W80" i="6"/>
  <c r="W81" i="6"/>
  <c r="W82" i="6"/>
  <c r="W83" i="6"/>
  <c r="W84" i="6"/>
  <c r="W85" i="6"/>
  <c r="W86" i="6"/>
  <c r="W78" i="6"/>
  <c r="W96" i="6"/>
  <c r="W97" i="6"/>
  <c r="W98" i="6"/>
  <c r="W99" i="6"/>
  <c r="W100" i="6"/>
  <c r="W101" i="6"/>
  <c r="W102" i="6"/>
  <c r="W103" i="6"/>
  <c r="W95" i="6"/>
  <c r="W113" i="6"/>
  <c r="W114" i="6"/>
  <c r="W115" i="6"/>
  <c r="W116" i="6"/>
  <c r="W112" i="6"/>
  <c r="W126" i="6"/>
  <c r="W127" i="6"/>
  <c r="W128" i="6"/>
  <c r="W129" i="6"/>
  <c r="W125" i="6"/>
  <c r="W131" i="6"/>
  <c r="W132" i="6"/>
  <c r="W133" i="6"/>
  <c r="W134" i="6"/>
  <c r="W130" i="6"/>
  <c r="W71" i="6"/>
  <c r="W72" i="6"/>
  <c r="W73" i="6"/>
  <c r="W74" i="6"/>
  <c r="W70" i="6"/>
  <c r="W69" i="6"/>
  <c r="W68" i="6"/>
  <c r="W67" i="6"/>
  <c r="W66" i="6"/>
  <c r="W65" i="6"/>
  <c r="AS206" i="5" l="1"/>
  <c r="AB130" i="5" l="1"/>
  <c r="T118" i="5"/>
  <c r="N66" i="11" l="1"/>
  <c r="N60" i="11"/>
  <c r="N59" i="11"/>
  <c r="N63" i="11" l="1"/>
  <c r="N64" i="11"/>
  <c r="N65" i="11"/>
  <c r="N62" i="11"/>
  <c r="N61" i="11"/>
  <c r="H38" i="12" l="1"/>
  <c r="P37" i="12" s="1"/>
  <c r="K22" i="14" l="1"/>
  <c r="H22" i="14"/>
  <c r="E22" i="14"/>
  <c r="E23" i="14" s="1"/>
  <c r="H24" i="14" l="1"/>
  <c r="H23" i="14"/>
  <c r="K24" i="14"/>
  <c r="K23" i="14"/>
  <c r="E24" i="14"/>
  <c r="O109" i="10" l="1"/>
  <c r="O103" i="10"/>
  <c r="L119" i="13" l="1"/>
  <c r="L117" i="13"/>
  <c r="Y116" i="13"/>
  <c r="S116" i="13" l="1"/>
  <c r="T116" i="13" s="1"/>
  <c r="W116" i="13" s="1"/>
  <c r="Y119" i="13"/>
  <c r="Y117" i="13"/>
  <c r="Y118" i="13"/>
  <c r="C155" i="10" l="1"/>
  <c r="I161" i="10"/>
  <c r="I160" i="10"/>
  <c r="H161" i="10"/>
  <c r="H160" i="10"/>
  <c r="G161" i="10"/>
  <c r="G160" i="10"/>
  <c r="I157" i="10"/>
  <c r="H157" i="10"/>
  <c r="G157" i="10"/>
  <c r="I156" i="10"/>
  <c r="H156" i="10"/>
  <c r="G156" i="10"/>
  <c r="I155" i="10"/>
  <c r="H155" i="10"/>
  <c r="G155" i="10"/>
  <c r="I159" i="10"/>
  <c r="H159" i="10"/>
  <c r="G159" i="10"/>
  <c r="I158" i="10"/>
  <c r="H158" i="10"/>
  <c r="G158" i="10"/>
  <c r="K155" i="10"/>
  <c r="J161" i="10" l="1"/>
  <c r="F161" i="10"/>
  <c r="F159" i="10"/>
  <c r="U365" i="12"/>
  <c r="F8" i="13"/>
  <c r="T13" i="6"/>
  <c r="V13" i="6" s="1"/>
  <c r="T12" i="6"/>
  <c r="V12" i="6" s="1"/>
  <c r="T11" i="6"/>
  <c r="V11" i="6" s="1"/>
  <c r="U367" i="12" l="1"/>
  <c r="U368" i="12"/>
  <c r="U369" i="12"/>
  <c r="U366" i="12"/>
  <c r="L264" i="12"/>
  <c r="L262" i="12"/>
  <c r="U260" i="12"/>
  <c r="U249" i="12"/>
  <c r="U262" i="12" l="1"/>
  <c r="U266" i="12"/>
  <c r="U270" i="12"/>
  <c r="U263" i="12"/>
  <c r="U267" i="12"/>
  <c r="U261" i="12"/>
  <c r="U264" i="12"/>
  <c r="U268" i="12"/>
  <c r="U265" i="12"/>
  <c r="U269" i="12"/>
  <c r="U205" i="12"/>
  <c r="U209" i="12"/>
  <c r="U204" i="12"/>
  <c r="U206" i="12"/>
  <c r="U210" i="12"/>
  <c r="U207" i="12"/>
  <c r="U211" i="12"/>
  <c r="U208" i="12"/>
  <c r="U212" i="12"/>
  <c r="U253" i="12"/>
  <c r="U257" i="12"/>
  <c r="U254" i="12"/>
  <c r="U258" i="12"/>
  <c r="U251" i="12"/>
  <c r="U255" i="12"/>
  <c r="U259" i="12"/>
  <c r="U252" i="12"/>
  <c r="U256" i="12"/>
  <c r="U250" i="12"/>
  <c r="U148" i="12"/>
  <c r="U152" i="12" s="1"/>
  <c r="O185" i="14"/>
  <c r="M185" i="14"/>
  <c r="L185" i="14"/>
  <c r="K185" i="14"/>
  <c r="J185" i="14"/>
  <c r="I185" i="14"/>
  <c r="H185" i="14"/>
  <c r="G185" i="14"/>
  <c r="F185" i="14"/>
  <c r="E185" i="14"/>
  <c r="D185" i="14"/>
  <c r="C185" i="14"/>
  <c r="O184" i="14"/>
  <c r="M184" i="14"/>
  <c r="L184" i="14"/>
  <c r="K184" i="14"/>
  <c r="J184" i="14"/>
  <c r="I184" i="14"/>
  <c r="H184" i="14"/>
  <c r="G184" i="14"/>
  <c r="F184" i="14"/>
  <c r="E184" i="14"/>
  <c r="D184" i="14"/>
  <c r="C184" i="14"/>
  <c r="U153" i="12"/>
  <c r="U154" i="12" s="1"/>
  <c r="U145" i="12"/>
  <c r="U142" i="12"/>
  <c r="U139" i="12"/>
  <c r="U136" i="12"/>
  <c r="U115" i="12"/>
  <c r="U110" i="12"/>
  <c r="U133" i="12"/>
  <c r="U147" i="12" l="1"/>
  <c r="U146" i="12"/>
  <c r="U113" i="12"/>
  <c r="U114" i="12"/>
  <c r="U111" i="12"/>
  <c r="U112" i="12"/>
  <c r="U141" i="12"/>
  <c r="U140" i="12"/>
  <c r="U117" i="12"/>
  <c r="U116" i="12"/>
  <c r="U137" i="12"/>
  <c r="U138" i="12"/>
  <c r="U143" i="12"/>
  <c r="U144" i="12"/>
  <c r="U149" i="12"/>
  <c r="U150" i="12"/>
  <c r="U151" i="12"/>
  <c r="U155" i="12"/>
  <c r="U157" i="12"/>
  <c r="U156" i="12"/>
  <c r="U121" i="12"/>
  <c r="L123" i="12"/>
  <c r="L120" i="12"/>
  <c r="U118" i="12"/>
  <c r="L117" i="12"/>
  <c r="U107" i="12"/>
  <c r="L114" i="12"/>
  <c r="L112" i="12"/>
  <c r="L109" i="12"/>
  <c r="U104" i="12"/>
  <c r="U101" i="12"/>
  <c r="L106" i="12"/>
  <c r="L103" i="12"/>
  <c r="U244" i="12"/>
  <c r="U50" i="12"/>
  <c r="U76" i="12"/>
  <c r="U106" i="12" l="1"/>
  <c r="U105" i="12"/>
  <c r="U119" i="12"/>
  <c r="U120" i="12"/>
  <c r="U108" i="12"/>
  <c r="U109" i="12"/>
  <c r="U123" i="12"/>
  <c r="U122" i="12"/>
  <c r="U72" i="12"/>
  <c r="U73" i="12" s="1"/>
  <c r="AS389" i="5"/>
  <c r="AJ389" i="5"/>
  <c r="AP389" i="5" s="1"/>
  <c r="AS300" i="5"/>
  <c r="AJ300" i="5"/>
  <c r="AP300" i="5" s="1"/>
  <c r="U74" i="12" l="1"/>
  <c r="U75" i="12"/>
  <c r="AW389" i="5"/>
  <c r="BB389" i="5" s="1"/>
  <c r="AW300" i="5"/>
  <c r="BB300" i="5" s="1"/>
  <c r="D5" i="4" l="1"/>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I131" i="4"/>
  <c r="J131" i="4"/>
  <c r="I132" i="4"/>
  <c r="J132" i="4"/>
  <c r="I133" i="4"/>
  <c r="J133" i="4"/>
  <c r="I134" i="4"/>
  <c r="J134" i="4"/>
  <c r="I135" i="4"/>
  <c r="J135" i="4"/>
  <c r="I136" i="4"/>
  <c r="J136" i="4"/>
  <c r="I137" i="4"/>
  <c r="J137" i="4"/>
  <c r="I138" i="4"/>
  <c r="J138" i="4"/>
  <c r="I139" i="4"/>
  <c r="J139" i="4"/>
  <c r="I140" i="4"/>
  <c r="J140" i="4"/>
  <c r="I141" i="4"/>
  <c r="J141" i="4"/>
  <c r="I142" i="4"/>
  <c r="J142" i="4"/>
  <c r="I143" i="4"/>
  <c r="J143" i="4"/>
  <c r="I144" i="4"/>
  <c r="J144" i="4"/>
  <c r="I145" i="4"/>
  <c r="J145" i="4"/>
  <c r="I146" i="4"/>
  <c r="J146" i="4"/>
  <c r="I147" i="4"/>
  <c r="J147" i="4"/>
  <c r="I148" i="4"/>
  <c r="J148" i="4"/>
  <c r="I149" i="4"/>
  <c r="J149" i="4"/>
  <c r="I150" i="4"/>
  <c r="J150" i="4"/>
  <c r="I151" i="4"/>
  <c r="J151" i="4"/>
  <c r="I152" i="4"/>
  <c r="J152" i="4"/>
  <c r="I153" i="4"/>
  <c r="J153" i="4"/>
  <c r="I154" i="4"/>
  <c r="J154" i="4"/>
  <c r="I155" i="4"/>
  <c r="J155" i="4"/>
  <c r="I156" i="4"/>
  <c r="J156" i="4"/>
  <c r="I157" i="4"/>
  <c r="J157" i="4"/>
  <c r="I158" i="4"/>
  <c r="J158" i="4"/>
  <c r="I159" i="4"/>
  <c r="J159" i="4"/>
  <c r="I160" i="4"/>
  <c r="J160" i="4"/>
  <c r="I161" i="4"/>
  <c r="J161" i="4"/>
  <c r="I162" i="4"/>
  <c r="J162" i="4"/>
  <c r="I163" i="4"/>
  <c r="J163" i="4"/>
  <c r="I164" i="4"/>
  <c r="J164" i="4"/>
  <c r="I165" i="4"/>
  <c r="J165" i="4"/>
  <c r="I166" i="4"/>
  <c r="J166" i="4"/>
  <c r="I167" i="4"/>
  <c r="J167" i="4"/>
  <c r="I168" i="4"/>
  <c r="J168" i="4"/>
  <c r="I169" i="4"/>
  <c r="J169" i="4"/>
  <c r="I170" i="4"/>
  <c r="J170" i="4"/>
  <c r="I171" i="4"/>
  <c r="J171" i="4"/>
  <c r="I172" i="4"/>
  <c r="J172" i="4"/>
  <c r="I173" i="4"/>
  <c r="J173" i="4"/>
  <c r="I174" i="4"/>
  <c r="J174" i="4"/>
  <c r="I175" i="4"/>
  <c r="J175" i="4"/>
  <c r="I176" i="4"/>
  <c r="J176" i="4"/>
  <c r="I177" i="4"/>
  <c r="J177" i="4"/>
  <c r="I178" i="4"/>
  <c r="J178" i="4"/>
  <c r="I179" i="4"/>
  <c r="J179" i="4"/>
  <c r="I180" i="4"/>
  <c r="J180" i="4"/>
  <c r="I181" i="4"/>
  <c r="J181" i="4"/>
  <c r="I182" i="4"/>
  <c r="J182" i="4"/>
  <c r="I183" i="4"/>
  <c r="J183" i="4"/>
  <c r="I184" i="4"/>
  <c r="J184" i="4"/>
  <c r="I185" i="4"/>
  <c r="J185" i="4"/>
  <c r="I186" i="4"/>
  <c r="J186" i="4"/>
  <c r="I187" i="4"/>
  <c r="J187" i="4"/>
  <c r="I188" i="4"/>
  <c r="J188" i="4"/>
  <c r="I189" i="4"/>
  <c r="J189" i="4"/>
  <c r="I190" i="4"/>
  <c r="J190" i="4"/>
  <c r="I191" i="4"/>
  <c r="J191" i="4"/>
  <c r="I192" i="4"/>
  <c r="J192" i="4"/>
  <c r="I193" i="4"/>
  <c r="J193" i="4"/>
  <c r="I194" i="4"/>
  <c r="J194" i="4"/>
  <c r="I195" i="4"/>
  <c r="J195" i="4"/>
  <c r="I196" i="4"/>
  <c r="J196" i="4"/>
  <c r="I197" i="4"/>
  <c r="J197" i="4"/>
  <c r="I198" i="4"/>
  <c r="J198" i="4"/>
  <c r="I199" i="4"/>
  <c r="J199" i="4"/>
  <c r="I200" i="4"/>
  <c r="J200" i="4"/>
  <c r="I201" i="4"/>
  <c r="J201" i="4"/>
  <c r="I202" i="4"/>
  <c r="J202" i="4"/>
  <c r="I203" i="4"/>
  <c r="J203" i="4"/>
  <c r="I204" i="4"/>
  <c r="J204" i="4"/>
  <c r="I205" i="4"/>
  <c r="J205" i="4"/>
  <c r="I206" i="4"/>
  <c r="J206" i="4"/>
  <c r="I207" i="4"/>
  <c r="J207" i="4"/>
  <c r="I208" i="4"/>
  <c r="J208" i="4"/>
  <c r="I209" i="4"/>
  <c r="J209" i="4"/>
  <c r="I210" i="4"/>
  <c r="J210" i="4"/>
  <c r="I211" i="4"/>
  <c r="J211" i="4"/>
  <c r="I212" i="4"/>
  <c r="J212" i="4"/>
  <c r="I213" i="4"/>
  <c r="J213" i="4"/>
  <c r="I214" i="4"/>
  <c r="J214" i="4"/>
  <c r="I215" i="4"/>
  <c r="J215" i="4"/>
  <c r="I216" i="4"/>
  <c r="J216" i="4"/>
  <c r="I217" i="4"/>
  <c r="J217" i="4"/>
  <c r="I218" i="4"/>
  <c r="J218" i="4"/>
  <c r="I219" i="4"/>
  <c r="J219" i="4"/>
  <c r="I220" i="4"/>
  <c r="J220" i="4"/>
  <c r="I221" i="4"/>
  <c r="J221" i="4"/>
  <c r="I222" i="4"/>
  <c r="J222" i="4"/>
  <c r="I223" i="4"/>
  <c r="J223" i="4"/>
  <c r="I224" i="4"/>
  <c r="J224" i="4"/>
  <c r="I225" i="4"/>
  <c r="J225" i="4"/>
  <c r="I226" i="4"/>
  <c r="J226" i="4"/>
  <c r="I227" i="4"/>
  <c r="J227" i="4"/>
  <c r="I228" i="4"/>
  <c r="J228" i="4"/>
  <c r="I229" i="4"/>
  <c r="J229" i="4"/>
  <c r="I230" i="4"/>
  <c r="J230" i="4"/>
  <c r="I231" i="4"/>
  <c r="J231" i="4"/>
  <c r="I232" i="4"/>
  <c r="J232" i="4"/>
  <c r="I233" i="4"/>
  <c r="J233" i="4"/>
  <c r="I234" i="4"/>
  <c r="J234" i="4"/>
  <c r="I235" i="4"/>
  <c r="J235" i="4"/>
  <c r="I236" i="4"/>
  <c r="J236" i="4"/>
  <c r="I237" i="4"/>
  <c r="J237" i="4"/>
  <c r="I238" i="4"/>
  <c r="J238" i="4"/>
  <c r="I239" i="4"/>
  <c r="J239" i="4"/>
  <c r="I240" i="4"/>
  <c r="J240" i="4"/>
  <c r="I241" i="4"/>
  <c r="J241" i="4"/>
  <c r="I242" i="4"/>
  <c r="J242" i="4"/>
  <c r="I243" i="4"/>
  <c r="J243" i="4"/>
  <c r="I244" i="4"/>
  <c r="J244" i="4"/>
  <c r="I245" i="4"/>
  <c r="J245" i="4"/>
  <c r="I246" i="4"/>
  <c r="J246" i="4"/>
  <c r="I247" i="4"/>
  <c r="J247" i="4"/>
  <c r="I248" i="4"/>
  <c r="J248" i="4"/>
  <c r="I249" i="4"/>
  <c r="J249" i="4"/>
  <c r="I250" i="4"/>
  <c r="J250" i="4"/>
  <c r="I251" i="4"/>
  <c r="J251" i="4"/>
  <c r="I252" i="4"/>
  <c r="J252" i="4"/>
  <c r="I253" i="4"/>
  <c r="J253" i="4"/>
  <c r="I254" i="4"/>
  <c r="J254" i="4"/>
  <c r="AL70" i="5" l="1"/>
  <c r="AL69" i="5"/>
  <c r="AL68" i="5"/>
  <c r="AJ70" i="5"/>
  <c r="AJ69" i="5"/>
  <c r="AJ68" i="5"/>
  <c r="AP29" i="5"/>
  <c r="AN29" i="5"/>
  <c r="AP28" i="5"/>
  <c r="AN28" i="5"/>
  <c r="AP27" i="5"/>
  <c r="AN27" i="5"/>
  <c r="AS540" i="5" l="1"/>
  <c r="AS539" i="5"/>
  <c r="AS538" i="5"/>
  <c r="AS535" i="5"/>
  <c r="AS480" i="5"/>
  <c r="AS479" i="5"/>
  <c r="AS478" i="5"/>
  <c r="AS475" i="5"/>
  <c r="U91" i="9"/>
  <c r="R91" i="9"/>
  <c r="AS418" i="5"/>
  <c r="AS416" i="5"/>
  <c r="AS414" i="5"/>
  <c r="AC195" i="8"/>
  <c r="AC194" i="8"/>
  <c r="AC123" i="8"/>
  <c r="AC122" i="8"/>
  <c r="AS355" i="5"/>
  <c r="AS353" i="5"/>
  <c r="V132" i="6"/>
  <c r="T132" i="6"/>
  <c r="V131" i="6"/>
  <c r="T131" i="6"/>
  <c r="V119" i="6"/>
  <c r="T119" i="6"/>
  <c r="V118" i="6"/>
  <c r="T118" i="6"/>
  <c r="AS537" i="5" s="1"/>
  <c r="V106" i="6"/>
  <c r="T106" i="6"/>
  <c r="V105" i="6"/>
  <c r="T105" i="6"/>
  <c r="V89" i="6"/>
  <c r="T89" i="6"/>
  <c r="V88" i="6"/>
  <c r="T88" i="6"/>
  <c r="V72" i="6"/>
  <c r="T72" i="6"/>
  <c r="V71" i="6"/>
  <c r="T71" i="6"/>
  <c r="I6" i="13" l="1"/>
  <c r="I9" i="13"/>
  <c r="I8" i="13"/>
  <c r="I14" i="13"/>
  <c r="I13" i="13"/>
  <c r="V133" i="6" l="1"/>
  <c r="T133" i="6"/>
  <c r="V120" i="6"/>
  <c r="T120" i="6"/>
  <c r="V107" i="6"/>
  <c r="T107" i="6"/>
  <c r="V90" i="6"/>
  <c r="T90" i="6"/>
  <c r="V73" i="6"/>
  <c r="T73" i="6"/>
  <c r="AJ591" i="5" l="1"/>
  <c r="AP591" i="5" s="1"/>
  <c r="AJ590" i="5"/>
  <c r="AP590" i="5" s="1"/>
  <c r="AJ589" i="5"/>
  <c r="AP589" i="5" s="1"/>
  <c r="AJ540" i="5"/>
  <c r="AP540" i="5" s="1"/>
  <c r="AW540" i="5" s="1"/>
  <c r="BB540" i="5" s="1"/>
  <c r="AJ539" i="5"/>
  <c r="AP539" i="5" s="1"/>
  <c r="AW539" i="5" s="1"/>
  <c r="BB539" i="5" s="1"/>
  <c r="AJ538" i="5"/>
  <c r="AP538" i="5" s="1"/>
  <c r="AW538" i="5" s="1"/>
  <c r="BB538" i="5" s="1"/>
  <c r="AJ480" i="5"/>
  <c r="AP480" i="5" s="1"/>
  <c r="AW480" i="5" s="1"/>
  <c r="BB480" i="5" s="1"/>
  <c r="AJ479" i="5"/>
  <c r="AP479" i="5" s="1"/>
  <c r="AW479" i="5" s="1"/>
  <c r="BB479" i="5" s="1"/>
  <c r="AJ478" i="5"/>
  <c r="AP478" i="5" s="1"/>
  <c r="AW478" i="5" s="1"/>
  <c r="BB478" i="5" s="1"/>
  <c r="AJ419" i="5"/>
  <c r="AP419" i="5" s="1"/>
  <c r="AJ418" i="5"/>
  <c r="AP418" i="5" s="1"/>
  <c r="AW418" i="5" s="1"/>
  <c r="BB418" i="5" s="1"/>
  <c r="AJ417" i="5"/>
  <c r="AP417" i="5" s="1"/>
  <c r="AJ354" i="5"/>
  <c r="AP354" i="5" s="1"/>
  <c r="AJ353" i="5"/>
  <c r="AP353" i="5" s="1"/>
  <c r="AW353" i="5" s="1"/>
  <c r="BB353" i="5" s="1"/>
  <c r="U355" i="12" l="1"/>
  <c r="Y112" i="13" l="1"/>
  <c r="BB116" i="5" l="1"/>
  <c r="BB122" i="5" s="1"/>
  <c r="X118" i="5"/>
  <c r="AB118" i="5"/>
  <c r="AJ117" i="5" l="1"/>
  <c r="BB117" i="5"/>
  <c r="BB118" i="5"/>
  <c r="BB119" i="5"/>
  <c r="BB120" i="5"/>
  <c r="BB121" i="5"/>
  <c r="C269" i="14"/>
  <c r="C268" i="14"/>
  <c r="C267" i="14"/>
  <c r="C248" i="14"/>
  <c r="C247" i="14"/>
  <c r="C246" i="14"/>
  <c r="C241" i="14"/>
  <c r="C240" i="14"/>
  <c r="C239" i="14"/>
  <c r="C213" i="14"/>
  <c r="C212" i="14"/>
  <c r="C211" i="14"/>
  <c r="C206" i="14"/>
  <c r="D178" i="10"/>
  <c r="D177" i="10"/>
  <c r="Y19" i="13"/>
  <c r="Y20" i="13" s="1"/>
  <c r="L20" i="13"/>
  <c r="S19" i="13" s="1"/>
  <c r="T19" i="13" s="1"/>
  <c r="W19" i="13" s="1"/>
  <c r="L113" i="13"/>
  <c r="S112" i="13" s="1"/>
  <c r="AN117" i="5" l="1"/>
  <c r="AV117" i="5" s="1"/>
  <c r="AS451" i="5"/>
  <c r="AJ451" i="5"/>
  <c r="AP451" i="5" s="1"/>
  <c r="AS450" i="5"/>
  <c r="AJ450" i="5"/>
  <c r="AP450" i="5" s="1"/>
  <c r="AS449" i="5"/>
  <c r="AJ449" i="5"/>
  <c r="AP449" i="5" s="1"/>
  <c r="AS448" i="5"/>
  <c r="AJ448" i="5"/>
  <c r="AP448" i="5" s="1"/>
  <c r="AS233" i="5"/>
  <c r="AJ233" i="5"/>
  <c r="AP233" i="5" s="1"/>
  <c r="AS232" i="5"/>
  <c r="AJ232" i="5"/>
  <c r="AP232" i="5" s="1"/>
  <c r="AS205" i="5"/>
  <c r="AJ205" i="5"/>
  <c r="AP205" i="5" s="1"/>
  <c r="AS204" i="5"/>
  <c r="AJ204" i="5"/>
  <c r="AP204" i="5" s="1"/>
  <c r="AW233" i="5" l="1"/>
  <c r="BB233" i="5" s="1"/>
  <c r="AW448" i="5"/>
  <c r="BB448" i="5" s="1"/>
  <c r="AW450" i="5"/>
  <c r="BB450" i="5" s="1"/>
  <c r="AW205" i="5"/>
  <c r="BB205" i="5" s="1"/>
  <c r="AW204" i="5"/>
  <c r="BB204" i="5" s="1"/>
  <c r="AW232" i="5"/>
  <c r="BB232" i="5" s="1"/>
  <c r="AW449" i="5"/>
  <c r="BB449" i="5" s="1"/>
  <c r="AW451" i="5"/>
  <c r="BB451" i="5" s="1"/>
  <c r="L91" i="9"/>
  <c r="G149" i="10" l="1"/>
  <c r="G148" i="10"/>
  <c r="G147" i="10"/>
  <c r="G146" i="10"/>
  <c r="G145" i="10"/>
  <c r="G144" i="10"/>
  <c r="G143" i="10"/>
  <c r="G142" i="10"/>
  <c r="G141" i="10"/>
  <c r="G140" i="10"/>
  <c r="G139" i="10"/>
  <c r="G138" i="10"/>
  <c r="G137" i="10"/>
  <c r="G136" i="10"/>
  <c r="G135" i="10"/>
  <c r="G132" i="10"/>
  <c r="G131" i="10"/>
  <c r="G130" i="10"/>
  <c r="G129" i="10"/>
  <c r="G128" i="10"/>
  <c r="G127" i="10"/>
  <c r="G126" i="10"/>
  <c r="G123" i="10"/>
  <c r="G122" i="10"/>
  <c r="G115" i="10"/>
  <c r="G114" i="10"/>
  <c r="G113" i="10"/>
  <c r="G112" i="10"/>
  <c r="G111" i="10"/>
  <c r="B101" i="10"/>
  <c r="B100" i="10"/>
  <c r="F101" i="10"/>
  <c r="G101" i="10" s="1"/>
  <c r="F100" i="10"/>
  <c r="G100" i="10" s="1"/>
  <c r="K101" i="10"/>
  <c r="K100" i="10"/>
  <c r="K46" i="11" l="1"/>
  <c r="K45" i="11"/>
  <c r="K44" i="11"/>
  <c r="K43" i="11"/>
  <c r="K42" i="11"/>
  <c r="K41" i="11"/>
  <c r="K40" i="11"/>
  <c r="K39" i="11"/>
  <c r="K38" i="11"/>
  <c r="K37" i="11"/>
  <c r="K36" i="11"/>
  <c r="K35" i="11"/>
  <c r="K34" i="11"/>
  <c r="K33" i="11"/>
  <c r="K32" i="11"/>
  <c r="K22" i="11"/>
  <c r="K21" i="11"/>
  <c r="K20" i="11"/>
  <c r="K19" i="11"/>
  <c r="K18" i="11"/>
  <c r="K17" i="11"/>
  <c r="K16" i="11"/>
  <c r="K15" i="11"/>
  <c r="K13" i="11"/>
  <c r="U383" i="12" l="1"/>
  <c r="U380" i="12"/>
  <c r="U91" i="12"/>
  <c r="AS235" i="5" l="1"/>
  <c r="AJ235" i="5"/>
  <c r="AP235" i="5" s="1"/>
  <c r="AS202" i="5"/>
  <c r="AJ202" i="5"/>
  <c r="AP202" i="5" s="1"/>
  <c r="AW202" i="5" l="1"/>
  <c r="BB202" i="5" s="1"/>
  <c r="AW235" i="5"/>
  <c r="BB235" i="5" s="1"/>
  <c r="I99" i="12"/>
  <c r="U97" i="12"/>
  <c r="U100" i="12" s="1"/>
  <c r="U53" i="12"/>
  <c r="U98" i="12" l="1"/>
  <c r="U99" i="12"/>
  <c r="Y77" i="13"/>
  <c r="Y81" i="13" s="1"/>
  <c r="Y124" i="13"/>
  <c r="Y129" i="13" s="1"/>
  <c r="Y120" i="13"/>
  <c r="Y123" i="13" s="1"/>
  <c r="Y114" i="13"/>
  <c r="Y115" i="13" s="1"/>
  <c r="Y110" i="13"/>
  <c r="Y111" i="13" s="1"/>
  <c r="Y108" i="13"/>
  <c r="Y109" i="13" s="1"/>
  <c r="Y104" i="13"/>
  <c r="Y107" i="13" s="1"/>
  <c r="Y100" i="13"/>
  <c r="Y103" i="13" s="1"/>
  <c r="Y96" i="13"/>
  <c r="Y99" i="13" s="1"/>
  <c r="Y91" i="13"/>
  <c r="Y95" i="13" s="1"/>
  <c r="Y89" i="13"/>
  <c r="Y90" i="13" s="1"/>
  <c r="Y84" i="13"/>
  <c r="Y88" i="13" s="1"/>
  <c r="Y73" i="13"/>
  <c r="Y76" i="13" s="1"/>
  <c r="Y69" i="13"/>
  <c r="Y72" i="13" s="1"/>
  <c r="Y65" i="13"/>
  <c r="Y68" i="13" s="1"/>
  <c r="Y61" i="13"/>
  <c r="Y64" i="13" s="1"/>
  <c r="Y45" i="13"/>
  <c r="Y48" i="13" s="1"/>
  <c r="Y59" i="13"/>
  <c r="Y60" i="13" s="1"/>
  <c r="Y57" i="13"/>
  <c r="Y58" i="13" s="1"/>
  <c r="Y55" i="13"/>
  <c r="Y56" i="13" s="1"/>
  <c r="Y53" i="13"/>
  <c r="Y54" i="13" s="1"/>
  <c r="Y51" i="13"/>
  <c r="Y52" i="13" s="1"/>
  <c r="Y49" i="13"/>
  <c r="Y50" i="13" s="1"/>
  <c r="Y39" i="13"/>
  <c r="Y31" i="13" s="1"/>
  <c r="Y32" i="13" s="1"/>
  <c r="Y37" i="13"/>
  <c r="Y38" i="13" s="1"/>
  <c r="Y35" i="13"/>
  <c r="Y36" i="13" s="1"/>
  <c r="Y33" i="13"/>
  <c r="Y34" i="13" s="1"/>
  <c r="Y29" i="13"/>
  <c r="Y30" i="13" s="1"/>
  <c r="Y27" i="13"/>
  <c r="Y28" i="13" s="1"/>
  <c r="Y23" i="13"/>
  <c r="Y24" i="13" s="1"/>
  <c r="Y21" i="13"/>
  <c r="Y22" i="13" s="1"/>
  <c r="Y17" i="13"/>
  <c r="Y79" i="13" l="1"/>
  <c r="Y83" i="13"/>
  <c r="Y78" i="13"/>
  <c r="Y82" i="13"/>
  <c r="Y80" i="13"/>
  <c r="Y62" i="13"/>
  <c r="Y41" i="13"/>
  <c r="Y63" i="13"/>
  <c r="Y42" i="13"/>
  <c r="Y43" i="13"/>
  <c r="Y40" i="13"/>
  <c r="Y44" i="13"/>
  <c r="Y66" i="13"/>
  <c r="Y67" i="13"/>
  <c r="Y70" i="13"/>
  <c r="Y71" i="13"/>
  <c r="Y74" i="13"/>
  <c r="Y75" i="13"/>
  <c r="Y85" i="13"/>
  <c r="Y86" i="13"/>
  <c r="Y87" i="13"/>
  <c r="Y92" i="13"/>
  <c r="Y93" i="13"/>
  <c r="Y94" i="13"/>
  <c r="Y97" i="13"/>
  <c r="Y98" i="13"/>
  <c r="Y101" i="13"/>
  <c r="Y102" i="13"/>
  <c r="Y105" i="13"/>
  <c r="Y106" i="13"/>
  <c r="Y113" i="13"/>
  <c r="Y121" i="13"/>
  <c r="Y122" i="13"/>
  <c r="Y125" i="13"/>
  <c r="Y126" i="13"/>
  <c r="Y127" i="13"/>
  <c r="Y128" i="13"/>
  <c r="Y46" i="13"/>
  <c r="Y47" i="13"/>
  <c r="I186" i="10"/>
  <c r="I185" i="10"/>
  <c r="I183" i="10"/>
  <c r="I180" i="10"/>
  <c r="I178" i="10"/>
  <c r="I176" i="10"/>
  <c r="I175" i="10"/>
  <c r="I172" i="10"/>
  <c r="I171" i="10"/>
  <c r="I170" i="10"/>
  <c r="C25" i="6" l="1"/>
  <c r="T25" i="6"/>
  <c r="V25" i="6" s="1"/>
  <c r="AL75" i="5"/>
  <c r="AJ75" i="5"/>
  <c r="AL74" i="5"/>
  <c r="AJ74" i="5"/>
  <c r="V24" i="5" l="1"/>
  <c r="V22" i="5"/>
  <c r="V20" i="5"/>
  <c r="W25" i="6"/>
  <c r="V73" i="5"/>
  <c r="V48" i="5"/>
  <c r="V44" i="5"/>
  <c r="V39" i="5"/>
  <c r="V47" i="5"/>
  <c r="V42" i="5"/>
  <c r="V38" i="5"/>
  <c r="V45" i="5"/>
  <c r="V46" i="5"/>
  <c r="V41" i="5"/>
  <c r="V37" i="5"/>
  <c r="V40" i="5"/>
  <c r="V43" i="5"/>
  <c r="V21" i="5"/>
  <c r="AB21" i="5" s="1"/>
  <c r="V62" i="5"/>
  <c r="V59" i="5"/>
  <c r="AL73" i="5"/>
  <c r="BB72" i="5" l="1"/>
  <c r="BB75" i="5" s="1"/>
  <c r="AB73" i="5"/>
  <c r="AF73" i="5" s="1"/>
  <c r="AR73" i="5" s="1"/>
  <c r="BB37" i="5"/>
  <c r="BB36" i="5"/>
  <c r="BB48" i="5"/>
  <c r="AB48" i="5"/>
  <c r="AB47" i="5"/>
  <c r="BB47" i="5"/>
  <c r="AB44" i="5"/>
  <c r="BB44" i="5"/>
  <c r="BB45" i="5"/>
  <c r="AB45" i="5"/>
  <c r="BB42" i="5"/>
  <c r="AB42" i="5"/>
  <c r="AB41" i="5"/>
  <c r="BB41" i="5"/>
  <c r="BB38" i="5"/>
  <c r="AB38" i="5"/>
  <c r="AB39" i="5"/>
  <c r="BB39" i="5"/>
  <c r="AB40" i="5"/>
  <c r="BB40" i="5"/>
  <c r="AB43" i="5"/>
  <c r="BB43" i="5"/>
  <c r="AB46" i="5"/>
  <c r="BB46" i="5"/>
  <c r="AB37" i="5"/>
  <c r="AR37" i="5" s="1"/>
  <c r="BB21" i="5"/>
  <c r="BB22" i="5"/>
  <c r="AB22" i="5"/>
  <c r="BB20" i="5"/>
  <c r="AB20" i="5"/>
  <c r="BB62" i="5"/>
  <c r="AB62" i="5"/>
  <c r="BB59" i="5"/>
  <c r="AB59" i="5"/>
  <c r="AJ196" i="5"/>
  <c r="BB73" i="5" l="1"/>
  <c r="BB74" i="5"/>
  <c r="BB76" i="5"/>
  <c r="AR46" i="5"/>
  <c r="AR44" i="5"/>
  <c r="AR45" i="5"/>
  <c r="AR43" i="5"/>
  <c r="AR39" i="5"/>
  <c r="AR41" i="5"/>
  <c r="AR47" i="5"/>
  <c r="AR40" i="5"/>
  <c r="AR38" i="5"/>
  <c r="AR42" i="5"/>
  <c r="AR48" i="5"/>
  <c r="AV73" i="5"/>
  <c r="AV37" i="5" l="1"/>
  <c r="BB110" i="5"/>
  <c r="AL109" i="5"/>
  <c r="AF109" i="5"/>
  <c r="AB109" i="5"/>
  <c r="V103" i="5"/>
  <c r="T103" i="5"/>
  <c r="J23" i="13" l="1"/>
  <c r="L32" i="13"/>
  <c r="S31" i="13" s="1"/>
  <c r="T31" i="13" s="1"/>
  <c r="W31" i="13" s="1"/>
  <c r="L30" i="13"/>
  <c r="S29" i="13" s="1"/>
  <c r="T29" i="13" s="1"/>
  <c r="W29" i="13" s="1"/>
  <c r="L28" i="13"/>
  <c r="S27" i="13" s="1"/>
  <c r="T27" i="13" s="1"/>
  <c r="W27" i="13" s="1"/>
  <c r="L24" i="13"/>
  <c r="S23" i="13" s="1"/>
  <c r="T23" i="13" l="1"/>
  <c r="W23" i="13" s="1"/>
  <c r="Y11" i="13"/>
  <c r="Y16" i="13" s="1"/>
  <c r="Y5" i="13"/>
  <c r="Y10" i="13" s="1"/>
  <c r="L40" i="13"/>
  <c r="Y6" i="13" l="1"/>
  <c r="Y7" i="13"/>
  <c r="Y8" i="13"/>
  <c r="Y9" i="13"/>
  <c r="Y12" i="13"/>
  <c r="Y13" i="13"/>
  <c r="Y14" i="13"/>
  <c r="Y15" i="13"/>
  <c r="P129" i="5"/>
  <c r="X132" i="5" l="1"/>
  <c r="Z131" i="5"/>
  <c r="Z132" i="5"/>
  <c r="X131" i="5"/>
  <c r="H54" i="12" l="1"/>
  <c r="U460" i="12"/>
  <c r="U448" i="12"/>
  <c r="O471" i="12"/>
  <c r="R471" i="12" s="1"/>
  <c r="U471" i="12" l="1"/>
  <c r="AX6" i="5"/>
  <c r="X129" i="5" s="1"/>
  <c r="X130" i="5" s="1"/>
  <c r="AU6" i="5"/>
  <c r="O459" i="12" l="1"/>
  <c r="R459" i="12" l="1"/>
  <c r="U459" i="12" s="1"/>
  <c r="H464" i="12"/>
  <c r="K325" i="12"/>
  <c r="U352" i="12"/>
  <c r="U354" i="12" s="1"/>
  <c r="U336" i="12"/>
  <c r="U337" i="12" s="1"/>
  <c r="K279" i="12"/>
  <c r="U292" i="12"/>
  <c r="U353" i="12" l="1"/>
  <c r="U293" i="12"/>
  <c r="L241" i="12"/>
  <c r="L236" i="12"/>
  <c r="L228" i="12"/>
  <c r="U213" i="12" l="1"/>
  <c r="N224" i="12"/>
  <c r="N223" i="12"/>
  <c r="L214" i="12" s="1"/>
  <c r="L215" i="12" s="1"/>
  <c r="U224" i="12"/>
  <c r="U223" i="12"/>
  <c r="K71" i="14"/>
  <c r="K73" i="14" s="1"/>
  <c r="K70" i="14"/>
  <c r="H71" i="14"/>
  <c r="H73" i="14" s="1"/>
  <c r="H70" i="14"/>
  <c r="E71" i="14"/>
  <c r="E73" i="14" s="1"/>
  <c r="E70" i="14"/>
  <c r="U87" i="12"/>
  <c r="U90" i="12" s="1"/>
  <c r="U225" i="12" l="1"/>
  <c r="U222" i="12"/>
  <c r="U220" i="12"/>
  <c r="U88" i="12"/>
  <c r="U89" i="12"/>
  <c r="U46" i="12"/>
  <c r="U49" i="12" s="1"/>
  <c r="U47" i="12" l="1"/>
  <c r="U48" i="12"/>
  <c r="U411" i="12" l="1"/>
  <c r="H436" i="12" l="1"/>
  <c r="H443" i="12"/>
  <c r="H441" i="12"/>
  <c r="H439" i="12"/>
  <c r="H454" i="12"/>
  <c r="H452" i="12"/>
  <c r="H450" i="12"/>
  <c r="H462" i="12"/>
  <c r="H466" i="12"/>
  <c r="H478" i="12"/>
  <c r="H476" i="12"/>
  <c r="H474" i="12"/>
  <c r="H487" i="12"/>
  <c r="H485" i="12"/>
  <c r="H489" i="12"/>
  <c r="H498" i="12"/>
  <c r="H494" i="12"/>
  <c r="H505" i="12" l="1"/>
  <c r="H507" i="12"/>
  <c r="H512" i="12" l="1"/>
  <c r="H523" i="12"/>
  <c r="H519" i="12"/>
  <c r="H537" i="12"/>
  <c r="H540" i="12"/>
  <c r="U538" i="12"/>
  <c r="U517" i="12"/>
  <c r="U510" i="12"/>
  <c r="U533" i="12" l="1"/>
  <c r="U526" i="12"/>
  <c r="U531" i="12" s="1"/>
  <c r="U532" i="12" l="1"/>
  <c r="U530" i="12"/>
  <c r="U529" i="12"/>
  <c r="U528" i="12"/>
  <c r="U527" i="12"/>
  <c r="H414" i="12"/>
  <c r="P587" i="14" l="1"/>
  <c r="P586" i="14"/>
  <c r="P585" i="14"/>
  <c r="P584" i="14"/>
  <c r="P583" i="14"/>
  <c r="AS413" i="5"/>
  <c r="AS412" i="5"/>
  <c r="AS411" i="5"/>
  <c r="AS410" i="5"/>
  <c r="AS408" i="5"/>
  <c r="AS404" i="5"/>
  <c r="AS402" i="5"/>
  <c r="AS401" i="5"/>
  <c r="AS400" i="5"/>
  <c r="AS399" i="5"/>
  <c r="AS398" i="5"/>
  <c r="AS397" i="5"/>
  <c r="AS396" i="5"/>
  <c r="AS395" i="5"/>
  <c r="AS393" i="5"/>
  <c r="AS392" i="5"/>
  <c r="AS391" i="5"/>
  <c r="AS390" i="5"/>
  <c r="AS388" i="5"/>
  <c r="AS387" i="5"/>
  <c r="AS386" i="5"/>
  <c r="AS384" i="5"/>
  <c r="AS383" i="5"/>
  <c r="AS382" i="5"/>
  <c r="AS380" i="5"/>
  <c r="AS379" i="5"/>
  <c r="AS378" i="5"/>
  <c r="AS377" i="5"/>
  <c r="AS374" i="5"/>
  <c r="AS373" i="5"/>
  <c r="AS372" i="5"/>
  <c r="AS371" i="5"/>
  <c r="AS368" i="5"/>
  <c r="AS367" i="5"/>
  <c r="AS366" i="5"/>
  <c r="AS365" i="5"/>
  <c r="H420" i="12" l="1"/>
  <c r="H417" i="12"/>
  <c r="U419" i="12"/>
  <c r="U416" i="12"/>
  <c r="O71" i="10" l="1"/>
  <c r="O53" i="10"/>
  <c r="O124" i="10"/>
  <c r="O121" i="10"/>
  <c r="O120" i="10"/>
  <c r="O119" i="10"/>
  <c r="O118" i="10"/>
  <c r="N90" i="9" l="1"/>
  <c r="M90" i="9"/>
  <c r="L90" i="9"/>
  <c r="K90" i="9"/>
  <c r="J90" i="9"/>
  <c r="U391" i="12" l="1"/>
  <c r="U219" i="12" l="1"/>
  <c r="U218" i="12"/>
  <c r="U217" i="12"/>
  <c r="U216" i="12"/>
  <c r="U215" i="12"/>
  <c r="U214" i="12"/>
  <c r="R213" i="14"/>
  <c r="Q213" i="14"/>
  <c r="P213" i="14"/>
  <c r="O213" i="14"/>
  <c r="N213" i="14"/>
  <c r="M213" i="14"/>
  <c r="L213" i="14"/>
  <c r="K213" i="14"/>
  <c r="J213" i="14"/>
  <c r="I213" i="14"/>
  <c r="H213" i="14"/>
  <c r="G213" i="14"/>
  <c r="F213" i="14"/>
  <c r="E213" i="14"/>
  <c r="D213" i="14"/>
  <c r="R212" i="14"/>
  <c r="Q212" i="14"/>
  <c r="P212" i="14"/>
  <c r="O212" i="14"/>
  <c r="N212" i="14"/>
  <c r="M212" i="14"/>
  <c r="L212" i="14"/>
  <c r="K212" i="14"/>
  <c r="J212" i="14"/>
  <c r="I212" i="14"/>
  <c r="H212" i="14"/>
  <c r="G212" i="14"/>
  <c r="F212" i="14"/>
  <c r="E212" i="14"/>
  <c r="D212" i="14"/>
  <c r="R211" i="14"/>
  <c r="Q211" i="14"/>
  <c r="P211" i="14"/>
  <c r="O211" i="14"/>
  <c r="N211" i="14"/>
  <c r="M211" i="14"/>
  <c r="L211" i="14"/>
  <c r="K211" i="14"/>
  <c r="J211" i="14"/>
  <c r="I211" i="14"/>
  <c r="H211" i="14"/>
  <c r="G211" i="14"/>
  <c r="F211" i="14"/>
  <c r="E211" i="14"/>
  <c r="D211" i="14"/>
  <c r="U58" i="12"/>
  <c r="U42" i="12"/>
  <c r="U63" i="12" l="1"/>
  <c r="B367" i="14"/>
  <c r="B519" i="14"/>
  <c r="B7" i="14"/>
  <c r="B357" i="14" s="1"/>
  <c r="B6" i="14"/>
  <c r="B370" i="14" s="1"/>
  <c r="B533" i="14"/>
  <c r="B511" i="14"/>
  <c r="B505" i="14"/>
  <c r="B504" i="14"/>
  <c r="B497" i="14"/>
  <c r="B490" i="14"/>
  <c r="B484" i="14"/>
  <c r="B483" i="14"/>
  <c r="B476" i="14"/>
  <c r="B469" i="14"/>
  <c r="B462" i="14"/>
  <c r="B441" i="14"/>
  <c r="B440" i="14"/>
  <c r="B434" i="14"/>
  <c r="B384" i="14"/>
  <c r="B337" i="14"/>
  <c r="B330" i="14"/>
  <c r="B323" i="14"/>
  <c r="B316" i="14"/>
  <c r="B315" i="14"/>
  <c r="B309" i="14"/>
  <c r="B307" i="14"/>
  <c r="B302" i="14"/>
  <c r="B300" i="14"/>
  <c r="B274" i="14"/>
  <c r="B266" i="14"/>
  <c r="B260" i="14"/>
  <c r="B246" i="14"/>
  <c r="B245" i="14"/>
  <c r="B239" i="14"/>
  <c r="B225" i="14"/>
  <c r="B211" i="14"/>
  <c r="B204" i="14"/>
  <c r="B197" i="14"/>
  <c r="B190" i="14"/>
  <c r="B134" i="14"/>
  <c r="B85" i="14"/>
  <c r="B78" i="14"/>
  <c r="B77" i="14"/>
  <c r="B71" i="14"/>
  <c r="B70" i="14"/>
  <c r="B64" i="14"/>
  <c r="B57" i="14"/>
  <c r="B55" i="14"/>
  <c r="B43" i="14"/>
  <c r="B42" i="14"/>
  <c r="B29" i="14"/>
  <c r="B15" i="14"/>
  <c r="B14" i="14"/>
  <c r="B13" i="14"/>
  <c r="B188" i="14" l="1"/>
  <c r="B189" i="14"/>
  <c r="B322" i="14"/>
  <c r="B195" i="14"/>
  <c r="B196" i="14"/>
  <c r="B202" i="14"/>
  <c r="B328" i="14"/>
  <c r="B28" i="14"/>
  <c r="B329" i="14"/>
  <c r="B41" i="14"/>
  <c r="B209" i="14"/>
  <c r="B349" i="14"/>
  <c r="B224" i="14"/>
  <c r="B238" i="14"/>
  <c r="B350" i="14"/>
  <c r="B62" i="14"/>
  <c r="B69" i="14"/>
  <c r="B468" i="14"/>
  <c r="B20" i="14"/>
  <c r="B258" i="14"/>
  <c r="B413" i="14"/>
  <c r="B21" i="14"/>
  <c r="B259" i="14"/>
  <c r="B371" i="14"/>
  <c r="B140" i="14"/>
  <c r="B265" i="14"/>
  <c r="B377" i="14"/>
  <c r="B141" i="14"/>
  <c r="B267" i="14"/>
  <c r="B392" i="14"/>
  <c r="B378" i="14"/>
  <c r="B56" i="14"/>
  <c r="B301" i="14"/>
  <c r="B399" i="14"/>
  <c r="B203" i="14"/>
  <c r="B385" i="14"/>
  <c r="B63" i="14"/>
  <c r="B308" i="14"/>
  <c r="B210" i="14"/>
  <c r="B406" i="14"/>
  <c r="B314" i="14"/>
  <c r="B76" i="14"/>
  <c r="B391" i="14"/>
  <c r="B237" i="14"/>
  <c r="B321" i="14"/>
  <c r="B405" i="14"/>
  <c r="B398" i="14"/>
  <c r="B27" i="14"/>
  <c r="B139" i="14"/>
  <c r="B244" i="14"/>
  <c r="B83" i="14"/>
  <c r="B273" i="14"/>
  <c r="B420" i="14"/>
  <c r="B272" i="14"/>
  <c r="B335" i="14"/>
  <c r="B34" i="14"/>
  <c r="B293" i="14"/>
  <c r="B426" i="14"/>
  <c r="B419" i="14"/>
  <c r="B216" i="14"/>
  <c r="B336" i="14"/>
  <c r="B217" i="14"/>
  <c r="B218" i="14"/>
  <c r="B427" i="14"/>
  <c r="B84" i="14"/>
  <c r="B35" i="14"/>
  <c r="B132" i="14"/>
  <c r="B294" i="14"/>
  <c r="B36" i="14"/>
  <c r="B133" i="14"/>
  <c r="B223" i="14"/>
  <c r="B295" i="14"/>
  <c r="B433" i="14"/>
  <c r="B479" i="14"/>
  <c r="B430" i="14"/>
  <c r="B486" i="14"/>
  <c r="B45" i="14"/>
  <c r="B87" i="14"/>
  <c r="B206" i="14"/>
  <c r="B248" i="14"/>
  <c r="B304" i="14"/>
  <c r="B339" i="14"/>
  <c r="B388" i="14"/>
  <c r="B493" i="14"/>
  <c r="B416" i="14"/>
  <c r="B80" i="14"/>
  <c r="B381" i="14"/>
  <c r="B213" i="14"/>
  <c r="B444" i="14"/>
  <c r="B353" i="14"/>
  <c r="B454" i="14"/>
  <c r="B514" i="14"/>
  <c r="B356" i="14"/>
  <c r="B402" i="14"/>
  <c r="B455" i="14"/>
  <c r="B38" i="14"/>
  <c r="B199" i="14"/>
  <c r="B297" i="14"/>
  <c r="B332" i="14"/>
  <c r="B437" i="14"/>
  <c r="B136" i="14"/>
  <c r="B143" i="14"/>
  <c r="B458" i="14"/>
  <c r="B360" i="14"/>
  <c r="B461" i="14"/>
  <c r="B472" i="14"/>
  <c r="B374" i="14"/>
  <c r="B241" i="14"/>
  <c r="B423" i="14"/>
  <c r="B17" i="14"/>
  <c r="B59" i="14"/>
  <c r="B262" i="14"/>
  <c r="B311" i="14"/>
  <c r="B395" i="14"/>
  <c r="B66" i="14"/>
  <c r="B220" i="14"/>
  <c r="B269" i="14"/>
  <c r="B318" i="14"/>
  <c r="B535" i="14"/>
  <c r="B363" i="14"/>
  <c r="B409" i="14"/>
  <c r="B364" i="14"/>
  <c r="B412" i="14"/>
  <c r="B465" i="14"/>
  <c r="B31" i="14"/>
  <c r="B73" i="14"/>
  <c r="B192" i="14"/>
  <c r="B227" i="14"/>
  <c r="B276" i="14"/>
  <c r="B325" i="14"/>
  <c r="B477" i="14"/>
  <c r="B351" i="14"/>
  <c r="B358" i="14"/>
  <c r="B365" i="14"/>
  <c r="B372" i="14"/>
  <c r="B379" i="14"/>
  <c r="B386" i="14"/>
  <c r="B393" i="14"/>
  <c r="B400" i="14"/>
  <c r="B407" i="14"/>
  <c r="B414" i="14"/>
  <c r="B421" i="14"/>
  <c r="B428" i="14"/>
  <c r="B435" i="14"/>
  <c r="B442" i="14"/>
  <c r="B456" i="14"/>
  <c r="B463" i="14"/>
  <c r="B470" i="14"/>
  <c r="B498" i="14"/>
  <c r="B491" i="14"/>
  <c r="B233" i="14"/>
  <c r="B177" i="14"/>
  <c r="B149" i="14"/>
  <c r="B289" i="14"/>
  <c r="B184" i="14"/>
  <c r="B170" i="14"/>
  <c r="B282" i="14"/>
  <c r="B163" i="14"/>
  <c r="B156" i="14"/>
  <c r="B198" i="14"/>
  <c r="B230" i="14"/>
  <c r="B181" i="14"/>
  <c r="B167" i="14"/>
  <c r="B279" i="14"/>
  <c r="B160" i="14"/>
  <c r="B146" i="14"/>
  <c r="B286" i="14"/>
  <c r="B153" i="14"/>
  <c r="B174" i="14"/>
  <c r="B234" i="14"/>
  <c r="B185" i="14"/>
  <c r="B171" i="14"/>
  <c r="B178" i="14"/>
  <c r="B150" i="14"/>
  <c r="B283" i="14"/>
  <c r="B164" i="14"/>
  <c r="B290" i="14"/>
  <c r="B157" i="14"/>
  <c r="B231" i="14"/>
  <c r="B280" i="14"/>
  <c r="B161" i="14"/>
  <c r="B182" i="14"/>
  <c r="B287" i="14"/>
  <c r="B154" i="14"/>
  <c r="B168" i="14"/>
  <c r="B175" i="14"/>
  <c r="B147" i="14"/>
  <c r="B232" i="14"/>
  <c r="B288" i="14"/>
  <c r="B155" i="14"/>
  <c r="B162" i="14"/>
  <c r="B176" i="14"/>
  <c r="B148" i="14"/>
  <c r="B183" i="14"/>
  <c r="B169" i="14"/>
  <c r="B281" i="14"/>
  <c r="B503" i="14"/>
  <c r="B521" i="14"/>
  <c r="B475" i="14"/>
  <c r="B500" i="14"/>
  <c r="B507" i="14"/>
  <c r="B482" i="14"/>
  <c r="B489" i="14"/>
  <c r="B496" i="14"/>
  <c r="B114" i="14"/>
  <c r="B93" i="14"/>
  <c r="B128" i="14"/>
  <c r="B121" i="14"/>
  <c r="B100" i="14"/>
  <c r="B125" i="14"/>
  <c r="B118" i="14"/>
  <c r="B97" i="14"/>
  <c r="B111" i="14"/>
  <c r="B90" i="14"/>
  <c r="B129" i="14"/>
  <c r="B122" i="14"/>
  <c r="B101" i="14"/>
  <c r="B115" i="14"/>
  <c r="B94" i="14"/>
  <c r="B119" i="14"/>
  <c r="B98" i="14"/>
  <c r="B112" i="14"/>
  <c r="B91" i="14"/>
  <c r="B126" i="14"/>
  <c r="B526" i="14"/>
  <c r="B113" i="14"/>
  <c r="B92" i="14"/>
  <c r="B99" i="14"/>
  <c r="B127" i="14"/>
  <c r="B120" i="14"/>
  <c r="B254" i="14"/>
  <c r="B107" i="14"/>
  <c r="B251" i="14"/>
  <c r="B104" i="14"/>
  <c r="B255" i="14"/>
  <c r="B108" i="14"/>
  <c r="B512" i="14"/>
  <c r="B252" i="14"/>
  <c r="B105" i="14"/>
  <c r="B253" i="14"/>
  <c r="B106" i="14"/>
  <c r="B268" i="14"/>
  <c r="B366" i="14"/>
  <c r="B65" i="14"/>
  <c r="B485" i="14"/>
  <c r="B86" i="14"/>
  <c r="B219" i="14"/>
  <c r="B303" i="14"/>
  <c r="B394" i="14"/>
  <c r="B513" i="14"/>
  <c r="B16" i="14"/>
  <c r="B226" i="14"/>
  <c r="B310" i="14"/>
  <c r="B422" i="14"/>
  <c r="B510" i="14"/>
  <c r="B528" i="14"/>
  <c r="B37" i="14"/>
  <c r="B191" i="14"/>
  <c r="B261" i="14"/>
  <c r="B338" i="14"/>
  <c r="B457" i="14"/>
  <c r="B542" i="14"/>
  <c r="B517" i="14"/>
  <c r="B524" i="14"/>
  <c r="B531" i="14"/>
  <c r="B538" i="14"/>
  <c r="B518" i="14"/>
  <c r="B525" i="14"/>
  <c r="B532" i="14"/>
  <c r="B539" i="14"/>
  <c r="B44" i="14"/>
  <c r="B72" i="14"/>
  <c r="B135" i="14"/>
  <c r="B205" i="14"/>
  <c r="B240" i="14"/>
  <c r="B275" i="14"/>
  <c r="B317" i="14"/>
  <c r="B373" i="14"/>
  <c r="B401" i="14"/>
  <c r="B429" i="14"/>
  <c r="B464" i="14"/>
  <c r="B492" i="14"/>
  <c r="B520" i="14"/>
  <c r="B30" i="14"/>
  <c r="B58" i="14"/>
  <c r="B79" i="14"/>
  <c r="B142" i="14"/>
  <c r="B212" i="14"/>
  <c r="B247" i="14"/>
  <c r="B296" i="14"/>
  <c r="B324" i="14"/>
  <c r="B352" i="14"/>
  <c r="B380" i="14"/>
  <c r="B408" i="14"/>
  <c r="B436" i="14"/>
  <c r="B471" i="14"/>
  <c r="B499" i="14"/>
  <c r="B527" i="14"/>
  <c r="B331" i="14"/>
  <c r="B359" i="14"/>
  <c r="B387" i="14"/>
  <c r="B415" i="14"/>
  <c r="B443" i="14"/>
  <c r="B478" i="14"/>
  <c r="B506" i="14"/>
  <c r="B534" i="14"/>
  <c r="B541" i="14"/>
  <c r="B540" i="14"/>
  <c r="U65" i="12"/>
  <c r="U64" i="12"/>
  <c r="B48" i="14"/>
  <c r="B447" i="14"/>
  <c r="B49" i="14"/>
  <c r="B448" i="14"/>
  <c r="B50" i="14"/>
  <c r="B449" i="14"/>
  <c r="B51" i="14"/>
  <c r="B450" i="14"/>
  <c r="B52" i="14"/>
  <c r="B451" i="14"/>
  <c r="AJ352" i="5"/>
  <c r="AP352" i="5" s="1"/>
  <c r="O35" i="10" l="1"/>
  <c r="I72" i="10"/>
  <c r="O72" i="10" s="1"/>
  <c r="G72" i="10"/>
  <c r="D72" i="10"/>
  <c r="I70" i="10"/>
  <c r="O70" i="10" s="1"/>
  <c r="G70" i="10"/>
  <c r="D70" i="10"/>
  <c r="I69" i="10"/>
  <c r="O69" i="10" s="1"/>
  <c r="G69" i="10"/>
  <c r="D69" i="10"/>
  <c r="I58" i="10"/>
  <c r="O58" i="10" s="1"/>
  <c r="G58" i="10"/>
  <c r="D58" i="10"/>
  <c r="I57" i="10"/>
  <c r="O57" i="10" s="1"/>
  <c r="G57" i="10"/>
  <c r="D57" i="10"/>
  <c r="I56" i="10"/>
  <c r="O56" i="10" s="1"/>
  <c r="G56" i="10"/>
  <c r="D56" i="10"/>
  <c r="G55" i="10"/>
  <c r="D55" i="10"/>
  <c r="G54" i="10"/>
  <c r="D54" i="10"/>
  <c r="I94" i="10"/>
  <c r="O94" i="10" s="1"/>
  <c r="G94" i="10"/>
  <c r="D94" i="10"/>
  <c r="I98" i="10"/>
  <c r="O98" i="10" s="1"/>
  <c r="G98" i="10"/>
  <c r="D98" i="10"/>
  <c r="I97" i="10"/>
  <c r="O97" i="10" s="1"/>
  <c r="G97" i="10"/>
  <c r="D97" i="10"/>
  <c r="I96" i="10"/>
  <c r="O96" i="10" s="1"/>
  <c r="G96" i="10"/>
  <c r="D96" i="10"/>
  <c r="I95" i="10"/>
  <c r="O95" i="10" s="1"/>
  <c r="G95" i="10"/>
  <c r="D95" i="10"/>
  <c r="I75" i="10"/>
  <c r="O75" i="10" s="1"/>
  <c r="G75" i="10"/>
  <c r="D75" i="10"/>
  <c r="I74" i="10"/>
  <c r="O74" i="10" s="1"/>
  <c r="G74" i="10"/>
  <c r="D74" i="10"/>
  <c r="I73" i="10"/>
  <c r="O73" i="10" s="1"/>
  <c r="G73" i="10"/>
  <c r="D73" i="10"/>
  <c r="I93" i="10"/>
  <c r="O93" i="10" s="1"/>
  <c r="G93" i="10"/>
  <c r="D93" i="10"/>
  <c r="I92" i="10"/>
  <c r="O92" i="10" s="1"/>
  <c r="G92" i="10"/>
  <c r="D92" i="10"/>
  <c r="I91" i="10"/>
  <c r="O91" i="10" s="1"/>
  <c r="G91" i="10"/>
  <c r="D91" i="10"/>
  <c r="I90" i="10"/>
  <c r="O90" i="10" s="1"/>
  <c r="G90" i="10"/>
  <c r="D90" i="10"/>
  <c r="I89" i="10"/>
  <c r="O89" i="10" s="1"/>
  <c r="G89" i="10"/>
  <c r="D89" i="10"/>
  <c r="I88" i="10"/>
  <c r="O88" i="10" s="1"/>
  <c r="G88" i="10"/>
  <c r="D88" i="10"/>
  <c r="I87" i="10"/>
  <c r="O87" i="10" s="1"/>
  <c r="G87" i="10"/>
  <c r="D87" i="10"/>
  <c r="I86" i="10"/>
  <c r="O86" i="10" s="1"/>
  <c r="G86" i="10"/>
  <c r="D86" i="10"/>
  <c r="I85" i="10"/>
  <c r="O85" i="10" s="1"/>
  <c r="G85" i="10"/>
  <c r="D85" i="10"/>
  <c r="I84" i="10"/>
  <c r="O84" i="10" s="1"/>
  <c r="G84" i="10"/>
  <c r="D84" i="10"/>
  <c r="I83" i="10"/>
  <c r="O83" i="10" s="1"/>
  <c r="G83" i="10"/>
  <c r="D83" i="10"/>
  <c r="I82" i="10"/>
  <c r="O82" i="10" s="1"/>
  <c r="G82" i="10"/>
  <c r="D82" i="10"/>
  <c r="I81" i="10"/>
  <c r="O81" i="10" s="1"/>
  <c r="G81" i="10"/>
  <c r="D81" i="10"/>
  <c r="I80" i="10"/>
  <c r="O80" i="10" s="1"/>
  <c r="G80" i="10"/>
  <c r="D80" i="10"/>
  <c r="I79" i="10"/>
  <c r="O79" i="10" s="1"/>
  <c r="G79" i="10"/>
  <c r="D79" i="10"/>
  <c r="I78" i="10"/>
  <c r="O78" i="10" s="1"/>
  <c r="G78" i="10"/>
  <c r="D78" i="10"/>
  <c r="I77" i="10"/>
  <c r="O77" i="10" s="1"/>
  <c r="G77" i="10"/>
  <c r="D77" i="10"/>
  <c r="I76" i="10"/>
  <c r="O76" i="10" s="1"/>
  <c r="G76" i="10"/>
  <c r="D76" i="10"/>
  <c r="I52" i="10"/>
  <c r="O52" i="10" s="1"/>
  <c r="G52" i="10"/>
  <c r="D52" i="10"/>
  <c r="I51" i="10"/>
  <c r="O51" i="10" s="1"/>
  <c r="G51" i="10"/>
  <c r="D51" i="10"/>
  <c r="I50" i="10"/>
  <c r="O50" i="10" s="1"/>
  <c r="G50" i="10"/>
  <c r="D50" i="10"/>
  <c r="I49" i="10"/>
  <c r="O49" i="10" s="1"/>
  <c r="G49" i="10"/>
  <c r="D49" i="10"/>
  <c r="I48" i="10"/>
  <c r="O48" i="10" s="1"/>
  <c r="G48" i="10"/>
  <c r="D48" i="10"/>
  <c r="G47" i="10"/>
  <c r="D47" i="10"/>
  <c r="I46" i="10"/>
  <c r="O46" i="10" s="1"/>
  <c r="G46" i="10"/>
  <c r="D46" i="10"/>
  <c r="G45" i="10"/>
  <c r="D45" i="10"/>
  <c r="I44" i="10"/>
  <c r="O44" i="10" s="1"/>
  <c r="G44" i="10"/>
  <c r="D44" i="10"/>
  <c r="G43" i="10"/>
  <c r="D43" i="10"/>
  <c r="I42" i="10"/>
  <c r="O42" i="10" s="1"/>
  <c r="G42" i="10"/>
  <c r="D42" i="10"/>
  <c r="I41" i="10"/>
  <c r="O41" i="10" s="1"/>
  <c r="G41" i="10"/>
  <c r="D41" i="10"/>
  <c r="I40" i="10"/>
  <c r="O40" i="10" s="1"/>
  <c r="G40" i="10"/>
  <c r="D40" i="10"/>
  <c r="G39" i="10"/>
  <c r="D39" i="10"/>
  <c r="G38" i="10"/>
  <c r="D38" i="10"/>
  <c r="I37" i="10"/>
  <c r="O37" i="10" s="1"/>
  <c r="G37" i="10"/>
  <c r="D37" i="10"/>
  <c r="I36" i="10"/>
  <c r="O36" i="10" s="1"/>
  <c r="G36" i="10"/>
  <c r="D36" i="10"/>
  <c r="I34" i="10"/>
  <c r="O34" i="10" s="1"/>
  <c r="G34" i="10"/>
  <c r="D34" i="10"/>
  <c r="G33" i="10"/>
  <c r="D33" i="10"/>
  <c r="I32" i="10"/>
  <c r="O32" i="10" s="1"/>
  <c r="G32" i="10"/>
  <c r="D32" i="10"/>
  <c r="G31" i="10"/>
  <c r="D31" i="10"/>
  <c r="G30" i="10"/>
  <c r="D30" i="10"/>
  <c r="I29" i="10"/>
  <c r="O29" i="10" s="1"/>
  <c r="G29" i="10"/>
  <c r="D29" i="10"/>
  <c r="I16" i="10"/>
  <c r="O16" i="10" s="1"/>
  <c r="G16" i="10"/>
  <c r="D16" i="10"/>
  <c r="I15" i="10"/>
  <c r="O15" i="10" s="1"/>
  <c r="G15" i="10"/>
  <c r="D15" i="10"/>
  <c r="G14" i="10"/>
  <c r="D14" i="10"/>
  <c r="G13" i="10"/>
  <c r="D13" i="10"/>
  <c r="G12" i="10"/>
  <c r="D12" i="10"/>
  <c r="G11" i="10"/>
  <c r="D11" i="10"/>
  <c r="I28" i="10"/>
  <c r="O28" i="10" s="1"/>
  <c r="G28" i="10"/>
  <c r="D28" i="10"/>
  <c r="I27" i="10"/>
  <c r="O27" i="10" s="1"/>
  <c r="G27" i="10"/>
  <c r="D27" i="10"/>
  <c r="I26" i="10"/>
  <c r="O26" i="10" s="1"/>
  <c r="G26" i="10"/>
  <c r="D26" i="10"/>
  <c r="I25" i="10"/>
  <c r="O25" i="10" s="1"/>
  <c r="G25" i="10"/>
  <c r="D25" i="10"/>
  <c r="G24" i="10"/>
  <c r="D24" i="10"/>
  <c r="I23" i="10"/>
  <c r="O23" i="10" s="1"/>
  <c r="G23" i="10"/>
  <c r="D23" i="10"/>
  <c r="I22" i="10"/>
  <c r="O22" i="10" s="1"/>
  <c r="G22" i="10"/>
  <c r="D22" i="10"/>
  <c r="I21" i="10"/>
  <c r="O21" i="10" s="1"/>
  <c r="G21" i="10"/>
  <c r="D21" i="10"/>
  <c r="G20" i="10"/>
  <c r="D20" i="10"/>
  <c r="G19" i="10"/>
  <c r="D19" i="10"/>
  <c r="G18" i="10"/>
  <c r="D18" i="10"/>
  <c r="G17" i="10"/>
  <c r="I147" i="10"/>
  <c r="O147" i="10" s="1"/>
  <c r="D147" i="10"/>
  <c r="H147" i="10" s="1"/>
  <c r="I146" i="10"/>
  <c r="O146" i="10" s="1"/>
  <c r="D146" i="10"/>
  <c r="H146" i="10" s="1"/>
  <c r="I145" i="10"/>
  <c r="O145" i="10" s="1"/>
  <c r="D145" i="10"/>
  <c r="H145" i="10" s="1"/>
  <c r="I144" i="10"/>
  <c r="O144" i="10" s="1"/>
  <c r="D144" i="10"/>
  <c r="H144" i="10" s="1"/>
  <c r="H19" i="10" l="1"/>
  <c r="H12" i="10"/>
  <c r="H18" i="10"/>
  <c r="H22" i="10"/>
  <c r="J22" i="10" s="1"/>
  <c r="H26" i="10"/>
  <c r="H14" i="10"/>
  <c r="H30" i="10"/>
  <c r="H34" i="10"/>
  <c r="J34" i="10" s="1"/>
  <c r="H39" i="10"/>
  <c r="H43" i="10"/>
  <c r="H47" i="10"/>
  <c r="H50" i="10"/>
  <c r="J50" i="10" s="1"/>
  <c r="H77" i="10"/>
  <c r="J77" i="10" s="1"/>
  <c r="H81" i="10"/>
  <c r="J81" i="10" s="1"/>
  <c r="H85" i="10"/>
  <c r="J85" i="10" s="1"/>
  <c r="H89" i="10"/>
  <c r="J89" i="10" s="1"/>
  <c r="H93" i="10"/>
  <c r="J93" i="10" s="1"/>
  <c r="H95" i="10"/>
  <c r="J95" i="10" s="1"/>
  <c r="H94" i="10"/>
  <c r="J94" i="10" s="1"/>
  <c r="H69" i="10"/>
  <c r="J69" i="10" s="1"/>
  <c r="H23" i="10"/>
  <c r="H27" i="10"/>
  <c r="J27" i="10" s="1"/>
  <c r="H15" i="10"/>
  <c r="J15" i="10" s="1"/>
  <c r="H31" i="10"/>
  <c r="H36" i="10"/>
  <c r="J36" i="10" s="1"/>
  <c r="H40" i="10"/>
  <c r="J40" i="10" s="1"/>
  <c r="H44" i="10"/>
  <c r="J44" i="10" s="1"/>
  <c r="H51" i="10"/>
  <c r="J51" i="10" s="1"/>
  <c r="H78" i="10"/>
  <c r="J78" i="10" s="1"/>
  <c r="H82" i="10"/>
  <c r="J82" i="10" s="1"/>
  <c r="H86" i="10"/>
  <c r="J86" i="10" s="1"/>
  <c r="H90" i="10"/>
  <c r="J90" i="10" s="1"/>
  <c r="H73" i="10"/>
  <c r="J73" i="10" s="1"/>
  <c r="H96" i="10"/>
  <c r="J96" i="10" s="1"/>
  <c r="H54" i="10"/>
  <c r="H56" i="10"/>
  <c r="J56" i="10" s="1"/>
  <c r="H70" i="10"/>
  <c r="J70" i="10" s="1"/>
  <c r="H21" i="10"/>
  <c r="J21" i="10" s="1"/>
  <c r="H25" i="10"/>
  <c r="J25" i="10" s="1"/>
  <c r="H11" i="10"/>
  <c r="H13" i="10"/>
  <c r="H29" i="10"/>
  <c r="J29" i="10" s="1"/>
  <c r="H33" i="10"/>
  <c r="H38" i="10"/>
  <c r="H42" i="10"/>
  <c r="H46" i="10"/>
  <c r="J46" i="10" s="1"/>
  <c r="H49" i="10"/>
  <c r="J49" i="10" s="1"/>
  <c r="H76" i="10"/>
  <c r="J76" i="10" s="1"/>
  <c r="H80" i="10"/>
  <c r="J80" i="10" s="1"/>
  <c r="H84" i="10"/>
  <c r="J84" i="10" s="1"/>
  <c r="H88" i="10"/>
  <c r="J88" i="10" s="1"/>
  <c r="H92" i="10"/>
  <c r="J92" i="10" s="1"/>
  <c r="H75" i="10"/>
  <c r="J75" i="10" s="1"/>
  <c r="H98" i="10"/>
  <c r="J98" i="10" s="1"/>
  <c r="H55" i="10"/>
  <c r="H58" i="10"/>
  <c r="J58" i="10" s="1"/>
  <c r="H20" i="10"/>
  <c r="H24" i="10"/>
  <c r="H28" i="10"/>
  <c r="J28" i="10" s="1"/>
  <c r="H16" i="10"/>
  <c r="J16" i="10" s="1"/>
  <c r="H32" i="10"/>
  <c r="J32" i="10" s="1"/>
  <c r="H37" i="10"/>
  <c r="J37" i="10" s="1"/>
  <c r="H41" i="10"/>
  <c r="J41" i="10" s="1"/>
  <c r="H45" i="10"/>
  <c r="H48" i="10"/>
  <c r="H52" i="10"/>
  <c r="J52" i="10" s="1"/>
  <c r="H79" i="10"/>
  <c r="J79" i="10" s="1"/>
  <c r="H83" i="10"/>
  <c r="J83" i="10" s="1"/>
  <c r="H87" i="10"/>
  <c r="J87" i="10" s="1"/>
  <c r="H91" i="10"/>
  <c r="J91" i="10" s="1"/>
  <c r="H74" i="10"/>
  <c r="J74" i="10" s="1"/>
  <c r="H97" i="10"/>
  <c r="J97" i="10" s="1"/>
  <c r="H57" i="10"/>
  <c r="J57" i="10" s="1"/>
  <c r="H72" i="10"/>
  <c r="J72" i="10" s="1"/>
  <c r="J23" i="10"/>
  <c r="J26" i="10"/>
  <c r="J42" i="10"/>
  <c r="J48" i="10"/>
  <c r="J145" i="10"/>
  <c r="J146" i="10"/>
  <c r="J147" i="10"/>
  <c r="J144" i="10"/>
  <c r="AS582" i="5"/>
  <c r="AJ582" i="5"/>
  <c r="AP582" i="5" s="1"/>
  <c r="AS531" i="5"/>
  <c r="AJ531" i="5"/>
  <c r="AP531" i="5" s="1"/>
  <c r="AS530" i="5"/>
  <c r="AJ530" i="5"/>
  <c r="AP530" i="5" s="1"/>
  <c r="AS529" i="5"/>
  <c r="AJ529" i="5"/>
  <c r="AP529" i="5" s="1"/>
  <c r="AJ471" i="5"/>
  <c r="AP471" i="5" s="1"/>
  <c r="AS470" i="5"/>
  <c r="AJ470" i="5"/>
  <c r="AP470" i="5" s="1"/>
  <c r="AW470" i="5" l="1"/>
  <c r="BB470" i="5" s="1"/>
  <c r="AW529" i="5"/>
  <c r="BB529" i="5" s="1"/>
  <c r="AW531" i="5"/>
  <c r="BB531" i="5" s="1"/>
  <c r="AW471" i="5"/>
  <c r="BB471" i="5" s="1"/>
  <c r="AW530" i="5"/>
  <c r="BB530" i="5" s="1"/>
  <c r="AW582" i="5"/>
  <c r="BB582" i="5" s="1"/>
  <c r="AJ410" i="5"/>
  <c r="AP410" i="5" s="1"/>
  <c r="AW410" i="5" s="1"/>
  <c r="BB410" i="5" s="1"/>
  <c r="AJ409" i="5"/>
  <c r="AP409" i="5" s="1"/>
  <c r="AS347" i="5"/>
  <c r="AJ347" i="5"/>
  <c r="AP347" i="5" s="1"/>
  <c r="AS346" i="5"/>
  <c r="AJ346" i="5"/>
  <c r="AP346" i="5" s="1"/>
  <c r="AJ197" i="5"/>
  <c r="AP197" i="5" s="1"/>
  <c r="AS200" i="5"/>
  <c r="AJ200" i="5"/>
  <c r="AP200" i="5" s="1"/>
  <c r="AS199" i="5"/>
  <c r="AJ199" i="5"/>
  <c r="AP199" i="5" s="1"/>
  <c r="AS198" i="5"/>
  <c r="AJ198" i="5"/>
  <c r="AP198" i="5" s="1"/>
  <c r="AS196" i="5"/>
  <c r="AP196" i="5"/>
  <c r="AW196" i="5" l="1"/>
  <c r="BB196" i="5" s="1"/>
  <c r="AW199" i="5"/>
  <c r="BB199" i="5" s="1"/>
  <c r="AW197" i="5"/>
  <c r="BB197" i="5" s="1"/>
  <c r="AW347" i="5"/>
  <c r="BB347" i="5" s="1"/>
  <c r="AW198" i="5"/>
  <c r="BB198" i="5" s="1"/>
  <c r="AW200" i="5"/>
  <c r="BB200" i="5" s="1"/>
  <c r="AW346" i="5"/>
  <c r="BB346" i="5" s="1"/>
  <c r="AH13" i="7"/>
  <c r="AF13" i="7"/>
  <c r="AH14" i="7" s="1"/>
  <c r="AH11" i="7" s="1"/>
  <c r="AN149" i="5"/>
  <c r="AR128" i="5"/>
  <c r="K134" i="5" s="1"/>
  <c r="AL32" i="5"/>
  <c r="AJ32" i="5"/>
  <c r="AL31" i="5"/>
  <c r="AJ31" i="5"/>
  <c r="AL30" i="5"/>
  <c r="AJ30" i="5"/>
  <c r="AL29" i="5"/>
  <c r="AJ29" i="5"/>
  <c r="AL28" i="5"/>
  <c r="AJ28" i="5"/>
  <c r="AH12" i="7" l="1"/>
  <c r="AR149" i="5"/>
  <c r="I132" i="10"/>
  <c r="O132" i="10" s="1"/>
  <c r="D132" i="10"/>
  <c r="H132" i="10" s="1"/>
  <c r="I131" i="10"/>
  <c r="O131" i="10" s="1"/>
  <c r="D131" i="10"/>
  <c r="H131" i="10" s="1"/>
  <c r="O125" i="10"/>
  <c r="I130" i="10"/>
  <c r="O130" i="10" s="1"/>
  <c r="I129" i="10"/>
  <c r="O129" i="10" s="1"/>
  <c r="I128" i="10"/>
  <c r="O128" i="10" s="1"/>
  <c r="I127" i="10"/>
  <c r="O127" i="10" s="1"/>
  <c r="I126" i="10"/>
  <c r="D130" i="10"/>
  <c r="H130" i="10" s="1"/>
  <c r="D129" i="10"/>
  <c r="H129" i="10" s="1"/>
  <c r="D128" i="10"/>
  <c r="H128" i="10" s="1"/>
  <c r="D127" i="10"/>
  <c r="H127" i="10" s="1"/>
  <c r="D126" i="10"/>
  <c r="H126" i="10" s="1"/>
  <c r="J128" i="10" l="1"/>
  <c r="J130" i="10"/>
  <c r="J127" i="10"/>
  <c r="J129" i="10"/>
  <c r="J131" i="10"/>
  <c r="J132" i="10"/>
  <c r="J126" i="10"/>
  <c r="O126" i="10"/>
  <c r="L42" i="13" l="1"/>
  <c r="L44" i="13"/>
  <c r="S39" i="13" l="1"/>
  <c r="T39" i="13" s="1"/>
  <c r="W39" i="13" s="1"/>
  <c r="AS585" i="5"/>
  <c r="AJ585" i="5"/>
  <c r="AP585" i="5" s="1"/>
  <c r="AS584" i="5"/>
  <c r="AJ584" i="5"/>
  <c r="AP584" i="5" s="1"/>
  <c r="AS583" i="5"/>
  <c r="AJ583" i="5"/>
  <c r="AP583" i="5" s="1"/>
  <c r="AS580" i="5"/>
  <c r="AJ580" i="5"/>
  <c r="AP580" i="5" s="1"/>
  <c r="AJ579" i="5"/>
  <c r="AP579" i="5" s="1"/>
  <c r="AS578" i="5"/>
  <c r="AJ578" i="5"/>
  <c r="AP578" i="5" s="1"/>
  <c r="AS577" i="5"/>
  <c r="AJ577" i="5"/>
  <c r="AP577" i="5" s="1"/>
  <c r="AS576" i="5"/>
  <c r="AJ576" i="5"/>
  <c r="AP576" i="5" s="1"/>
  <c r="AS575" i="5"/>
  <c r="AJ575" i="5"/>
  <c r="AP575" i="5" s="1"/>
  <c r="AS574" i="5"/>
  <c r="AJ574" i="5"/>
  <c r="AP574" i="5" s="1"/>
  <c r="AS573" i="5"/>
  <c r="AJ573" i="5"/>
  <c r="AP573" i="5" s="1"/>
  <c r="AS572" i="5"/>
  <c r="AJ572" i="5"/>
  <c r="AP572" i="5" s="1"/>
  <c r="AS571" i="5"/>
  <c r="AJ571" i="5"/>
  <c r="AP571" i="5" s="1"/>
  <c r="AS570" i="5"/>
  <c r="AJ570" i="5"/>
  <c r="AP570" i="5" s="1"/>
  <c r="AS569" i="5"/>
  <c r="AJ569" i="5"/>
  <c r="AP569" i="5" s="1"/>
  <c r="AS568" i="5"/>
  <c r="AJ568" i="5"/>
  <c r="AP568" i="5" s="1"/>
  <c r="AS567" i="5"/>
  <c r="AJ567" i="5"/>
  <c r="AP567" i="5" s="1"/>
  <c r="AS566" i="5"/>
  <c r="AJ566" i="5"/>
  <c r="AP566" i="5" s="1"/>
  <c r="AS565" i="5"/>
  <c r="AJ565" i="5"/>
  <c r="AP565" i="5" s="1"/>
  <c r="AJ564" i="5"/>
  <c r="AP564" i="5" s="1"/>
  <c r="AJ563" i="5"/>
  <c r="AP563" i="5" s="1"/>
  <c r="AS562" i="5"/>
  <c r="AJ562" i="5"/>
  <c r="AP562" i="5" s="1"/>
  <c r="AJ561" i="5"/>
  <c r="AP561" i="5" s="1"/>
  <c r="AJ560" i="5"/>
  <c r="AP560" i="5" s="1"/>
  <c r="AS559" i="5"/>
  <c r="AJ559" i="5"/>
  <c r="AP559" i="5" s="1"/>
  <c r="AS558" i="5"/>
  <c r="AJ558" i="5"/>
  <c r="AP558" i="5" s="1"/>
  <c r="AS557" i="5"/>
  <c r="AJ557" i="5"/>
  <c r="AP557" i="5" s="1"/>
  <c r="AS556" i="5"/>
  <c r="AJ556" i="5"/>
  <c r="AP556" i="5" s="1"/>
  <c r="AS555" i="5"/>
  <c r="AJ555" i="5"/>
  <c r="AP555" i="5" s="1"/>
  <c r="AS554" i="5"/>
  <c r="AJ554" i="5"/>
  <c r="AP554" i="5" s="1"/>
  <c r="AS553" i="5"/>
  <c r="AJ553" i="5"/>
  <c r="AP553" i="5" s="1"/>
  <c r="AJ552" i="5"/>
  <c r="AP552" i="5" s="1"/>
  <c r="AJ551" i="5"/>
  <c r="AP551" i="5" s="1"/>
  <c r="AS550" i="5"/>
  <c r="AJ550" i="5"/>
  <c r="AP550" i="5" s="1"/>
  <c r="AS549" i="5"/>
  <c r="AJ549" i="5"/>
  <c r="AP549" i="5" s="1"/>
  <c r="AJ548" i="5"/>
  <c r="AP548" i="5" s="1"/>
  <c r="AW548" i="5" s="1"/>
  <c r="AJ586" i="5"/>
  <c r="AP586" i="5" s="1"/>
  <c r="AJ587" i="5"/>
  <c r="AP587" i="5" s="1"/>
  <c r="AJ588" i="5"/>
  <c r="AP588" i="5" s="1"/>
  <c r="AJ592" i="5"/>
  <c r="AP592" i="5" s="1"/>
  <c r="AW592" i="5" s="1"/>
  <c r="BB592" i="5" s="1"/>
  <c r="AP594" i="5"/>
  <c r="AW594" i="5" s="1"/>
  <c r="AP595" i="5"/>
  <c r="AW595" i="5" s="1"/>
  <c r="AP596" i="5"/>
  <c r="AW596" i="5" s="1"/>
  <c r="AS534" i="5"/>
  <c r="AJ534" i="5"/>
  <c r="AP534" i="5" s="1"/>
  <c r="AS533" i="5"/>
  <c r="AJ533" i="5"/>
  <c r="AP533" i="5" s="1"/>
  <c r="AS532" i="5"/>
  <c r="AJ532" i="5"/>
  <c r="AP532" i="5" s="1"/>
  <c r="AJ528" i="5"/>
  <c r="AP528" i="5" s="1"/>
  <c r="AS524" i="5"/>
  <c r="AJ524" i="5"/>
  <c r="AP524" i="5" s="1"/>
  <c r="AS523" i="5"/>
  <c r="AJ523" i="5"/>
  <c r="AP523" i="5" s="1"/>
  <c r="AS522" i="5"/>
  <c r="AJ522" i="5"/>
  <c r="AP522" i="5" s="1"/>
  <c r="AS521" i="5"/>
  <c r="AJ521" i="5"/>
  <c r="AP521" i="5" s="1"/>
  <c r="AS520" i="5"/>
  <c r="AJ520" i="5"/>
  <c r="AP520" i="5" s="1"/>
  <c r="AS519" i="5"/>
  <c r="AJ519" i="5"/>
  <c r="AP519" i="5" s="1"/>
  <c r="AS518" i="5"/>
  <c r="AJ518" i="5"/>
  <c r="AP518" i="5" s="1"/>
  <c r="AS517" i="5"/>
  <c r="AJ517" i="5"/>
  <c r="AP517" i="5" s="1"/>
  <c r="AS516" i="5"/>
  <c r="AJ516" i="5"/>
  <c r="AP516" i="5" s="1"/>
  <c r="AS515" i="5"/>
  <c r="AJ515" i="5"/>
  <c r="AP515" i="5" s="1"/>
  <c r="AS514" i="5"/>
  <c r="AJ514" i="5"/>
  <c r="AP514" i="5" s="1"/>
  <c r="AS513" i="5"/>
  <c r="AJ513" i="5"/>
  <c r="AP513" i="5" s="1"/>
  <c r="AS512" i="5"/>
  <c r="AJ512" i="5"/>
  <c r="AP512" i="5" s="1"/>
  <c r="AS511" i="5"/>
  <c r="AJ511" i="5"/>
  <c r="AP511" i="5" s="1"/>
  <c r="AJ510" i="5"/>
  <c r="AP510" i="5" s="1"/>
  <c r="AS509" i="5"/>
  <c r="AJ509" i="5"/>
  <c r="AP509" i="5" s="1"/>
  <c r="AS508" i="5"/>
  <c r="AJ508" i="5"/>
  <c r="AP508" i="5" s="1"/>
  <c r="AS507" i="5"/>
  <c r="AJ507" i="5"/>
  <c r="AP507" i="5" s="1"/>
  <c r="AS506" i="5"/>
  <c r="AJ506" i="5"/>
  <c r="AP506" i="5" s="1"/>
  <c r="AS505" i="5"/>
  <c r="AJ505" i="5"/>
  <c r="AP505" i="5" s="1"/>
  <c r="AS504" i="5"/>
  <c r="AJ504" i="5"/>
  <c r="AP504" i="5" s="1"/>
  <c r="AS503" i="5"/>
  <c r="AJ503" i="5"/>
  <c r="AP503" i="5" s="1"/>
  <c r="AS502" i="5"/>
  <c r="AJ502" i="5"/>
  <c r="AP502" i="5" s="1"/>
  <c r="AS501" i="5"/>
  <c r="AJ501" i="5"/>
  <c r="AP501" i="5" s="1"/>
  <c r="AS500" i="5"/>
  <c r="AJ500" i="5"/>
  <c r="AP500" i="5" s="1"/>
  <c r="AS499" i="5"/>
  <c r="AJ499" i="5"/>
  <c r="AP499" i="5" s="1"/>
  <c r="AS498" i="5"/>
  <c r="AJ498" i="5"/>
  <c r="AP498" i="5" s="1"/>
  <c r="AS497" i="5"/>
  <c r="AJ497" i="5"/>
  <c r="AP497" i="5" s="1"/>
  <c r="AJ496" i="5"/>
  <c r="AP496" i="5" s="1"/>
  <c r="AS495" i="5"/>
  <c r="AJ495" i="5"/>
  <c r="AP495" i="5" s="1"/>
  <c r="AJ494" i="5"/>
  <c r="AP494" i="5" s="1"/>
  <c r="AS493" i="5"/>
  <c r="AJ493" i="5"/>
  <c r="AP493" i="5" s="1"/>
  <c r="AS492" i="5"/>
  <c r="AJ492" i="5"/>
  <c r="AP492" i="5" s="1"/>
  <c r="AS491" i="5"/>
  <c r="AJ491" i="5"/>
  <c r="AP491" i="5" s="1"/>
  <c r="AJ490" i="5"/>
  <c r="AP490" i="5" s="1"/>
  <c r="AS489" i="5"/>
  <c r="AJ489" i="5"/>
  <c r="AP489" i="5" s="1"/>
  <c r="AJ488" i="5"/>
  <c r="AP488" i="5" s="1"/>
  <c r="AW488" i="5" s="1"/>
  <c r="AJ535" i="5"/>
  <c r="AP535" i="5" s="1"/>
  <c r="AW535" i="5" s="1"/>
  <c r="BB535" i="5" s="1"/>
  <c r="AJ536" i="5"/>
  <c r="AP536" i="5" s="1"/>
  <c r="AJ537" i="5"/>
  <c r="AP537" i="5" s="1"/>
  <c r="AW537" i="5" s="1"/>
  <c r="BB537" i="5" s="1"/>
  <c r="AJ541" i="5"/>
  <c r="AP541" i="5" s="1"/>
  <c r="AW541" i="5" s="1"/>
  <c r="BB541" i="5" s="1"/>
  <c r="AS474" i="5"/>
  <c r="AJ474" i="5"/>
  <c r="AP474" i="5" s="1"/>
  <c r="AS473" i="5"/>
  <c r="AJ473" i="5"/>
  <c r="AP473" i="5" s="1"/>
  <c r="AS472" i="5"/>
  <c r="AJ472" i="5"/>
  <c r="AP472" i="5" s="1"/>
  <c r="AJ469" i="5"/>
  <c r="AP469" i="5" s="1"/>
  <c r="AS463" i="5"/>
  <c r="AJ463" i="5"/>
  <c r="AP463" i="5" s="1"/>
  <c r="AS462" i="5"/>
  <c r="AJ462" i="5"/>
  <c r="AP462" i="5" s="1"/>
  <c r="AS461" i="5"/>
  <c r="AJ461" i="5"/>
  <c r="AP461" i="5" s="1"/>
  <c r="AS460" i="5"/>
  <c r="AJ460" i="5"/>
  <c r="AP460" i="5" s="1"/>
  <c r="AS459" i="5"/>
  <c r="AJ459" i="5"/>
  <c r="AP459" i="5" s="1"/>
  <c r="AJ458" i="5"/>
  <c r="AP458" i="5" s="1"/>
  <c r="AJ457" i="5"/>
  <c r="AP457" i="5" s="1"/>
  <c r="AS456" i="5"/>
  <c r="AJ456" i="5"/>
  <c r="AP456" i="5" s="1"/>
  <c r="AS455" i="5"/>
  <c r="AJ455" i="5"/>
  <c r="AP455" i="5" s="1"/>
  <c r="AS454" i="5"/>
  <c r="AJ454" i="5"/>
  <c r="AP454" i="5" s="1"/>
  <c r="AJ453" i="5"/>
  <c r="AP453" i="5" s="1"/>
  <c r="AS452" i="5"/>
  <c r="AJ452" i="5"/>
  <c r="AP452" i="5" s="1"/>
  <c r="AS447" i="5"/>
  <c r="AJ447" i="5"/>
  <c r="AP447" i="5" s="1"/>
  <c r="AS446" i="5"/>
  <c r="AJ446" i="5"/>
  <c r="AP446" i="5" s="1"/>
  <c r="AS445" i="5"/>
  <c r="AJ445" i="5"/>
  <c r="AP445" i="5" s="1"/>
  <c r="AS444" i="5"/>
  <c r="AJ444" i="5"/>
  <c r="AP444" i="5" s="1"/>
  <c r="AS443" i="5"/>
  <c r="AJ443" i="5"/>
  <c r="AP443" i="5" s="1"/>
  <c r="AS442" i="5"/>
  <c r="AJ442" i="5"/>
  <c r="AP442" i="5" s="1"/>
  <c r="AS441" i="5"/>
  <c r="AJ441" i="5"/>
  <c r="AP441" i="5" s="1"/>
  <c r="AS440" i="5"/>
  <c r="AJ440" i="5"/>
  <c r="AP440" i="5" s="1"/>
  <c r="AS439" i="5"/>
  <c r="AJ439" i="5"/>
  <c r="AP439" i="5" s="1"/>
  <c r="AS438" i="5"/>
  <c r="AJ438" i="5"/>
  <c r="AP438" i="5" s="1"/>
  <c r="AS437" i="5"/>
  <c r="AJ437" i="5"/>
  <c r="AP437" i="5" s="1"/>
  <c r="AS436" i="5"/>
  <c r="AJ436" i="5"/>
  <c r="AP436" i="5" s="1"/>
  <c r="AS435" i="5"/>
  <c r="AJ435" i="5"/>
  <c r="AP435" i="5" s="1"/>
  <c r="AJ434" i="5"/>
  <c r="AP434" i="5" s="1"/>
  <c r="AJ433" i="5"/>
  <c r="AP433" i="5" s="1"/>
  <c r="AS432" i="5"/>
  <c r="AJ432" i="5"/>
  <c r="AP432" i="5" s="1"/>
  <c r="AS431" i="5"/>
  <c r="AJ431" i="5"/>
  <c r="AP431" i="5" s="1"/>
  <c r="AS430" i="5"/>
  <c r="AJ430" i="5"/>
  <c r="AP430" i="5" s="1"/>
  <c r="AJ429" i="5"/>
  <c r="AP429" i="5" s="1"/>
  <c r="AJ428" i="5"/>
  <c r="AP428" i="5" s="1"/>
  <c r="AJ427" i="5"/>
  <c r="AP427" i="5" s="1"/>
  <c r="AW427" i="5" s="1"/>
  <c r="AJ475" i="5"/>
  <c r="AP475" i="5" s="1"/>
  <c r="AW475" i="5" s="1"/>
  <c r="BB475" i="5" s="1"/>
  <c r="AJ476" i="5"/>
  <c r="AP476" i="5" s="1"/>
  <c r="AJ477" i="5"/>
  <c r="AP477" i="5" s="1"/>
  <c r="AJ481" i="5"/>
  <c r="AP481" i="5" s="1"/>
  <c r="AW481" i="5" s="1"/>
  <c r="BB481" i="5" s="1"/>
  <c r="AJ413" i="5"/>
  <c r="AP413" i="5" s="1"/>
  <c r="AW413" i="5" s="1"/>
  <c r="BB413" i="5" s="1"/>
  <c r="AJ412" i="5"/>
  <c r="AP412" i="5" s="1"/>
  <c r="AW412" i="5" s="1"/>
  <c r="BB412" i="5" s="1"/>
  <c r="AJ411" i="5"/>
  <c r="AP411" i="5" s="1"/>
  <c r="AW411" i="5" s="1"/>
  <c r="BB411" i="5" s="1"/>
  <c r="AJ408" i="5"/>
  <c r="AP408" i="5" s="1"/>
  <c r="AW408" i="5" s="1"/>
  <c r="BB408" i="5" s="1"/>
  <c r="AJ404" i="5"/>
  <c r="AP404" i="5" s="1"/>
  <c r="AW404" i="5" s="1"/>
  <c r="BB404" i="5" s="1"/>
  <c r="AJ403" i="5"/>
  <c r="AP403" i="5" s="1"/>
  <c r="AJ402" i="5"/>
  <c r="AP402" i="5" s="1"/>
  <c r="AW402" i="5" s="1"/>
  <c r="BB402" i="5" s="1"/>
  <c r="AJ401" i="5"/>
  <c r="AP401" i="5" s="1"/>
  <c r="AW401" i="5" s="1"/>
  <c r="BB401" i="5" s="1"/>
  <c r="AJ400" i="5"/>
  <c r="AP400" i="5" s="1"/>
  <c r="AW400" i="5" s="1"/>
  <c r="BB400" i="5" s="1"/>
  <c r="AJ399" i="5"/>
  <c r="AP399" i="5" s="1"/>
  <c r="AW399" i="5" s="1"/>
  <c r="BB399" i="5" s="1"/>
  <c r="AJ398" i="5"/>
  <c r="AP398" i="5" s="1"/>
  <c r="AW398" i="5" s="1"/>
  <c r="BB398" i="5" s="1"/>
  <c r="AJ397" i="5"/>
  <c r="AP397" i="5" s="1"/>
  <c r="AW397" i="5" s="1"/>
  <c r="BB397" i="5" s="1"/>
  <c r="AJ396" i="5"/>
  <c r="AP396" i="5" s="1"/>
  <c r="AW396" i="5" s="1"/>
  <c r="BB396" i="5" s="1"/>
  <c r="AJ395" i="5"/>
  <c r="AP395" i="5" s="1"/>
  <c r="AW395" i="5" s="1"/>
  <c r="BB395" i="5" s="1"/>
  <c r="AJ394" i="5"/>
  <c r="AP394" i="5" s="1"/>
  <c r="AJ393" i="5"/>
  <c r="AP393" i="5" s="1"/>
  <c r="AW393" i="5" s="1"/>
  <c r="BB393" i="5" s="1"/>
  <c r="AJ392" i="5"/>
  <c r="AP392" i="5" s="1"/>
  <c r="AW392" i="5" s="1"/>
  <c r="BB392" i="5" s="1"/>
  <c r="AJ391" i="5"/>
  <c r="AP391" i="5" s="1"/>
  <c r="AW391" i="5" s="1"/>
  <c r="BB391" i="5" s="1"/>
  <c r="AJ390" i="5"/>
  <c r="AP390" i="5" s="1"/>
  <c r="AW390" i="5" s="1"/>
  <c r="BB390" i="5" s="1"/>
  <c r="AJ388" i="5"/>
  <c r="AP388" i="5" s="1"/>
  <c r="AW388" i="5" s="1"/>
  <c r="BB388" i="5" s="1"/>
  <c r="AJ387" i="5"/>
  <c r="AP387" i="5" s="1"/>
  <c r="AW387" i="5" s="1"/>
  <c r="BB387" i="5" s="1"/>
  <c r="AJ386" i="5"/>
  <c r="AP386" i="5" s="1"/>
  <c r="AW386" i="5" s="1"/>
  <c r="BB386" i="5" s="1"/>
  <c r="AJ385" i="5"/>
  <c r="AP385" i="5" s="1"/>
  <c r="AJ384" i="5"/>
  <c r="AP384" i="5" s="1"/>
  <c r="AW384" i="5" s="1"/>
  <c r="BB384" i="5" s="1"/>
  <c r="AJ383" i="5"/>
  <c r="AP383" i="5" s="1"/>
  <c r="AW383" i="5" s="1"/>
  <c r="BB383" i="5" s="1"/>
  <c r="AJ382" i="5"/>
  <c r="AP382" i="5" s="1"/>
  <c r="AW382" i="5" s="1"/>
  <c r="BB382" i="5" s="1"/>
  <c r="AJ381" i="5"/>
  <c r="AP381" i="5" s="1"/>
  <c r="AJ380" i="5"/>
  <c r="AP380" i="5" s="1"/>
  <c r="AW380" i="5" s="1"/>
  <c r="BB380" i="5" s="1"/>
  <c r="AJ379" i="5"/>
  <c r="AP379" i="5" s="1"/>
  <c r="AW379" i="5" s="1"/>
  <c r="BB379" i="5" s="1"/>
  <c r="AJ378" i="5"/>
  <c r="AP378" i="5" s="1"/>
  <c r="AW378" i="5" s="1"/>
  <c r="BB378" i="5" s="1"/>
  <c r="AJ377" i="5"/>
  <c r="AP377" i="5" s="1"/>
  <c r="AW377" i="5" s="1"/>
  <c r="BB377" i="5" s="1"/>
  <c r="AJ376" i="5"/>
  <c r="AP376" i="5" s="1"/>
  <c r="AJ375" i="5"/>
  <c r="AP375" i="5" s="1"/>
  <c r="AJ374" i="5"/>
  <c r="AP374" i="5" s="1"/>
  <c r="AW374" i="5" s="1"/>
  <c r="BB374" i="5" s="1"/>
  <c r="AJ373" i="5"/>
  <c r="AP373" i="5" s="1"/>
  <c r="AW373" i="5" s="1"/>
  <c r="BB373" i="5" s="1"/>
  <c r="AJ372" i="5"/>
  <c r="AP372" i="5" s="1"/>
  <c r="AW372" i="5" s="1"/>
  <c r="BB372" i="5" s="1"/>
  <c r="AJ371" i="5"/>
  <c r="AP371" i="5" s="1"/>
  <c r="AW371" i="5" s="1"/>
  <c r="BB371" i="5" s="1"/>
  <c r="AJ370" i="5"/>
  <c r="AP370" i="5" s="1"/>
  <c r="AJ369" i="5"/>
  <c r="AP369" i="5" s="1"/>
  <c r="AJ368" i="5"/>
  <c r="AP368" i="5" s="1"/>
  <c r="AW368" i="5" s="1"/>
  <c r="BB368" i="5" s="1"/>
  <c r="AJ367" i="5"/>
  <c r="AP367" i="5" s="1"/>
  <c r="AW367" i="5" s="1"/>
  <c r="BB367" i="5" s="1"/>
  <c r="AJ366" i="5"/>
  <c r="AP366" i="5" s="1"/>
  <c r="AW366" i="5" s="1"/>
  <c r="BB366" i="5" s="1"/>
  <c r="AJ365" i="5"/>
  <c r="AP365" i="5" s="1"/>
  <c r="AW365" i="5" s="1"/>
  <c r="BB365" i="5" s="1"/>
  <c r="AJ364" i="5"/>
  <c r="AP364" i="5" s="1"/>
  <c r="AJ363" i="5"/>
  <c r="AP363" i="5" s="1"/>
  <c r="AW363" i="5" s="1"/>
  <c r="AJ414" i="5"/>
  <c r="AP414" i="5" s="1"/>
  <c r="AW414" i="5" s="1"/>
  <c r="BB414" i="5" s="1"/>
  <c r="AJ415" i="5"/>
  <c r="AP415" i="5" s="1"/>
  <c r="AJ416" i="5"/>
  <c r="AP416" i="5" s="1"/>
  <c r="AW416" i="5" s="1"/>
  <c r="BB416" i="5" s="1"/>
  <c r="AJ420" i="5"/>
  <c r="AP420" i="5" s="1"/>
  <c r="AW420" i="5" s="1"/>
  <c r="BB420" i="5" s="1"/>
  <c r="AS349" i="5"/>
  <c r="AJ349" i="5"/>
  <c r="AP349" i="5" s="1"/>
  <c r="AS348" i="5"/>
  <c r="AJ348" i="5"/>
  <c r="AP348" i="5" s="1"/>
  <c r="AS345" i="5"/>
  <c r="AJ345" i="5"/>
  <c r="AP345" i="5" s="1"/>
  <c r="AS344" i="5"/>
  <c r="AJ344" i="5"/>
  <c r="AP344" i="5" s="1"/>
  <c r="AS343" i="5"/>
  <c r="AJ343" i="5"/>
  <c r="AP343" i="5" s="1"/>
  <c r="AS342" i="5"/>
  <c r="AJ342" i="5"/>
  <c r="AP342" i="5" s="1"/>
  <c r="AS341" i="5"/>
  <c r="AJ341" i="5"/>
  <c r="AP341" i="5" s="1"/>
  <c r="AS340" i="5"/>
  <c r="AJ340" i="5"/>
  <c r="AP340" i="5" s="1"/>
  <c r="AS339" i="5"/>
  <c r="AJ339" i="5"/>
  <c r="AP339" i="5" s="1"/>
  <c r="AS338" i="5"/>
  <c r="AJ338" i="5"/>
  <c r="AP338" i="5" s="1"/>
  <c r="AS337" i="5"/>
  <c r="AJ337" i="5"/>
  <c r="AP337" i="5" s="1"/>
  <c r="AS336" i="5"/>
  <c r="AJ336" i="5"/>
  <c r="AP336" i="5" s="1"/>
  <c r="AS335" i="5"/>
  <c r="AJ335" i="5"/>
  <c r="AP335" i="5" s="1"/>
  <c r="AS334" i="5"/>
  <c r="AJ334" i="5"/>
  <c r="AP334" i="5" s="1"/>
  <c r="AS333" i="5"/>
  <c r="AJ333" i="5"/>
  <c r="AP333" i="5" s="1"/>
  <c r="AS332" i="5"/>
  <c r="AJ332" i="5"/>
  <c r="AP332" i="5" s="1"/>
  <c r="AJ331" i="5"/>
  <c r="AP331" i="5" s="1"/>
  <c r="AS330" i="5"/>
  <c r="AJ330" i="5"/>
  <c r="AP330" i="5" s="1"/>
  <c r="AS329" i="5"/>
  <c r="AJ329" i="5"/>
  <c r="AP329" i="5" s="1"/>
  <c r="AS328" i="5"/>
  <c r="AJ328" i="5"/>
  <c r="AP328" i="5" s="1"/>
  <c r="AS327" i="5"/>
  <c r="AJ327" i="5"/>
  <c r="AP327" i="5" s="1"/>
  <c r="AS326" i="5"/>
  <c r="AJ326" i="5"/>
  <c r="AP326" i="5" s="1"/>
  <c r="AS325" i="5"/>
  <c r="AJ325" i="5"/>
  <c r="AP325" i="5" s="1"/>
  <c r="AS324" i="5"/>
  <c r="AJ324" i="5"/>
  <c r="AP324" i="5" s="1"/>
  <c r="AS323" i="5"/>
  <c r="AJ323" i="5"/>
  <c r="AP323" i="5" s="1"/>
  <c r="AJ322" i="5"/>
  <c r="AP322" i="5" s="1"/>
  <c r="AS321" i="5"/>
  <c r="AJ321" i="5"/>
  <c r="AP321" i="5" s="1"/>
  <c r="AS320" i="5"/>
  <c r="AJ320" i="5"/>
  <c r="AP320" i="5" s="1"/>
  <c r="AS319" i="5"/>
  <c r="AJ319" i="5"/>
  <c r="AP319" i="5" s="1"/>
  <c r="AS318" i="5"/>
  <c r="AJ318" i="5"/>
  <c r="AP318" i="5" s="1"/>
  <c r="AS317" i="5"/>
  <c r="AJ317" i="5"/>
  <c r="AP317" i="5" s="1"/>
  <c r="AS316" i="5"/>
  <c r="AJ316" i="5"/>
  <c r="AP316" i="5" s="1"/>
  <c r="AS315" i="5"/>
  <c r="AJ315" i="5"/>
  <c r="AP315" i="5" s="1"/>
  <c r="AS314" i="5"/>
  <c r="AJ314" i="5"/>
  <c r="AP314" i="5" s="1"/>
  <c r="AS313" i="5"/>
  <c r="AJ313" i="5"/>
  <c r="AP313" i="5" s="1"/>
  <c r="AJ312" i="5"/>
  <c r="AP312" i="5" s="1"/>
  <c r="AJ311" i="5"/>
  <c r="AP311" i="5" s="1"/>
  <c r="AJ310" i="5"/>
  <c r="AP310" i="5" s="1"/>
  <c r="AW310" i="5" s="1"/>
  <c r="AJ350" i="5"/>
  <c r="AP350" i="5" s="1"/>
  <c r="AJ351" i="5"/>
  <c r="AP351" i="5" s="1"/>
  <c r="AJ355" i="5"/>
  <c r="AP355" i="5" s="1"/>
  <c r="AW355" i="5" s="1"/>
  <c r="BB355" i="5" s="1"/>
  <c r="AJ356" i="5"/>
  <c r="AP356" i="5" s="1"/>
  <c r="AW356" i="5" s="1"/>
  <c r="BB356" i="5" s="1"/>
  <c r="AS303" i="5"/>
  <c r="AJ303" i="5"/>
  <c r="AP303" i="5" s="1"/>
  <c r="AJ302" i="5"/>
  <c r="AP302" i="5" s="1"/>
  <c r="AS301" i="5"/>
  <c r="AJ301" i="5"/>
  <c r="AP301" i="5" s="1"/>
  <c r="AS299" i="5"/>
  <c r="AJ299" i="5"/>
  <c r="AP299" i="5" s="1"/>
  <c r="AS298" i="5"/>
  <c r="AJ298" i="5"/>
  <c r="AP298" i="5" s="1"/>
  <c r="AJ297" i="5"/>
  <c r="AP297" i="5" s="1"/>
  <c r="AJ296" i="5"/>
  <c r="AP296" i="5" s="1"/>
  <c r="AS295" i="5"/>
  <c r="AJ295" i="5"/>
  <c r="AP295" i="5" s="1"/>
  <c r="AS294" i="5"/>
  <c r="AJ294" i="5"/>
  <c r="AP294" i="5" s="1"/>
  <c r="AS293" i="5"/>
  <c r="AJ293" i="5"/>
  <c r="AP293" i="5" s="1"/>
  <c r="AS292" i="5"/>
  <c r="AJ292" i="5"/>
  <c r="AP292" i="5" s="1"/>
  <c r="AS291" i="5"/>
  <c r="AJ291" i="5"/>
  <c r="AP291" i="5" s="1"/>
  <c r="AS290" i="5"/>
  <c r="AJ290" i="5"/>
  <c r="AP290" i="5" s="1"/>
  <c r="AS289" i="5"/>
  <c r="AJ289" i="5"/>
  <c r="AP289" i="5" s="1"/>
  <c r="AS288" i="5"/>
  <c r="AJ288" i="5"/>
  <c r="AP288" i="5" s="1"/>
  <c r="AS287" i="5"/>
  <c r="AJ287" i="5"/>
  <c r="AP287" i="5" s="1"/>
  <c r="AS286" i="5"/>
  <c r="AJ286" i="5"/>
  <c r="AP286" i="5" s="1"/>
  <c r="AJ285" i="5"/>
  <c r="AP285" i="5" s="1"/>
  <c r="AJ284" i="5"/>
  <c r="AP284" i="5" s="1"/>
  <c r="AS283" i="5"/>
  <c r="AJ283" i="5"/>
  <c r="AP283" i="5" s="1"/>
  <c r="AS282" i="5"/>
  <c r="AJ282" i="5"/>
  <c r="AP282" i="5" s="1"/>
  <c r="AS281" i="5"/>
  <c r="AJ281" i="5"/>
  <c r="AP281" i="5" s="1"/>
  <c r="AS280" i="5"/>
  <c r="AJ280" i="5"/>
  <c r="AP280" i="5" s="1"/>
  <c r="AJ279" i="5"/>
  <c r="AP279" i="5" s="1"/>
  <c r="AW279" i="5" s="1"/>
  <c r="AS272" i="5"/>
  <c r="AJ272" i="5"/>
  <c r="AP272" i="5" s="1"/>
  <c r="AS271" i="5"/>
  <c r="AJ271" i="5"/>
  <c r="AP271" i="5" s="1"/>
  <c r="AS270" i="5"/>
  <c r="AJ270" i="5"/>
  <c r="AP270" i="5" s="1"/>
  <c r="AS269" i="5"/>
  <c r="AJ269" i="5"/>
  <c r="AP269" i="5" s="1"/>
  <c r="AS268" i="5"/>
  <c r="AJ268" i="5"/>
  <c r="AP268" i="5" s="1"/>
  <c r="AS267" i="5"/>
  <c r="AJ267" i="5"/>
  <c r="AP267" i="5" s="1"/>
  <c r="AS266" i="5"/>
  <c r="AJ266" i="5"/>
  <c r="AP266" i="5" s="1"/>
  <c r="AS265" i="5"/>
  <c r="AJ265" i="5"/>
  <c r="AP265" i="5" s="1"/>
  <c r="AS264" i="5"/>
  <c r="AJ264" i="5"/>
  <c r="AP264" i="5" s="1"/>
  <c r="AS263" i="5"/>
  <c r="AJ263" i="5"/>
  <c r="AP263" i="5" s="1"/>
  <c r="AS262" i="5"/>
  <c r="AJ262" i="5"/>
  <c r="AP262" i="5" s="1"/>
  <c r="AS261" i="5"/>
  <c r="AJ261" i="5"/>
  <c r="AP261" i="5" s="1"/>
  <c r="AS260" i="5"/>
  <c r="AJ260" i="5"/>
  <c r="AP260" i="5" s="1"/>
  <c r="AS259" i="5"/>
  <c r="AJ259" i="5"/>
  <c r="AP259" i="5" s="1"/>
  <c r="AS258" i="5"/>
  <c r="AJ258" i="5"/>
  <c r="AP258" i="5" s="1"/>
  <c r="AS257" i="5"/>
  <c r="AJ257" i="5"/>
  <c r="AP257" i="5" s="1"/>
  <c r="AS256" i="5"/>
  <c r="AJ256" i="5"/>
  <c r="AP256" i="5" s="1"/>
  <c r="AS255" i="5"/>
  <c r="AJ255" i="5"/>
  <c r="AP255" i="5" s="1"/>
  <c r="AS254" i="5"/>
  <c r="AJ254" i="5"/>
  <c r="AP254" i="5" s="1"/>
  <c r="AS253" i="5"/>
  <c r="AJ253" i="5"/>
  <c r="AP253" i="5" s="1"/>
  <c r="AJ252" i="5"/>
  <c r="AP252" i="5" s="1"/>
  <c r="AS251" i="5"/>
  <c r="AJ251" i="5"/>
  <c r="AP251" i="5" s="1"/>
  <c r="AJ250" i="5"/>
  <c r="AP250" i="5" s="1"/>
  <c r="AW250" i="5" s="1"/>
  <c r="AS243" i="5"/>
  <c r="AJ243" i="5"/>
  <c r="AP243" i="5" s="1"/>
  <c r="AS242" i="5"/>
  <c r="AJ242" i="5"/>
  <c r="AP242" i="5" s="1"/>
  <c r="AS241" i="5"/>
  <c r="AJ241" i="5"/>
  <c r="AP241" i="5" s="1"/>
  <c r="AS240" i="5"/>
  <c r="AJ240" i="5"/>
  <c r="AP240" i="5" s="1"/>
  <c r="AS238" i="5"/>
  <c r="AJ238" i="5"/>
  <c r="AP238" i="5" s="1"/>
  <c r="AS237" i="5"/>
  <c r="AJ237" i="5"/>
  <c r="AP237" i="5" s="1"/>
  <c r="AS236" i="5"/>
  <c r="AJ236" i="5"/>
  <c r="AP236" i="5" s="1"/>
  <c r="AS234" i="5"/>
  <c r="AJ234" i="5"/>
  <c r="AP234" i="5" s="1"/>
  <c r="AS231" i="5"/>
  <c r="AJ231" i="5"/>
  <c r="AP231" i="5" s="1"/>
  <c r="AS230" i="5"/>
  <c r="AJ230" i="5"/>
  <c r="AP230" i="5" s="1"/>
  <c r="AS229" i="5"/>
  <c r="AJ229" i="5"/>
  <c r="AP229" i="5" s="1"/>
  <c r="AS228" i="5"/>
  <c r="AJ228" i="5"/>
  <c r="AP228" i="5" s="1"/>
  <c r="AS227" i="5"/>
  <c r="AJ227" i="5"/>
  <c r="AP227" i="5" s="1"/>
  <c r="AS226" i="5"/>
  <c r="AJ226" i="5"/>
  <c r="AP226" i="5" s="1"/>
  <c r="AS225" i="5"/>
  <c r="AJ225" i="5"/>
  <c r="AP225" i="5" s="1"/>
  <c r="AJ224" i="5"/>
  <c r="AP224" i="5" s="1"/>
  <c r="AS223" i="5"/>
  <c r="AJ223" i="5"/>
  <c r="AP223" i="5" s="1"/>
  <c r="AS222" i="5"/>
  <c r="AJ222" i="5"/>
  <c r="AP222" i="5" s="1"/>
  <c r="AJ221" i="5"/>
  <c r="AP221" i="5" s="1"/>
  <c r="AW221" i="5" s="1"/>
  <c r="AS214" i="5"/>
  <c r="AJ214" i="5"/>
  <c r="AP214" i="5" s="1"/>
  <c r="AS213" i="5"/>
  <c r="AJ213" i="5"/>
  <c r="AP213" i="5" s="1"/>
  <c r="AS212" i="5"/>
  <c r="AJ212" i="5"/>
  <c r="AP212" i="5" s="1"/>
  <c r="AS211" i="5"/>
  <c r="AJ211" i="5"/>
  <c r="AP211" i="5" s="1"/>
  <c r="AS210" i="5"/>
  <c r="AJ210" i="5"/>
  <c r="AP210" i="5" s="1"/>
  <c r="AS208" i="5"/>
  <c r="AJ208" i="5"/>
  <c r="AP208" i="5" s="1"/>
  <c r="AS207" i="5"/>
  <c r="AJ207" i="5"/>
  <c r="AP207" i="5" s="1"/>
  <c r="AJ206" i="5"/>
  <c r="AP206" i="5" s="1"/>
  <c r="AS203" i="5"/>
  <c r="AJ203" i="5"/>
  <c r="AP203" i="5" s="1"/>
  <c r="AS201" i="5"/>
  <c r="AJ201" i="5"/>
  <c r="AP201" i="5" s="1"/>
  <c r="AS195" i="5"/>
  <c r="AJ195" i="5"/>
  <c r="AP195" i="5" s="1"/>
  <c r="AS194" i="5"/>
  <c r="AJ194" i="5"/>
  <c r="AP194" i="5" s="1"/>
  <c r="AJ193" i="5"/>
  <c r="AP193" i="5" s="1"/>
  <c r="AS192" i="5"/>
  <c r="AJ192" i="5"/>
  <c r="AP192" i="5" s="1"/>
  <c r="AJ191" i="5"/>
  <c r="AP191" i="5" s="1"/>
  <c r="AW191" i="5" s="1"/>
  <c r="AF130" i="5"/>
  <c r="I10" i="5"/>
  <c r="V23" i="5"/>
  <c r="AB23" i="5" s="1"/>
  <c r="V26" i="5"/>
  <c r="AB26" i="5" s="1"/>
  <c r="V52" i="5"/>
  <c r="AN53" i="5"/>
  <c r="AN54" i="5"/>
  <c r="AN55" i="5"/>
  <c r="V58" i="5"/>
  <c r="V66" i="5"/>
  <c r="BB66" i="5" s="1"/>
  <c r="BB626" i="5"/>
  <c r="L10" i="12"/>
  <c r="I154" i="12" s="1"/>
  <c r="E10" i="5"/>
  <c r="C20" i="9"/>
  <c r="P359" i="12"/>
  <c r="N381" i="12"/>
  <c r="N384" i="12"/>
  <c r="BB596" i="5"/>
  <c r="BB595" i="5"/>
  <c r="BB594" i="5"/>
  <c r="AF164" i="5"/>
  <c r="AF172" i="5"/>
  <c r="AF173" i="5"/>
  <c r="AS164" i="5"/>
  <c r="AF165" i="5"/>
  <c r="AS165" i="5"/>
  <c r="AF166" i="5"/>
  <c r="AS166" i="5"/>
  <c r="AF167" i="5"/>
  <c r="AS167" i="5"/>
  <c r="AF168" i="5"/>
  <c r="AS168" i="5"/>
  <c r="AF169" i="5"/>
  <c r="AS169" i="5"/>
  <c r="AF170" i="5"/>
  <c r="AS170" i="5"/>
  <c r="Y176" i="5"/>
  <c r="AD176" i="5"/>
  <c r="AS176" i="5"/>
  <c r="Y177" i="5"/>
  <c r="BB177" i="5" s="1"/>
  <c r="AD177" i="5"/>
  <c r="AS177" i="5"/>
  <c r="Y178" i="5"/>
  <c r="AD178" i="5"/>
  <c r="AS178" i="5"/>
  <c r="BB170" i="5"/>
  <c r="BB169" i="5"/>
  <c r="BB168" i="5"/>
  <c r="BB167" i="5"/>
  <c r="BB166" i="5"/>
  <c r="BB165" i="5"/>
  <c r="BB164" i="5"/>
  <c r="BB104" i="5"/>
  <c r="BB103" i="5"/>
  <c r="BB102" i="5"/>
  <c r="BB101" i="5"/>
  <c r="BB100" i="5"/>
  <c r="BB99" i="5"/>
  <c r="BB98" i="5"/>
  <c r="BB97" i="5"/>
  <c r="BB96" i="5"/>
  <c r="BB95" i="5"/>
  <c r="BB84" i="5"/>
  <c r="BB83" i="5"/>
  <c r="BB82" i="5"/>
  <c r="T27" i="6"/>
  <c r="G135" i="5" s="1"/>
  <c r="H34" i="12"/>
  <c r="P27" i="12" s="1"/>
  <c r="U226" i="12"/>
  <c r="D100" i="10"/>
  <c r="H100" i="10" s="1"/>
  <c r="I100" i="10"/>
  <c r="O100" i="10" s="1"/>
  <c r="D101" i="10"/>
  <c r="H101" i="10" s="1"/>
  <c r="I101" i="10"/>
  <c r="O101" i="10" s="1"/>
  <c r="I17" i="10"/>
  <c r="D17" i="10"/>
  <c r="H17" i="10" s="1"/>
  <c r="I111" i="10"/>
  <c r="O111" i="10" s="1"/>
  <c r="D111" i="10"/>
  <c r="H111" i="10" s="1"/>
  <c r="I112" i="10"/>
  <c r="O112" i="10" s="1"/>
  <c r="D112" i="10"/>
  <c r="H112" i="10" s="1"/>
  <c r="I113" i="10"/>
  <c r="O113" i="10" s="1"/>
  <c r="D113" i="10"/>
  <c r="H113" i="10" s="1"/>
  <c r="I114" i="10"/>
  <c r="D114" i="10"/>
  <c r="H114" i="10" s="1"/>
  <c r="I115" i="10"/>
  <c r="O115" i="10" s="1"/>
  <c r="D115" i="10"/>
  <c r="H115" i="10" s="1"/>
  <c r="D122" i="10"/>
  <c r="H122" i="10" s="1"/>
  <c r="D123" i="10"/>
  <c r="H123" i="10" s="1"/>
  <c r="D135" i="10"/>
  <c r="H135" i="10" s="1"/>
  <c r="D136" i="10"/>
  <c r="H136" i="10" s="1"/>
  <c r="D137" i="10"/>
  <c r="H137" i="10" s="1"/>
  <c r="I138" i="10"/>
  <c r="D138" i="10"/>
  <c r="H138" i="10" s="1"/>
  <c r="I139" i="10"/>
  <c r="O139" i="10" s="1"/>
  <c r="D139" i="10"/>
  <c r="H139" i="10" s="1"/>
  <c r="I140" i="10"/>
  <c r="D140" i="10"/>
  <c r="H140" i="10" s="1"/>
  <c r="I141" i="10"/>
  <c r="O141" i="10" s="1"/>
  <c r="D141" i="10"/>
  <c r="H141" i="10" s="1"/>
  <c r="I142" i="10"/>
  <c r="D142" i="10"/>
  <c r="H142" i="10" s="1"/>
  <c r="I143" i="10"/>
  <c r="O143" i="10" s="1"/>
  <c r="D143" i="10"/>
  <c r="H143" i="10" s="1"/>
  <c r="I148" i="10"/>
  <c r="D148" i="10"/>
  <c r="H148" i="10" s="1"/>
  <c r="I149" i="10"/>
  <c r="O149" i="10" s="1"/>
  <c r="D149" i="10"/>
  <c r="H149" i="10" s="1"/>
  <c r="D170" i="10"/>
  <c r="H170" i="10" s="1"/>
  <c r="J170" i="10" s="1"/>
  <c r="D171" i="10"/>
  <c r="H171" i="10" s="1"/>
  <c r="J171" i="10" s="1"/>
  <c r="D172" i="10"/>
  <c r="H172" i="10" s="1"/>
  <c r="D173" i="10"/>
  <c r="H173" i="10" s="1"/>
  <c r="D174" i="10"/>
  <c r="H174" i="10" s="1"/>
  <c r="D175" i="10"/>
  <c r="H175" i="10" s="1"/>
  <c r="J175" i="10" s="1"/>
  <c r="H176" i="10"/>
  <c r="H177" i="10"/>
  <c r="H178" i="10"/>
  <c r="J178" i="10" s="1"/>
  <c r="D179" i="10"/>
  <c r="H179" i="10" s="1"/>
  <c r="D180" i="10"/>
  <c r="H180" i="10" s="1"/>
  <c r="J180" i="10" s="1"/>
  <c r="D181" i="10"/>
  <c r="H181" i="10" s="1"/>
  <c r="D182" i="10"/>
  <c r="H182" i="10" s="1"/>
  <c r="D183" i="10"/>
  <c r="H183" i="10" s="1"/>
  <c r="J183" i="10" s="1"/>
  <c r="D184" i="10"/>
  <c r="H184" i="10" s="1"/>
  <c r="D185" i="10"/>
  <c r="H185" i="10" s="1"/>
  <c r="J185" i="10" s="1"/>
  <c r="D186" i="10"/>
  <c r="H186" i="10" s="1"/>
  <c r="J186" i="10" s="1"/>
  <c r="T126" i="6"/>
  <c r="T114" i="6"/>
  <c r="T100" i="6"/>
  <c r="T98" i="6"/>
  <c r="AS457" i="5" s="1"/>
  <c r="T81" i="6"/>
  <c r="T80" i="6"/>
  <c r="AS364" i="5" s="1"/>
  <c r="T82" i="6"/>
  <c r="AS376" i="5" s="1"/>
  <c r="T68" i="6"/>
  <c r="T67" i="6"/>
  <c r="AS311" i="5" s="1"/>
  <c r="T66" i="6"/>
  <c r="T74" i="6"/>
  <c r="T58" i="6"/>
  <c r="T59" i="6"/>
  <c r="AS297" i="5" s="1"/>
  <c r="T60" i="6"/>
  <c r="T42" i="6"/>
  <c r="T35" i="6"/>
  <c r="P153" i="5"/>
  <c r="AJ152" i="5" s="1"/>
  <c r="AN152" i="5" s="1"/>
  <c r="P130" i="5"/>
  <c r="L129" i="5" s="1"/>
  <c r="AP53" i="5"/>
  <c r="AP55" i="5"/>
  <c r="T17" i="6"/>
  <c r="AP24" i="5"/>
  <c r="AP54" i="5"/>
  <c r="AL58" i="5"/>
  <c r="H101" i="5"/>
  <c r="J101" i="5"/>
  <c r="J102" i="5"/>
  <c r="H102" i="5"/>
  <c r="L100" i="5"/>
  <c r="L98" i="5" s="1"/>
  <c r="N100" i="5"/>
  <c r="N101" i="5"/>
  <c r="L101" i="5"/>
  <c r="P100" i="5"/>
  <c r="P98" i="5" s="1"/>
  <c r="R100" i="5"/>
  <c r="R101" i="5"/>
  <c r="P101" i="5"/>
  <c r="T99" i="5"/>
  <c r="T100" i="5"/>
  <c r="T101" i="5"/>
  <c r="T102" i="5"/>
  <c r="V100" i="5"/>
  <c r="X101" i="5"/>
  <c r="Z101" i="5"/>
  <c r="Z100" i="5"/>
  <c r="X100" i="5"/>
  <c r="X103" i="5"/>
  <c r="Z103" i="5"/>
  <c r="Z104" i="5"/>
  <c r="X104" i="5"/>
  <c r="X102" i="5"/>
  <c r="AB100" i="5"/>
  <c r="AD100" i="5"/>
  <c r="AB101" i="5"/>
  <c r="AV99" i="5"/>
  <c r="AV100" i="5"/>
  <c r="H100" i="5"/>
  <c r="J100" i="5"/>
  <c r="L99" i="5"/>
  <c r="N99" i="5"/>
  <c r="P99" i="5"/>
  <c r="R99" i="5"/>
  <c r="V99" i="5"/>
  <c r="AD99" i="5"/>
  <c r="AF99" i="5"/>
  <c r="AH99" i="5"/>
  <c r="AW99" i="5"/>
  <c r="AX99" i="5"/>
  <c r="AY99" i="5"/>
  <c r="AF100" i="5"/>
  <c r="AH100" i="5"/>
  <c r="AF103" i="5" s="1"/>
  <c r="AW100" i="5"/>
  <c r="AX100" i="5"/>
  <c r="AY100" i="5"/>
  <c r="AD101" i="5"/>
  <c r="AF101" i="5"/>
  <c r="AH101" i="5"/>
  <c r="V102" i="5"/>
  <c r="Z102" i="5"/>
  <c r="AF171" i="5"/>
  <c r="T33" i="6"/>
  <c r="AS193" i="5" s="1"/>
  <c r="T34" i="6"/>
  <c r="T36" i="6"/>
  <c r="T37" i="6"/>
  <c r="P91" i="9"/>
  <c r="T41" i="6"/>
  <c r="AS224" i="5" s="1"/>
  <c r="T43" i="6"/>
  <c r="T44" i="6"/>
  <c r="T45" i="6"/>
  <c r="T49" i="6"/>
  <c r="AS252" i="5" s="1"/>
  <c r="T50" i="6"/>
  <c r="T51" i="6"/>
  <c r="T52" i="6"/>
  <c r="T53" i="6"/>
  <c r="T57" i="6"/>
  <c r="AS285" i="5" s="1"/>
  <c r="T61" i="6"/>
  <c r="T65" i="6"/>
  <c r="AS312" i="5" s="1"/>
  <c r="T69" i="6"/>
  <c r="T79" i="6"/>
  <c r="T83" i="6"/>
  <c r="T78" i="6"/>
  <c r="AS403" i="5" s="1"/>
  <c r="T84" i="6"/>
  <c r="T85" i="6"/>
  <c r="T86" i="6"/>
  <c r="T99" i="6"/>
  <c r="T97" i="6"/>
  <c r="AS453" i="5" s="1"/>
  <c r="T95" i="6"/>
  <c r="AS434" i="5" s="1"/>
  <c r="T96" i="6"/>
  <c r="T101" i="6"/>
  <c r="T102" i="6"/>
  <c r="T103" i="6"/>
  <c r="T112" i="6"/>
  <c r="AS490" i="5" s="1"/>
  <c r="T113" i="6"/>
  <c r="AS496" i="5" s="1"/>
  <c r="T115" i="6"/>
  <c r="T116" i="6"/>
  <c r="Y594" i="5"/>
  <c r="Y598" i="5"/>
  <c r="Y599" i="5"/>
  <c r="AG594" i="5"/>
  <c r="AJ594" i="5"/>
  <c r="Y595" i="5"/>
  <c r="AG595" i="5"/>
  <c r="AJ595" i="5"/>
  <c r="Y596" i="5"/>
  <c r="AG596" i="5"/>
  <c r="AJ596" i="5"/>
  <c r="Y597" i="5"/>
  <c r="T125" i="6"/>
  <c r="T127" i="6"/>
  <c r="T128" i="6"/>
  <c r="T129" i="6"/>
  <c r="AA617" i="5"/>
  <c r="T7" i="6"/>
  <c r="V7" i="6" s="1"/>
  <c r="T8" i="6"/>
  <c r="V8" i="6" s="1"/>
  <c r="T9" i="6"/>
  <c r="V9" i="6" s="1"/>
  <c r="T15" i="6"/>
  <c r="T18" i="6"/>
  <c r="V63" i="5" s="1"/>
  <c r="T19" i="6"/>
  <c r="V19" i="6" s="1"/>
  <c r="T20" i="6"/>
  <c r="V20" i="6" s="1"/>
  <c r="T21" i="6"/>
  <c r="V67" i="5" s="1"/>
  <c r="AB67" i="5" s="1"/>
  <c r="T22" i="6"/>
  <c r="V22" i="6" s="1"/>
  <c r="T23" i="6"/>
  <c r="V23" i="6" s="1"/>
  <c r="V28" i="6"/>
  <c r="V33" i="6"/>
  <c r="V34" i="6"/>
  <c r="V35" i="6"/>
  <c r="V36" i="6"/>
  <c r="V37" i="6"/>
  <c r="V41" i="6"/>
  <c r="V42" i="6"/>
  <c r="V43" i="6"/>
  <c r="V44" i="6"/>
  <c r="V45" i="6"/>
  <c r="V49" i="6"/>
  <c r="V50" i="6"/>
  <c r="V51" i="6"/>
  <c r="V52" i="6"/>
  <c r="V53" i="6"/>
  <c r="V57" i="6"/>
  <c r="V58" i="6"/>
  <c r="V59" i="6"/>
  <c r="V60" i="6"/>
  <c r="V61" i="6"/>
  <c r="V65" i="6"/>
  <c r="V66" i="6"/>
  <c r="V67" i="6"/>
  <c r="V68" i="6"/>
  <c r="V69" i="6"/>
  <c r="T70" i="6"/>
  <c r="V70" i="6"/>
  <c r="V74" i="6"/>
  <c r="V78" i="6"/>
  <c r="V79" i="6"/>
  <c r="V80" i="6"/>
  <c r="V81" i="6"/>
  <c r="V82" i="6"/>
  <c r="V83" i="6"/>
  <c r="V84" i="6"/>
  <c r="V85" i="6"/>
  <c r="V86" i="6"/>
  <c r="T87" i="6"/>
  <c r="V87" i="6"/>
  <c r="T91" i="6"/>
  <c r="V91" i="6"/>
  <c r="V95" i="6"/>
  <c r="V96" i="6"/>
  <c r="V97" i="6"/>
  <c r="V98" i="6"/>
  <c r="V99" i="6"/>
  <c r="V100" i="6"/>
  <c r="V101" i="6"/>
  <c r="V102" i="6"/>
  <c r="V103" i="6"/>
  <c r="T104" i="6"/>
  <c r="V104" i="6"/>
  <c r="T108" i="6"/>
  <c r="V108" i="6"/>
  <c r="V112" i="6"/>
  <c r="V113" i="6"/>
  <c r="V114" i="6"/>
  <c r="V115" i="6"/>
  <c r="V116" i="6"/>
  <c r="T117" i="6"/>
  <c r="AS536" i="5" s="1"/>
  <c r="V117" i="6"/>
  <c r="T121" i="6"/>
  <c r="V121" i="6"/>
  <c r="V125" i="6"/>
  <c r="V126" i="6"/>
  <c r="V127" i="6"/>
  <c r="V128" i="6"/>
  <c r="V129" i="6"/>
  <c r="T130" i="6"/>
  <c r="AS587" i="5" s="1"/>
  <c r="V130" i="6"/>
  <c r="T134" i="6"/>
  <c r="V134" i="6"/>
  <c r="V135" i="6"/>
  <c r="V136" i="6"/>
  <c r="AF6" i="7"/>
  <c r="K143" i="5" s="1"/>
  <c r="AH6" i="7"/>
  <c r="AH7" i="7"/>
  <c r="AH8" i="7"/>
  <c r="AH9" i="7"/>
  <c r="AF17" i="7"/>
  <c r="AR152" i="5" s="1"/>
  <c r="F21" i="7"/>
  <c r="L21" i="7"/>
  <c r="R21" i="7"/>
  <c r="X21" i="7"/>
  <c r="AD21" i="7"/>
  <c r="F22" i="7"/>
  <c r="L22" i="7"/>
  <c r="R22" i="7"/>
  <c r="X22" i="7"/>
  <c r="AD22" i="7"/>
  <c r="F23" i="7"/>
  <c r="L23" i="7"/>
  <c r="R23" i="7"/>
  <c r="X23" i="7"/>
  <c r="AD23" i="7"/>
  <c r="F24" i="7"/>
  <c r="L24" i="7"/>
  <c r="R24" i="7"/>
  <c r="X24" i="7"/>
  <c r="AD24" i="7"/>
  <c r="F25" i="7"/>
  <c r="L25" i="7"/>
  <c r="R25" i="7"/>
  <c r="X25" i="7"/>
  <c r="AD25" i="7"/>
  <c r="F26" i="7"/>
  <c r="L26" i="7"/>
  <c r="R26" i="7"/>
  <c r="X26" i="7"/>
  <c r="AD26" i="7"/>
  <c r="F27" i="7"/>
  <c r="L27" i="7"/>
  <c r="R27" i="7"/>
  <c r="X27" i="7"/>
  <c r="AD27" i="7"/>
  <c r="F28" i="7"/>
  <c r="L28" i="7"/>
  <c r="R28" i="7"/>
  <c r="X28" i="7"/>
  <c r="AD28" i="7"/>
  <c r="F29" i="7"/>
  <c r="L29" i="7"/>
  <c r="R29" i="7"/>
  <c r="X29" i="7"/>
  <c r="AD29" i="7"/>
  <c r="F30" i="7"/>
  <c r="L30" i="7"/>
  <c r="R30" i="7"/>
  <c r="X30" i="7"/>
  <c r="AD30" i="7"/>
  <c r="F31" i="7"/>
  <c r="L31" i="7"/>
  <c r="R31" i="7"/>
  <c r="X31" i="7"/>
  <c r="AD31" i="7"/>
  <c r="F32" i="7"/>
  <c r="L32" i="7"/>
  <c r="R32" i="7"/>
  <c r="X32" i="7"/>
  <c r="AD32" i="7"/>
  <c r="F33" i="7"/>
  <c r="L33" i="7"/>
  <c r="R33" i="7"/>
  <c r="X33" i="7"/>
  <c r="AD33" i="7"/>
  <c r="F34" i="7"/>
  <c r="L34" i="7"/>
  <c r="R34" i="7"/>
  <c r="X34" i="7"/>
  <c r="AD34" i="7"/>
  <c r="F35" i="7"/>
  <c r="L35" i="7"/>
  <c r="R35" i="7"/>
  <c r="X35" i="7"/>
  <c r="AD35" i="7"/>
  <c r="F36" i="7"/>
  <c r="L36" i="7"/>
  <c r="R36" i="7"/>
  <c r="X36" i="7"/>
  <c r="AD36" i="7"/>
  <c r="AF41" i="7"/>
  <c r="AH41" i="7" s="1"/>
  <c r="F45" i="7"/>
  <c r="L45" i="7"/>
  <c r="R45" i="7"/>
  <c r="X45" i="7"/>
  <c r="AD45" i="7"/>
  <c r="F46" i="7"/>
  <c r="L46" i="7"/>
  <c r="R46" i="7"/>
  <c r="X46" i="7"/>
  <c r="AD46" i="7"/>
  <c r="F47" i="7"/>
  <c r="L47" i="7"/>
  <c r="R47" i="7"/>
  <c r="X47" i="7"/>
  <c r="AD47" i="7"/>
  <c r="F48" i="7"/>
  <c r="L48" i="7"/>
  <c r="R48" i="7"/>
  <c r="X48" i="7"/>
  <c r="AD48" i="7"/>
  <c r="F49" i="7"/>
  <c r="L49" i="7"/>
  <c r="R49" i="7"/>
  <c r="X49" i="7"/>
  <c r="AD49" i="7"/>
  <c r="F50" i="7"/>
  <c r="L50" i="7"/>
  <c r="R50" i="7"/>
  <c r="X50" i="7"/>
  <c r="AD50" i="7"/>
  <c r="F51" i="7"/>
  <c r="L51" i="7"/>
  <c r="R51" i="7"/>
  <c r="X51" i="7"/>
  <c r="AD51" i="7"/>
  <c r="F52" i="7"/>
  <c r="L52" i="7"/>
  <c r="R52" i="7"/>
  <c r="X52" i="7"/>
  <c r="AD52" i="7"/>
  <c r="F53" i="7"/>
  <c r="L53" i="7"/>
  <c r="R53" i="7"/>
  <c r="X53" i="7"/>
  <c r="AD53" i="7"/>
  <c r="F54" i="7"/>
  <c r="L54" i="7"/>
  <c r="R54" i="7"/>
  <c r="X54" i="7"/>
  <c r="AD54" i="7"/>
  <c r="F55" i="7"/>
  <c r="L55" i="7"/>
  <c r="R55" i="7"/>
  <c r="X55" i="7"/>
  <c r="AD55" i="7"/>
  <c r="F56" i="7"/>
  <c r="L56" i="7"/>
  <c r="R56" i="7"/>
  <c r="X56" i="7"/>
  <c r="AD56" i="7"/>
  <c r="F57" i="7"/>
  <c r="L57" i="7"/>
  <c r="R57" i="7"/>
  <c r="X57" i="7"/>
  <c r="AD57" i="7"/>
  <c r="F58" i="7"/>
  <c r="L58" i="7"/>
  <c r="R58" i="7"/>
  <c r="X58" i="7"/>
  <c r="AD58" i="7"/>
  <c r="F59" i="7"/>
  <c r="L59" i="7"/>
  <c r="R59" i="7"/>
  <c r="X59" i="7"/>
  <c r="AD59" i="7"/>
  <c r="F60" i="7"/>
  <c r="L60" i="7"/>
  <c r="R60" i="7"/>
  <c r="X60" i="7"/>
  <c r="AD60" i="7"/>
  <c r="AH65" i="7"/>
  <c r="F69" i="7"/>
  <c r="L69" i="7"/>
  <c r="R69" i="7"/>
  <c r="X69" i="7"/>
  <c r="AD69" i="7"/>
  <c r="F70" i="7"/>
  <c r="L70" i="7"/>
  <c r="R70" i="7"/>
  <c r="X70" i="7"/>
  <c r="AD70" i="7"/>
  <c r="F71" i="7"/>
  <c r="L71" i="7"/>
  <c r="R71" i="7"/>
  <c r="X71" i="7"/>
  <c r="AD71" i="7"/>
  <c r="F72" i="7"/>
  <c r="L72" i="7"/>
  <c r="R72" i="7"/>
  <c r="X72" i="7"/>
  <c r="AD72" i="7"/>
  <c r="F73" i="7"/>
  <c r="L73" i="7"/>
  <c r="R73" i="7"/>
  <c r="X73" i="7"/>
  <c r="AD73" i="7"/>
  <c r="F74" i="7"/>
  <c r="L74" i="7"/>
  <c r="R74" i="7"/>
  <c r="X74" i="7"/>
  <c r="AD74" i="7"/>
  <c r="F75" i="7"/>
  <c r="L75" i="7"/>
  <c r="R75" i="7"/>
  <c r="X75" i="7"/>
  <c r="AD75" i="7"/>
  <c r="F76" i="7"/>
  <c r="L76" i="7"/>
  <c r="R76" i="7"/>
  <c r="X76" i="7"/>
  <c r="AD76" i="7"/>
  <c r="F77" i="7"/>
  <c r="L77" i="7"/>
  <c r="R77" i="7"/>
  <c r="X77" i="7"/>
  <c r="AD77" i="7"/>
  <c r="F78" i="7"/>
  <c r="L78" i="7"/>
  <c r="R78" i="7"/>
  <c r="X78" i="7"/>
  <c r="AD78" i="7"/>
  <c r="F79" i="7"/>
  <c r="L79" i="7"/>
  <c r="R79" i="7"/>
  <c r="X79" i="7"/>
  <c r="AD79" i="7"/>
  <c r="F80" i="7"/>
  <c r="L80" i="7"/>
  <c r="R80" i="7"/>
  <c r="X80" i="7"/>
  <c r="AD80" i="7"/>
  <c r="F81" i="7"/>
  <c r="L81" i="7"/>
  <c r="R81" i="7"/>
  <c r="X81" i="7"/>
  <c r="AD81" i="7"/>
  <c r="F82" i="7"/>
  <c r="L82" i="7"/>
  <c r="R82" i="7"/>
  <c r="X82" i="7"/>
  <c r="AD82" i="7"/>
  <c r="F83" i="7"/>
  <c r="L83" i="7"/>
  <c r="R83" i="7"/>
  <c r="X83" i="7"/>
  <c r="AD83" i="7"/>
  <c r="F84" i="7"/>
  <c r="L84" i="7"/>
  <c r="R84" i="7"/>
  <c r="X84" i="7"/>
  <c r="AD84" i="7"/>
  <c r="AS561" i="5"/>
  <c r="F95" i="7"/>
  <c r="L95" i="7"/>
  <c r="R95" i="7"/>
  <c r="X95" i="7"/>
  <c r="AD95" i="7"/>
  <c r="F96" i="7"/>
  <c r="L96" i="7"/>
  <c r="R96" i="7"/>
  <c r="X96" i="7"/>
  <c r="AD96" i="7"/>
  <c r="F97" i="7"/>
  <c r="L97" i="7"/>
  <c r="R97" i="7"/>
  <c r="X97" i="7"/>
  <c r="AD97" i="7"/>
  <c r="F98" i="7"/>
  <c r="L98" i="7"/>
  <c r="R98" i="7"/>
  <c r="X98" i="7"/>
  <c r="AD98" i="7"/>
  <c r="F99" i="7"/>
  <c r="L99" i="7"/>
  <c r="R99" i="7"/>
  <c r="X99" i="7"/>
  <c r="AD99" i="7"/>
  <c r="F100" i="7"/>
  <c r="L100" i="7"/>
  <c r="R100" i="7"/>
  <c r="X100" i="7"/>
  <c r="AD100" i="7"/>
  <c r="F101" i="7"/>
  <c r="L101" i="7"/>
  <c r="R101" i="7"/>
  <c r="X101" i="7"/>
  <c r="AD101" i="7"/>
  <c r="F102" i="7"/>
  <c r="L102" i="7"/>
  <c r="R102" i="7"/>
  <c r="X102" i="7"/>
  <c r="AD102" i="7"/>
  <c r="F103" i="7"/>
  <c r="L103" i="7"/>
  <c r="R103" i="7"/>
  <c r="X103" i="7"/>
  <c r="AD103" i="7"/>
  <c r="F104" i="7"/>
  <c r="L104" i="7"/>
  <c r="R104" i="7"/>
  <c r="X104" i="7"/>
  <c r="AD104" i="7"/>
  <c r="F105" i="7"/>
  <c r="L105" i="7"/>
  <c r="R105" i="7"/>
  <c r="X105" i="7"/>
  <c r="AD105" i="7"/>
  <c r="F106" i="7"/>
  <c r="L106" i="7"/>
  <c r="R106" i="7"/>
  <c r="X106" i="7"/>
  <c r="AD106" i="7"/>
  <c r="F107" i="7"/>
  <c r="L107" i="7"/>
  <c r="R107" i="7"/>
  <c r="X107" i="7"/>
  <c r="AD107" i="7"/>
  <c r="F108" i="7"/>
  <c r="L108" i="7"/>
  <c r="R108" i="7"/>
  <c r="X108" i="7"/>
  <c r="AD108" i="7"/>
  <c r="F109" i="7"/>
  <c r="L109" i="7"/>
  <c r="R109" i="7"/>
  <c r="X109" i="7"/>
  <c r="AD109" i="7"/>
  <c r="F110" i="7"/>
  <c r="L110" i="7"/>
  <c r="R110" i="7"/>
  <c r="X110" i="7"/>
  <c r="AD110" i="7"/>
  <c r="F122" i="7"/>
  <c r="L122" i="7"/>
  <c r="R122" i="7"/>
  <c r="X122" i="7"/>
  <c r="AD122" i="7"/>
  <c r="F123" i="7"/>
  <c r="L123" i="7"/>
  <c r="R123" i="7"/>
  <c r="X123" i="7"/>
  <c r="AD123" i="7"/>
  <c r="F124" i="7"/>
  <c r="L124" i="7"/>
  <c r="R124" i="7"/>
  <c r="X124" i="7"/>
  <c r="AD124" i="7"/>
  <c r="F125" i="7"/>
  <c r="L125" i="7"/>
  <c r="R125" i="7"/>
  <c r="X125" i="7"/>
  <c r="AD125" i="7"/>
  <c r="F126" i="7"/>
  <c r="L126" i="7"/>
  <c r="R126" i="7"/>
  <c r="X126" i="7"/>
  <c r="AD126" i="7"/>
  <c r="F127" i="7"/>
  <c r="L127" i="7"/>
  <c r="R127" i="7"/>
  <c r="X127" i="7"/>
  <c r="AD127" i="7"/>
  <c r="F128" i="7"/>
  <c r="L128" i="7"/>
  <c r="R128" i="7"/>
  <c r="X128" i="7"/>
  <c r="AD128" i="7"/>
  <c r="F129" i="7"/>
  <c r="L129" i="7"/>
  <c r="R129" i="7"/>
  <c r="X129" i="7"/>
  <c r="AD129" i="7"/>
  <c r="F130" i="7"/>
  <c r="L130" i="7"/>
  <c r="R130" i="7"/>
  <c r="X130" i="7"/>
  <c r="AD130" i="7"/>
  <c r="F131" i="7"/>
  <c r="L131" i="7"/>
  <c r="R131" i="7"/>
  <c r="X131" i="7"/>
  <c r="AD131" i="7"/>
  <c r="F132" i="7"/>
  <c r="L132" i="7"/>
  <c r="R132" i="7"/>
  <c r="X132" i="7"/>
  <c r="AD132" i="7"/>
  <c r="F133" i="7"/>
  <c r="L133" i="7"/>
  <c r="R133" i="7"/>
  <c r="X133" i="7"/>
  <c r="AD133" i="7"/>
  <c r="F134" i="7"/>
  <c r="L134" i="7"/>
  <c r="R134" i="7"/>
  <c r="X134" i="7"/>
  <c r="AD134" i="7"/>
  <c r="F135" i="7"/>
  <c r="L135" i="7"/>
  <c r="R135" i="7"/>
  <c r="X135" i="7"/>
  <c r="AD135" i="7"/>
  <c r="F136" i="7"/>
  <c r="L136" i="7"/>
  <c r="R136" i="7"/>
  <c r="X136" i="7"/>
  <c r="AD136" i="7"/>
  <c r="F137" i="7"/>
  <c r="L137" i="7"/>
  <c r="R137" i="7"/>
  <c r="X137" i="7"/>
  <c r="AD137" i="7"/>
  <c r="AF141" i="7"/>
  <c r="F156" i="7"/>
  <c r="L156" i="7"/>
  <c r="R156" i="7"/>
  <c r="X156" i="7"/>
  <c r="AD156" i="7"/>
  <c r="F157" i="7"/>
  <c r="L157" i="7"/>
  <c r="R157" i="7"/>
  <c r="X157" i="7"/>
  <c r="AD157" i="7"/>
  <c r="F158" i="7"/>
  <c r="L158" i="7"/>
  <c r="R158" i="7"/>
  <c r="X158" i="7"/>
  <c r="AD158" i="7"/>
  <c r="F159" i="7"/>
  <c r="L159" i="7"/>
  <c r="R159" i="7"/>
  <c r="X159" i="7"/>
  <c r="AD159" i="7"/>
  <c r="F160" i="7"/>
  <c r="L160" i="7"/>
  <c r="R160" i="7"/>
  <c r="X160" i="7"/>
  <c r="AD160" i="7"/>
  <c r="F161" i="7"/>
  <c r="L161" i="7"/>
  <c r="R161" i="7"/>
  <c r="X161" i="7"/>
  <c r="AD161" i="7"/>
  <c r="F162" i="7"/>
  <c r="L162" i="7"/>
  <c r="R162" i="7"/>
  <c r="X162" i="7"/>
  <c r="AD162" i="7"/>
  <c r="F163" i="7"/>
  <c r="L163" i="7"/>
  <c r="R163" i="7"/>
  <c r="X163" i="7"/>
  <c r="AD163" i="7"/>
  <c r="F164" i="7"/>
  <c r="L164" i="7"/>
  <c r="R164" i="7"/>
  <c r="X164" i="7"/>
  <c r="AD164" i="7"/>
  <c r="F165" i="7"/>
  <c r="L165" i="7"/>
  <c r="R165" i="7"/>
  <c r="X165" i="7"/>
  <c r="AD165" i="7"/>
  <c r="F166" i="7"/>
  <c r="L166" i="7"/>
  <c r="R166" i="7"/>
  <c r="X166" i="7"/>
  <c r="AD166" i="7"/>
  <c r="F167" i="7"/>
  <c r="L167" i="7"/>
  <c r="R167" i="7"/>
  <c r="X167" i="7"/>
  <c r="AD167" i="7"/>
  <c r="F168" i="7"/>
  <c r="L168" i="7"/>
  <c r="R168" i="7"/>
  <c r="X168" i="7"/>
  <c r="AD168" i="7"/>
  <c r="F169" i="7"/>
  <c r="L169" i="7"/>
  <c r="R169" i="7"/>
  <c r="X169" i="7"/>
  <c r="AD169" i="7"/>
  <c r="F170" i="7"/>
  <c r="L170" i="7"/>
  <c r="R170" i="7"/>
  <c r="X170" i="7"/>
  <c r="AD170" i="7"/>
  <c r="F171" i="7"/>
  <c r="L171" i="7"/>
  <c r="R171" i="7"/>
  <c r="X171" i="7"/>
  <c r="AD171" i="7"/>
  <c r="F190" i="7"/>
  <c r="L190" i="7"/>
  <c r="R190" i="7"/>
  <c r="X190" i="7"/>
  <c r="AD190" i="7"/>
  <c r="F191" i="7"/>
  <c r="L191" i="7"/>
  <c r="R191" i="7"/>
  <c r="X191" i="7"/>
  <c r="AD191" i="7"/>
  <c r="F192" i="7"/>
  <c r="L192" i="7"/>
  <c r="R192" i="7"/>
  <c r="X192" i="7"/>
  <c r="AD192" i="7"/>
  <c r="F193" i="7"/>
  <c r="L193" i="7"/>
  <c r="R193" i="7"/>
  <c r="X193" i="7"/>
  <c r="AD193" i="7"/>
  <c r="F194" i="7"/>
  <c r="L194" i="7"/>
  <c r="R194" i="7"/>
  <c r="X194" i="7"/>
  <c r="AD194" i="7"/>
  <c r="F195" i="7"/>
  <c r="L195" i="7"/>
  <c r="R195" i="7"/>
  <c r="X195" i="7"/>
  <c r="AD195" i="7"/>
  <c r="F196" i="7"/>
  <c r="L196" i="7"/>
  <c r="R196" i="7"/>
  <c r="X196" i="7"/>
  <c r="AD196" i="7"/>
  <c r="F197" i="7"/>
  <c r="L197" i="7"/>
  <c r="R197" i="7"/>
  <c r="X197" i="7"/>
  <c r="AD197" i="7"/>
  <c r="F198" i="7"/>
  <c r="L198" i="7"/>
  <c r="R198" i="7"/>
  <c r="X198" i="7"/>
  <c r="AD198" i="7"/>
  <c r="F199" i="7"/>
  <c r="L199" i="7"/>
  <c r="R199" i="7"/>
  <c r="X199" i="7"/>
  <c r="AD199" i="7"/>
  <c r="F200" i="7"/>
  <c r="L200" i="7"/>
  <c r="R200" i="7"/>
  <c r="X200" i="7"/>
  <c r="AD200" i="7"/>
  <c r="F201" i="7"/>
  <c r="L201" i="7"/>
  <c r="R201" i="7"/>
  <c r="X201" i="7"/>
  <c r="AD201" i="7"/>
  <c r="F202" i="7"/>
  <c r="L202" i="7"/>
  <c r="R202" i="7"/>
  <c r="X202" i="7"/>
  <c r="AD202" i="7"/>
  <c r="F203" i="7"/>
  <c r="L203" i="7"/>
  <c r="R203" i="7"/>
  <c r="X203" i="7"/>
  <c r="AD203" i="7"/>
  <c r="F204" i="7"/>
  <c r="L204" i="7"/>
  <c r="R204" i="7"/>
  <c r="X204" i="7"/>
  <c r="AD204" i="7"/>
  <c r="F205" i="7"/>
  <c r="L205" i="7"/>
  <c r="R205" i="7"/>
  <c r="X205" i="7"/>
  <c r="AD205" i="7"/>
  <c r="F226" i="7"/>
  <c r="L226" i="7"/>
  <c r="R226" i="7"/>
  <c r="X226" i="7"/>
  <c r="AD226" i="7"/>
  <c r="F227" i="7"/>
  <c r="L227" i="7"/>
  <c r="R227" i="7"/>
  <c r="X227" i="7"/>
  <c r="AD227" i="7"/>
  <c r="F228" i="7"/>
  <c r="L228" i="7"/>
  <c r="R228" i="7"/>
  <c r="X228" i="7"/>
  <c r="AD228" i="7"/>
  <c r="F229" i="7"/>
  <c r="L229" i="7"/>
  <c r="R229" i="7"/>
  <c r="X229" i="7"/>
  <c r="AD229" i="7"/>
  <c r="F230" i="7"/>
  <c r="L230" i="7"/>
  <c r="R230" i="7"/>
  <c r="X230" i="7"/>
  <c r="AD230" i="7"/>
  <c r="F231" i="7"/>
  <c r="L231" i="7"/>
  <c r="R231" i="7"/>
  <c r="X231" i="7"/>
  <c r="AD231" i="7"/>
  <c r="F232" i="7"/>
  <c r="L232" i="7"/>
  <c r="R232" i="7"/>
  <c r="X232" i="7"/>
  <c r="AD232" i="7"/>
  <c r="F233" i="7"/>
  <c r="L233" i="7"/>
  <c r="R233" i="7"/>
  <c r="X233" i="7"/>
  <c r="AD233" i="7"/>
  <c r="F234" i="7"/>
  <c r="L234" i="7"/>
  <c r="R234" i="7"/>
  <c r="X234" i="7"/>
  <c r="AD234" i="7"/>
  <c r="F235" i="7"/>
  <c r="L235" i="7"/>
  <c r="R235" i="7"/>
  <c r="X235" i="7"/>
  <c r="AD235" i="7"/>
  <c r="F236" i="7"/>
  <c r="L236" i="7"/>
  <c r="R236" i="7"/>
  <c r="X236" i="7"/>
  <c r="AD236" i="7"/>
  <c r="F237" i="7"/>
  <c r="L237" i="7"/>
  <c r="R237" i="7"/>
  <c r="X237" i="7"/>
  <c r="AD237" i="7"/>
  <c r="F238" i="7"/>
  <c r="L238" i="7"/>
  <c r="R238" i="7"/>
  <c r="X238" i="7"/>
  <c r="AD238" i="7"/>
  <c r="F239" i="7"/>
  <c r="L239" i="7"/>
  <c r="R239" i="7"/>
  <c r="X239" i="7"/>
  <c r="AD239" i="7"/>
  <c r="F240" i="7"/>
  <c r="L240" i="7"/>
  <c r="R240" i="7"/>
  <c r="X240" i="7"/>
  <c r="AD240" i="7"/>
  <c r="F241" i="7"/>
  <c r="L241" i="7"/>
  <c r="R241" i="7"/>
  <c r="X241" i="7"/>
  <c r="AD241" i="7"/>
  <c r="C8" i="8"/>
  <c r="F8" i="8"/>
  <c r="J8" i="8"/>
  <c r="M8" i="8"/>
  <c r="Q8" i="8"/>
  <c r="T8" i="8"/>
  <c r="X8" i="8"/>
  <c r="AA8" i="8"/>
  <c r="C9" i="8"/>
  <c r="F9" i="8"/>
  <c r="J9" i="8"/>
  <c r="M9" i="8"/>
  <c r="Q9" i="8"/>
  <c r="T9" i="8"/>
  <c r="X9" i="8"/>
  <c r="AA9" i="8"/>
  <c r="C10" i="8"/>
  <c r="F10" i="8"/>
  <c r="J10" i="8"/>
  <c r="M10" i="8"/>
  <c r="Q10" i="8"/>
  <c r="T10" i="8"/>
  <c r="X10" i="8"/>
  <c r="AA10" i="8"/>
  <c r="C11" i="8"/>
  <c r="F11" i="8"/>
  <c r="J11" i="8"/>
  <c r="M11" i="8"/>
  <c r="Q11" i="8"/>
  <c r="T11" i="8"/>
  <c r="X11" i="8"/>
  <c r="AA11" i="8"/>
  <c r="C12" i="8"/>
  <c r="F12" i="8"/>
  <c r="J12" i="8"/>
  <c r="M12" i="8"/>
  <c r="Q12" i="8"/>
  <c r="T12" i="8"/>
  <c r="X12" i="8"/>
  <c r="AA12" i="8"/>
  <c r="C13" i="8"/>
  <c r="F13" i="8"/>
  <c r="J13" i="8"/>
  <c r="M13" i="8"/>
  <c r="Q13" i="8"/>
  <c r="T13" i="8"/>
  <c r="X13" i="8"/>
  <c r="AA13" i="8"/>
  <c r="C14" i="8"/>
  <c r="F14" i="8"/>
  <c r="J14" i="8"/>
  <c r="M14" i="8"/>
  <c r="Q14" i="8"/>
  <c r="T14" i="8"/>
  <c r="X14" i="8"/>
  <c r="AA14" i="8"/>
  <c r="C15" i="8"/>
  <c r="F15" i="8"/>
  <c r="J15" i="8"/>
  <c r="M15" i="8"/>
  <c r="Q15" i="8"/>
  <c r="T15" i="8"/>
  <c r="X15" i="8"/>
  <c r="AA15" i="8"/>
  <c r="C16" i="8"/>
  <c r="F16" i="8"/>
  <c r="J16" i="8"/>
  <c r="M16" i="8"/>
  <c r="Q16" i="8"/>
  <c r="T16" i="8"/>
  <c r="X16" i="8"/>
  <c r="AA16" i="8"/>
  <c r="C17" i="8"/>
  <c r="F17" i="8"/>
  <c r="J17" i="8"/>
  <c r="M17" i="8"/>
  <c r="Q17" i="8"/>
  <c r="T17" i="8"/>
  <c r="X17" i="8"/>
  <c r="AA17" i="8"/>
  <c r="C18" i="8"/>
  <c r="F18" i="8"/>
  <c r="J18" i="8"/>
  <c r="M18" i="8"/>
  <c r="Q18" i="8"/>
  <c r="T18" i="8"/>
  <c r="X18" i="8"/>
  <c r="AA18" i="8"/>
  <c r="C19" i="8"/>
  <c r="F19" i="8"/>
  <c r="J19" i="8"/>
  <c r="M19" i="8"/>
  <c r="Q19" i="8"/>
  <c r="T19" i="8"/>
  <c r="X19" i="8"/>
  <c r="AA19" i="8"/>
  <c r="C20" i="8"/>
  <c r="F20" i="8"/>
  <c r="J20" i="8"/>
  <c r="M20" i="8"/>
  <c r="Q20" i="8"/>
  <c r="T20" i="8"/>
  <c r="X20" i="8"/>
  <c r="AA20" i="8"/>
  <c r="C21" i="8"/>
  <c r="F21" i="8"/>
  <c r="J21" i="8"/>
  <c r="M21" i="8"/>
  <c r="Q21" i="8"/>
  <c r="T21" i="8"/>
  <c r="X21" i="8"/>
  <c r="AA21" i="8"/>
  <c r="C22" i="8"/>
  <c r="F22" i="8"/>
  <c r="J22" i="8"/>
  <c r="M22" i="8"/>
  <c r="Q22" i="8"/>
  <c r="T22" i="8"/>
  <c r="X22" i="8"/>
  <c r="AA22" i="8"/>
  <c r="C23" i="8"/>
  <c r="F23" i="8"/>
  <c r="J23" i="8"/>
  <c r="M23" i="8"/>
  <c r="Q23" i="8"/>
  <c r="T23" i="8"/>
  <c r="X23" i="8"/>
  <c r="AA23" i="8"/>
  <c r="C24" i="8"/>
  <c r="F24" i="8"/>
  <c r="J24" i="8"/>
  <c r="M24" i="8"/>
  <c r="Q24" i="8"/>
  <c r="T24" i="8"/>
  <c r="X24" i="8"/>
  <c r="AA24" i="8"/>
  <c r="C25" i="8"/>
  <c r="F25" i="8"/>
  <c r="J25" i="8"/>
  <c r="M25" i="8"/>
  <c r="Q25" i="8"/>
  <c r="T25" i="8"/>
  <c r="X25" i="8"/>
  <c r="AA25" i="8"/>
  <c r="C46" i="8"/>
  <c r="F46" i="8"/>
  <c r="J46" i="8"/>
  <c r="M46" i="8"/>
  <c r="Q46" i="8"/>
  <c r="T46" i="8"/>
  <c r="X46" i="8"/>
  <c r="AA46" i="8"/>
  <c r="C47" i="8"/>
  <c r="F47" i="8"/>
  <c r="J47" i="8"/>
  <c r="M47" i="8"/>
  <c r="Q47" i="8"/>
  <c r="T47" i="8"/>
  <c r="X47" i="8"/>
  <c r="AA47" i="8"/>
  <c r="C48" i="8"/>
  <c r="F48" i="8"/>
  <c r="J48" i="8"/>
  <c r="M48" i="8"/>
  <c r="Q48" i="8"/>
  <c r="T48" i="8"/>
  <c r="X48" i="8"/>
  <c r="AA48" i="8"/>
  <c r="C49" i="8"/>
  <c r="F49" i="8"/>
  <c r="J49" i="8"/>
  <c r="M49" i="8"/>
  <c r="Q49" i="8"/>
  <c r="T49" i="8"/>
  <c r="X49" i="8"/>
  <c r="AA49" i="8"/>
  <c r="C50" i="8"/>
  <c r="F50" i="8"/>
  <c r="J50" i="8"/>
  <c r="M50" i="8"/>
  <c r="Q50" i="8"/>
  <c r="T50" i="8"/>
  <c r="X50" i="8"/>
  <c r="AA50" i="8"/>
  <c r="C51" i="8"/>
  <c r="F51" i="8"/>
  <c r="J51" i="8"/>
  <c r="M51" i="8"/>
  <c r="Q51" i="8"/>
  <c r="T51" i="8"/>
  <c r="X51" i="8"/>
  <c r="AA51" i="8"/>
  <c r="C52" i="8"/>
  <c r="F52" i="8"/>
  <c r="J52" i="8"/>
  <c r="M52" i="8"/>
  <c r="Q52" i="8"/>
  <c r="T52" i="8"/>
  <c r="X52" i="8"/>
  <c r="AA52" i="8"/>
  <c r="C53" i="8"/>
  <c r="F53" i="8"/>
  <c r="J53" i="8"/>
  <c r="M53" i="8"/>
  <c r="Q53" i="8"/>
  <c r="T53" i="8"/>
  <c r="X53" i="8"/>
  <c r="AA53" i="8"/>
  <c r="C54" i="8"/>
  <c r="F54" i="8"/>
  <c r="J54" i="8"/>
  <c r="M54" i="8"/>
  <c r="Q54" i="8"/>
  <c r="T54" i="8"/>
  <c r="X54" i="8"/>
  <c r="AA54" i="8"/>
  <c r="C55" i="8"/>
  <c r="F55" i="8"/>
  <c r="J55" i="8"/>
  <c r="M55" i="8"/>
  <c r="Q55" i="8"/>
  <c r="T55" i="8"/>
  <c r="X55" i="8"/>
  <c r="AA55" i="8"/>
  <c r="C56" i="8"/>
  <c r="F56" i="8"/>
  <c r="J56" i="8"/>
  <c r="M56" i="8"/>
  <c r="Q56" i="8"/>
  <c r="T56" i="8"/>
  <c r="X56" i="8"/>
  <c r="AA56" i="8"/>
  <c r="C57" i="8"/>
  <c r="F57" i="8"/>
  <c r="J57" i="8"/>
  <c r="M57" i="8"/>
  <c r="Q57" i="8"/>
  <c r="T57" i="8"/>
  <c r="X57" i="8"/>
  <c r="AA57" i="8"/>
  <c r="C58" i="8"/>
  <c r="F58" i="8"/>
  <c r="J58" i="8"/>
  <c r="M58" i="8"/>
  <c r="Q58" i="8"/>
  <c r="T58" i="8"/>
  <c r="X58" i="8"/>
  <c r="AA58" i="8"/>
  <c r="C59" i="8"/>
  <c r="F59" i="8"/>
  <c r="J59" i="8"/>
  <c r="M59" i="8"/>
  <c r="Q59" i="8"/>
  <c r="T59" i="8"/>
  <c r="X59" i="8"/>
  <c r="AA59" i="8"/>
  <c r="C60" i="8"/>
  <c r="F60" i="8"/>
  <c r="J60" i="8"/>
  <c r="M60" i="8"/>
  <c r="Q60" i="8"/>
  <c r="T60" i="8"/>
  <c r="X60" i="8"/>
  <c r="AA60" i="8"/>
  <c r="C61" i="8"/>
  <c r="F61" i="8"/>
  <c r="J61" i="8"/>
  <c r="M61" i="8"/>
  <c r="Q61" i="8"/>
  <c r="T61" i="8"/>
  <c r="X61" i="8"/>
  <c r="AA61" i="8"/>
  <c r="C62" i="8"/>
  <c r="F62" i="8"/>
  <c r="J62" i="8"/>
  <c r="M62" i="8"/>
  <c r="Q62" i="8"/>
  <c r="T62" i="8"/>
  <c r="X62" i="8"/>
  <c r="AA62" i="8"/>
  <c r="C63" i="8"/>
  <c r="F63" i="8"/>
  <c r="J63" i="8"/>
  <c r="M63" i="8"/>
  <c r="Q63" i="8"/>
  <c r="T63" i="8"/>
  <c r="X63" i="8"/>
  <c r="AA63" i="8"/>
  <c r="G6" i="9"/>
  <c r="I6" i="9" s="1"/>
  <c r="O6" i="9"/>
  <c r="G7" i="9"/>
  <c r="X7" i="9" s="1"/>
  <c r="O7" i="9"/>
  <c r="G8" i="9"/>
  <c r="X8" i="9" s="1"/>
  <c r="O8" i="9"/>
  <c r="G9" i="9"/>
  <c r="I9" i="9" s="1"/>
  <c r="O9" i="9"/>
  <c r="G10" i="9"/>
  <c r="X10" i="9" s="1"/>
  <c r="O10" i="9"/>
  <c r="G11" i="9"/>
  <c r="I11" i="9" s="1"/>
  <c r="O11" i="9"/>
  <c r="G12" i="9"/>
  <c r="O12" i="9"/>
  <c r="G13" i="9"/>
  <c r="O13" i="9"/>
  <c r="G14" i="9"/>
  <c r="I14" i="9" s="1"/>
  <c r="O14" i="9"/>
  <c r="G15" i="9"/>
  <c r="I15" i="9" s="1"/>
  <c r="O15" i="9"/>
  <c r="G16" i="9"/>
  <c r="X16" i="9" s="1"/>
  <c r="O16" i="9"/>
  <c r="G17" i="9"/>
  <c r="I17" i="9" s="1"/>
  <c r="O17" i="9"/>
  <c r="G18" i="9"/>
  <c r="I18" i="9" s="1"/>
  <c r="O18" i="9"/>
  <c r="G19" i="9"/>
  <c r="X19" i="9" s="1"/>
  <c r="O19" i="9"/>
  <c r="O20" i="9"/>
  <c r="G21" i="9"/>
  <c r="O21" i="9"/>
  <c r="G22" i="9"/>
  <c r="O22" i="9"/>
  <c r="G23" i="9"/>
  <c r="X23" i="9" s="1"/>
  <c r="O23" i="9"/>
  <c r="G24" i="9"/>
  <c r="I24" i="9" s="1"/>
  <c r="O24" i="9"/>
  <c r="G25" i="9"/>
  <c r="X25" i="9" s="1"/>
  <c r="O25" i="9"/>
  <c r="G26" i="9"/>
  <c r="I26" i="9" s="1"/>
  <c r="O26" i="9"/>
  <c r="G27" i="9"/>
  <c r="I27" i="9" s="1"/>
  <c r="O27" i="9"/>
  <c r="G28" i="9"/>
  <c r="I28" i="9" s="1"/>
  <c r="O28" i="9"/>
  <c r="G29" i="9"/>
  <c r="O29" i="9"/>
  <c r="G30" i="9"/>
  <c r="O30" i="9"/>
  <c r="G31" i="9"/>
  <c r="I31" i="9" s="1"/>
  <c r="O31" i="9"/>
  <c r="G32" i="9"/>
  <c r="X32" i="9" s="1"/>
  <c r="O32" i="9"/>
  <c r="G33" i="9"/>
  <c r="X33" i="9" s="1"/>
  <c r="O33" i="9"/>
  <c r="G34" i="9"/>
  <c r="I34" i="9" s="1"/>
  <c r="O34" i="9"/>
  <c r="C35" i="9"/>
  <c r="O35" i="9"/>
  <c r="G36" i="9"/>
  <c r="O36" i="9"/>
  <c r="G37" i="9"/>
  <c r="X37" i="9" s="1"/>
  <c r="O37" i="9"/>
  <c r="G38" i="9"/>
  <c r="X38" i="9" s="1"/>
  <c r="O38" i="9"/>
  <c r="G39" i="9"/>
  <c r="X39" i="9" s="1"/>
  <c r="O39" i="9"/>
  <c r="G40" i="9"/>
  <c r="I40" i="9" s="1"/>
  <c r="O40" i="9"/>
  <c r="G41" i="9"/>
  <c r="X41" i="9" s="1"/>
  <c r="O41" i="9"/>
  <c r="G42" i="9"/>
  <c r="I42" i="9" s="1"/>
  <c r="O42" i="9"/>
  <c r="G43" i="9"/>
  <c r="O43" i="9"/>
  <c r="G44" i="9"/>
  <c r="O44" i="9"/>
  <c r="G45" i="9"/>
  <c r="I45" i="9" s="1"/>
  <c r="O45" i="9"/>
  <c r="G46" i="9"/>
  <c r="X46" i="9" s="1"/>
  <c r="O46" i="9"/>
  <c r="G47" i="9"/>
  <c r="X47" i="9" s="1"/>
  <c r="O47" i="9"/>
  <c r="G48" i="9"/>
  <c r="I48" i="9" s="1"/>
  <c r="O48" i="9"/>
  <c r="G49" i="9"/>
  <c r="X49" i="9" s="1"/>
  <c r="O49" i="9"/>
  <c r="C50" i="9"/>
  <c r="O50" i="9"/>
  <c r="G51" i="9"/>
  <c r="I51" i="9" s="1"/>
  <c r="O51" i="9"/>
  <c r="G52" i="9"/>
  <c r="I52" i="9" s="1"/>
  <c r="O52" i="9"/>
  <c r="C53" i="9"/>
  <c r="O53" i="9"/>
  <c r="G54" i="9"/>
  <c r="I54" i="9" s="1"/>
  <c r="O54" i="9"/>
  <c r="G55" i="9"/>
  <c r="I55" i="9" s="1"/>
  <c r="O55" i="9"/>
  <c r="C56" i="9"/>
  <c r="O56" i="9"/>
  <c r="G57" i="9"/>
  <c r="X57" i="9" s="1"/>
  <c r="O57" i="9"/>
  <c r="G58" i="9"/>
  <c r="I58" i="9" s="1"/>
  <c r="O58" i="9"/>
  <c r="C59" i="9"/>
  <c r="O59" i="9"/>
  <c r="G60" i="9"/>
  <c r="I60" i="9" s="1"/>
  <c r="O60" i="9"/>
  <c r="G61" i="9"/>
  <c r="I61" i="9" s="1"/>
  <c r="O61" i="9"/>
  <c r="C62" i="9"/>
  <c r="O62" i="9"/>
  <c r="G63" i="9"/>
  <c r="X63" i="9" s="1"/>
  <c r="O63" i="9"/>
  <c r="G64" i="9"/>
  <c r="I64" i="9" s="1"/>
  <c r="O64" i="9"/>
  <c r="C65" i="9"/>
  <c r="O65" i="9"/>
  <c r="G66" i="9"/>
  <c r="X66" i="9" s="1"/>
  <c r="O66" i="9"/>
  <c r="G67" i="9"/>
  <c r="O67" i="9"/>
  <c r="C68" i="9"/>
  <c r="O68" i="9"/>
  <c r="G69" i="9"/>
  <c r="O69" i="9"/>
  <c r="G70" i="9"/>
  <c r="O70" i="9"/>
  <c r="C71" i="9"/>
  <c r="O71" i="9"/>
  <c r="G72" i="9"/>
  <c r="O72" i="9"/>
  <c r="G73" i="9"/>
  <c r="I73" i="9" s="1"/>
  <c r="O73" i="9"/>
  <c r="C74" i="9"/>
  <c r="O74" i="9"/>
  <c r="G75" i="9"/>
  <c r="X75" i="9" s="1"/>
  <c r="O75" i="9"/>
  <c r="G76" i="9"/>
  <c r="I76" i="9" s="1"/>
  <c r="O76" i="9"/>
  <c r="C77" i="9"/>
  <c r="O77" i="9"/>
  <c r="G78" i="9"/>
  <c r="I78" i="9" s="1"/>
  <c r="O78" i="9"/>
  <c r="G79" i="9"/>
  <c r="X79" i="9" s="1"/>
  <c r="O79" i="9"/>
  <c r="C80" i="9"/>
  <c r="O80" i="9"/>
  <c r="G81" i="9"/>
  <c r="X81" i="9" s="1"/>
  <c r="O81" i="9"/>
  <c r="G82" i="9"/>
  <c r="I82" i="9" s="1"/>
  <c r="O82" i="9"/>
  <c r="C83" i="9"/>
  <c r="O83" i="9"/>
  <c r="G84" i="9"/>
  <c r="I84" i="9" s="1"/>
  <c r="O84" i="9"/>
  <c r="G85" i="9"/>
  <c r="X85" i="9" s="1"/>
  <c r="O85" i="9"/>
  <c r="C86" i="9"/>
  <c r="O86" i="9"/>
  <c r="G87" i="9"/>
  <c r="I87" i="9" s="1"/>
  <c r="O87" i="9"/>
  <c r="G88" i="9"/>
  <c r="I88" i="9" s="1"/>
  <c r="O88" i="9"/>
  <c r="C89" i="9"/>
  <c r="O89" i="9"/>
  <c r="O8" i="10"/>
  <c r="O9" i="10"/>
  <c r="O10" i="10"/>
  <c r="O99" i="10"/>
  <c r="C100" i="10"/>
  <c r="C101" i="10"/>
  <c r="O102" i="10"/>
  <c r="O110" i="10"/>
  <c r="O116" i="10"/>
  <c r="O117" i="10"/>
  <c r="O133" i="10"/>
  <c r="O134" i="10"/>
  <c r="O168" i="10"/>
  <c r="O169" i="10"/>
  <c r="O170" i="10"/>
  <c r="O171" i="10"/>
  <c r="O175" i="10"/>
  <c r="O178" i="10"/>
  <c r="O180" i="10"/>
  <c r="O183" i="10"/>
  <c r="O185" i="10"/>
  <c r="O186" i="10"/>
  <c r="I7" i="11"/>
  <c r="I55" i="10"/>
  <c r="I8" i="11"/>
  <c r="I9" i="11"/>
  <c r="I10" i="11"/>
  <c r="K10" i="11" s="1"/>
  <c r="I107" i="10" s="1"/>
  <c r="I11" i="11"/>
  <c r="K11" i="11" s="1"/>
  <c r="I108" i="10" s="1"/>
  <c r="I12" i="11"/>
  <c r="K12" i="11" s="1"/>
  <c r="I13" i="11"/>
  <c r="I14" i="11"/>
  <c r="K14" i="11" s="1"/>
  <c r="I15" i="11"/>
  <c r="I16" i="11"/>
  <c r="I17" i="11"/>
  <c r="I18" i="11"/>
  <c r="I19" i="11"/>
  <c r="I20" i="11"/>
  <c r="I21" i="11"/>
  <c r="I22" i="11"/>
  <c r="I24" i="11"/>
  <c r="N24" i="11" s="1"/>
  <c r="I25" i="11"/>
  <c r="N25" i="11" s="1"/>
  <c r="I26" i="11"/>
  <c r="N26" i="11" s="1"/>
  <c r="I32" i="11"/>
  <c r="I33" i="11"/>
  <c r="I34" i="11"/>
  <c r="I35" i="11"/>
  <c r="I36" i="11"/>
  <c r="I37" i="11"/>
  <c r="I38" i="11"/>
  <c r="I39" i="11"/>
  <c r="I40" i="11"/>
  <c r="I41" i="11"/>
  <c r="I42" i="11"/>
  <c r="I43" i="11"/>
  <c r="I44" i="11"/>
  <c r="I45" i="11"/>
  <c r="I46" i="11"/>
  <c r="I47" i="11"/>
  <c r="K47" i="11" s="1"/>
  <c r="I38" i="10" s="1"/>
  <c r="I49" i="11"/>
  <c r="N49" i="11" s="1"/>
  <c r="I50" i="11"/>
  <c r="N50" i="11" s="1"/>
  <c r="I51" i="11"/>
  <c r="N51" i="11" s="1"/>
  <c r="N53" i="11"/>
  <c r="I61" i="11"/>
  <c r="I62" i="11"/>
  <c r="I63" i="11"/>
  <c r="I64" i="11"/>
  <c r="I65" i="11"/>
  <c r="G10" i="12"/>
  <c r="U12" i="12"/>
  <c r="U13" i="12" s="1"/>
  <c r="H24" i="12"/>
  <c r="L19" i="12" s="1"/>
  <c r="U26" i="12"/>
  <c r="U27" i="12" s="1"/>
  <c r="U43" i="12"/>
  <c r="U44" i="12"/>
  <c r="U45" i="12"/>
  <c r="U54" i="12"/>
  <c r="U55" i="12"/>
  <c r="U56" i="12"/>
  <c r="U57" i="12"/>
  <c r="U59" i="12"/>
  <c r="U60" i="12"/>
  <c r="U61" i="12"/>
  <c r="U62" i="12"/>
  <c r="U66" i="12"/>
  <c r="U79" i="12"/>
  <c r="U80" i="12" s="1"/>
  <c r="U92" i="12"/>
  <c r="J99" i="12"/>
  <c r="L93" i="12" s="1"/>
  <c r="U93" i="12"/>
  <c r="U94" i="12"/>
  <c r="U95" i="12"/>
  <c r="U96" i="12"/>
  <c r="U124" i="12"/>
  <c r="U128" i="12" s="1"/>
  <c r="U158" i="12"/>
  <c r="U159" i="12" s="1"/>
  <c r="U163" i="12"/>
  <c r="U166" i="12" s="1"/>
  <c r="U168" i="12"/>
  <c r="U170" i="12" s="1"/>
  <c r="J178" i="12"/>
  <c r="U180" i="12"/>
  <c r="U181" i="12" s="1"/>
  <c r="J188" i="12"/>
  <c r="U190" i="12"/>
  <c r="U191" i="12" s="1"/>
  <c r="U192" i="12" s="1"/>
  <c r="U193" i="12"/>
  <c r="U201" i="12" s="1"/>
  <c r="J201" i="12"/>
  <c r="U199" i="12" s="1"/>
  <c r="U247" i="12"/>
  <c r="U239" i="12"/>
  <c r="U242" i="12" s="1"/>
  <c r="U234" i="12"/>
  <c r="U235" i="12" s="1"/>
  <c r="U271" i="12"/>
  <c r="U272" i="12" s="1"/>
  <c r="I289" i="12"/>
  <c r="I291" i="12" s="1"/>
  <c r="U317" i="12"/>
  <c r="U318" i="12" s="1"/>
  <c r="I333" i="12"/>
  <c r="I335" i="12" s="1"/>
  <c r="U339" i="12"/>
  <c r="U340" i="12" s="1"/>
  <c r="U344" i="12"/>
  <c r="U350" i="12" s="1"/>
  <c r="U356" i="12"/>
  <c r="U357" i="12"/>
  <c r="U358" i="12"/>
  <c r="U359" i="12" s="1"/>
  <c r="U371" i="12"/>
  <c r="U372" i="12" s="1"/>
  <c r="U373" i="12"/>
  <c r="U374" i="12" s="1"/>
  <c r="U375" i="12"/>
  <c r="U376" i="12" s="1"/>
  <c r="U377" i="12"/>
  <c r="U378" i="12" s="1"/>
  <c r="U381" i="12"/>
  <c r="U382" i="12"/>
  <c r="U384" i="12"/>
  <c r="U385" i="12"/>
  <c r="U386" i="12"/>
  <c r="U387" i="12" s="1"/>
  <c r="U392" i="12"/>
  <c r="U393" i="12"/>
  <c r="U394" i="12"/>
  <c r="U395" i="12"/>
  <c r="U396" i="12"/>
  <c r="U397" i="12"/>
  <c r="U398" i="12"/>
  <c r="U399" i="12"/>
  <c r="U400" i="12"/>
  <c r="U401" i="12" s="1"/>
  <c r="U405" i="12"/>
  <c r="U406" i="12" s="1"/>
  <c r="U408" i="12"/>
  <c r="U410" i="12" s="1"/>
  <c r="U417" i="12"/>
  <c r="U418" i="12"/>
  <c r="U420" i="12"/>
  <c r="U421" i="12"/>
  <c r="U428" i="12"/>
  <c r="U431" i="12" s="1"/>
  <c r="U437" i="12"/>
  <c r="U444" i="12" s="1"/>
  <c r="U449" i="12"/>
  <c r="U450" i="12"/>
  <c r="U451" i="12"/>
  <c r="U452" i="12"/>
  <c r="U453" i="12"/>
  <c r="U454" i="12"/>
  <c r="U455" i="12"/>
  <c r="U456" i="12"/>
  <c r="U457" i="12"/>
  <c r="U458" i="12"/>
  <c r="U461" i="12"/>
  <c r="U462" i="12"/>
  <c r="U463" i="12"/>
  <c r="U464" i="12"/>
  <c r="U465" i="12"/>
  <c r="U466" i="12"/>
  <c r="U467" i="12"/>
  <c r="U468" i="12"/>
  <c r="U469" i="12"/>
  <c r="U470" i="12"/>
  <c r="U472" i="12"/>
  <c r="U477" i="12" s="1"/>
  <c r="U483" i="12"/>
  <c r="U484" i="12" s="1"/>
  <c r="U492" i="12"/>
  <c r="U493" i="12" s="1"/>
  <c r="U503" i="12"/>
  <c r="U504" i="12" s="1"/>
  <c r="U511" i="12"/>
  <c r="U512" i="12"/>
  <c r="U513" i="12"/>
  <c r="U514" i="12"/>
  <c r="U515" i="12"/>
  <c r="U516" i="12"/>
  <c r="U518" i="12"/>
  <c r="U519" i="12"/>
  <c r="U520" i="12"/>
  <c r="U521" i="12"/>
  <c r="U522" i="12"/>
  <c r="U523" i="12"/>
  <c r="U524" i="12"/>
  <c r="U525" i="12"/>
  <c r="U534" i="12"/>
  <c r="U535" i="12"/>
  <c r="U536" i="12"/>
  <c r="U537" i="12"/>
  <c r="U539" i="12"/>
  <c r="U540" i="12"/>
  <c r="U541" i="12"/>
  <c r="U542" i="12"/>
  <c r="U543" i="12"/>
  <c r="U544" i="12"/>
  <c r="U545" i="12"/>
  <c r="U546" i="12"/>
  <c r="I7" i="13"/>
  <c r="L8" i="13"/>
  <c r="L10" i="13"/>
  <c r="I12" i="13"/>
  <c r="L14" i="13"/>
  <c r="L16" i="13"/>
  <c r="L18" i="13"/>
  <c r="S17" i="13" s="1"/>
  <c r="T17" i="13" s="1"/>
  <c r="W17" i="13" s="1"/>
  <c r="Y18" i="13"/>
  <c r="L22" i="13"/>
  <c r="S21" i="13" s="1"/>
  <c r="T21" i="13" s="1"/>
  <c r="W21" i="13" s="1"/>
  <c r="L34" i="13"/>
  <c r="S33" i="13" s="1"/>
  <c r="T33" i="13" s="1"/>
  <c r="W33" i="13" s="1"/>
  <c r="L36" i="13"/>
  <c r="S35" i="13" s="1"/>
  <c r="T35" i="13" s="1"/>
  <c r="W35" i="13" s="1"/>
  <c r="L38" i="13"/>
  <c r="S37" i="13" s="1"/>
  <c r="T37" i="13" s="1"/>
  <c r="W37" i="13" s="1"/>
  <c r="L46" i="13"/>
  <c r="L48" i="13"/>
  <c r="L50" i="13"/>
  <c r="S49" i="13" s="1"/>
  <c r="T49" i="13" s="1"/>
  <c r="W49" i="13" s="1"/>
  <c r="L52" i="13"/>
  <c r="S51" i="13" s="1"/>
  <c r="T51" i="13" s="1"/>
  <c r="W51" i="13" s="1"/>
  <c r="L54" i="13"/>
  <c r="S53" i="13" s="1"/>
  <c r="T53" i="13" s="1"/>
  <c r="W53" i="13" s="1"/>
  <c r="L56" i="13"/>
  <c r="S55" i="13" s="1"/>
  <c r="T55" i="13" s="1"/>
  <c r="W55" i="13" s="1"/>
  <c r="L58" i="13"/>
  <c r="S57" i="13" s="1"/>
  <c r="T57" i="13" s="1"/>
  <c r="W57" i="13" s="1"/>
  <c r="L60" i="13"/>
  <c r="S59" i="13" s="1"/>
  <c r="T59" i="13" s="1"/>
  <c r="W59" i="13" s="1"/>
  <c r="L62" i="13"/>
  <c r="L64" i="13"/>
  <c r="L66" i="13"/>
  <c r="L68" i="13"/>
  <c r="L70" i="13"/>
  <c r="L72" i="13"/>
  <c r="L74" i="13"/>
  <c r="L76" i="13"/>
  <c r="L78" i="13"/>
  <c r="L80" i="13"/>
  <c r="L81" i="13" s="1"/>
  <c r="L83" i="13"/>
  <c r="L85" i="13"/>
  <c r="L86" i="13" s="1"/>
  <c r="L88" i="13"/>
  <c r="L90" i="13"/>
  <c r="S89" i="13" s="1"/>
  <c r="T89" i="13" s="1"/>
  <c r="W89" i="13" s="1"/>
  <c r="L92" i="13"/>
  <c r="L93" i="13" s="1"/>
  <c r="L95" i="13"/>
  <c r="L97" i="13"/>
  <c r="L99" i="13"/>
  <c r="L101" i="13"/>
  <c r="L103" i="13"/>
  <c r="L105" i="13"/>
  <c r="L107" i="13"/>
  <c r="L109" i="13"/>
  <c r="S108" i="13" s="1"/>
  <c r="T108" i="13" s="1"/>
  <c r="W108" i="13" s="1"/>
  <c r="L111" i="13"/>
  <c r="S110" i="13" s="1"/>
  <c r="T110" i="13" s="1"/>
  <c r="W110" i="13" s="1"/>
  <c r="T112" i="13"/>
  <c r="W112" i="13" s="1"/>
  <c r="L115" i="13"/>
  <c r="S114" i="13" s="1"/>
  <c r="T114" i="13" s="1"/>
  <c r="W114" i="13" s="1"/>
  <c r="L121" i="13"/>
  <c r="L123" i="13"/>
  <c r="L125" i="13"/>
  <c r="L127" i="13"/>
  <c r="L129" i="13"/>
  <c r="BB137" i="5" l="1"/>
  <c r="O108" i="10"/>
  <c r="E37" i="12"/>
  <c r="K302" i="12"/>
  <c r="I39" i="10"/>
  <c r="J39" i="10" s="1"/>
  <c r="I14" i="10"/>
  <c r="AS350" i="5"/>
  <c r="AW350" i="5" s="1"/>
  <c r="BB350" i="5" s="1"/>
  <c r="AS351" i="5"/>
  <c r="AW351" i="5" s="1"/>
  <c r="BB351" i="5" s="1"/>
  <c r="AW536" i="5"/>
  <c r="BB536" i="5" s="1"/>
  <c r="AW587" i="5"/>
  <c r="BB587" i="5" s="1"/>
  <c r="AS476" i="5"/>
  <c r="AW476" i="5" s="1"/>
  <c r="BB476" i="5" s="1"/>
  <c r="AS477" i="5"/>
  <c r="AW477" i="5" s="1"/>
  <c r="BB477" i="5" s="1"/>
  <c r="K144" i="5"/>
  <c r="K145" i="5" s="1"/>
  <c r="Z145" i="5" s="1"/>
  <c r="AS467" i="5"/>
  <c r="AN140" i="5"/>
  <c r="AS528" i="5"/>
  <c r="AW528" i="5" s="1"/>
  <c r="BB528" i="5" s="1"/>
  <c r="AS468" i="5"/>
  <c r="AS469" i="5"/>
  <c r="AW469" i="5" s="1"/>
  <c r="BB469" i="5" s="1"/>
  <c r="AS527" i="5"/>
  <c r="AB52" i="5"/>
  <c r="V104" i="5"/>
  <c r="AS464" i="5"/>
  <c r="AW464" i="5" s="1"/>
  <c r="BB464" i="5" s="1"/>
  <c r="AR616" i="5"/>
  <c r="U618" i="5" s="1"/>
  <c r="L151" i="12"/>
  <c r="L152" i="12"/>
  <c r="AJ617" i="5"/>
  <c r="AN617" i="5" s="1"/>
  <c r="U616" i="5"/>
  <c r="T98" i="5"/>
  <c r="H98" i="5"/>
  <c r="K204" i="12"/>
  <c r="J204" i="12"/>
  <c r="I204" i="12"/>
  <c r="V21" i="6"/>
  <c r="AS551" i="5"/>
  <c r="AW551" i="5" s="1"/>
  <c r="BB551" i="5" s="1"/>
  <c r="AH5" i="7"/>
  <c r="AH4" i="7" s="1"/>
  <c r="K48" i="11"/>
  <c r="N48" i="11" s="1"/>
  <c r="O38" i="10"/>
  <c r="J38" i="10"/>
  <c r="Z88" i="7"/>
  <c r="Z91" i="7" s="1"/>
  <c r="AH96" i="7"/>
  <c r="N173" i="7"/>
  <c r="N175" i="7" s="1"/>
  <c r="H139" i="7"/>
  <c r="H141" i="7" s="1"/>
  <c r="AH98" i="7"/>
  <c r="AH97" i="7"/>
  <c r="AH79" i="7"/>
  <c r="AH130" i="7"/>
  <c r="AH124" i="7"/>
  <c r="AH71" i="7"/>
  <c r="AH58" i="7"/>
  <c r="AH57" i="7"/>
  <c r="AH50" i="7"/>
  <c r="AH100" i="7"/>
  <c r="AH104" i="7"/>
  <c r="S65" i="13"/>
  <c r="T65" i="13" s="1"/>
  <c r="W65" i="13" s="1"/>
  <c r="AS375" i="5"/>
  <c r="AW375" i="5" s="1"/>
  <c r="BB375" i="5" s="1"/>
  <c r="AC57" i="8"/>
  <c r="AC51" i="8"/>
  <c r="AC18" i="8"/>
  <c r="AC20" i="8"/>
  <c r="AC10" i="8"/>
  <c r="K7" i="11"/>
  <c r="K24" i="11"/>
  <c r="I45" i="10"/>
  <c r="AS409" i="5"/>
  <c r="V17" i="6"/>
  <c r="V60" i="5"/>
  <c r="V64" i="5"/>
  <c r="BB64" i="5" s="1"/>
  <c r="AS510" i="5"/>
  <c r="AW510" i="5" s="1"/>
  <c r="BB510" i="5" s="1"/>
  <c r="BB67" i="5"/>
  <c r="AS381" i="5"/>
  <c r="AW381" i="5" s="1"/>
  <c r="BB381" i="5" s="1"/>
  <c r="AS385" i="5"/>
  <c r="AW385" i="5" s="1"/>
  <c r="BB385" i="5" s="1"/>
  <c r="AR129" i="5"/>
  <c r="K135" i="5" s="1"/>
  <c r="I49" i="9"/>
  <c r="AS433" i="5"/>
  <c r="AW433" i="5" s="1"/>
  <c r="BB433" i="5" s="1"/>
  <c r="J304" i="12"/>
  <c r="I303" i="12"/>
  <c r="J303" i="12"/>
  <c r="I304" i="12"/>
  <c r="K303" i="12"/>
  <c r="I29" i="12"/>
  <c r="T54" i="6"/>
  <c r="V54" i="6" s="1"/>
  <c r="AW376" i="5"/>
  <c r="BB376" i="5" s="1"/>
  <c r="AW364" i="5"/>
  <c r="BB364" i="5" s="1"/>
  <c r="T122" i="6"/>
  <c r="V122" i="6" s="1"/>
  <c r="T62" i="6"/>
  <c r="V62" i="6" s="1"/>
  <c r="T38" i="6"/>
  <c r="V38" i="6" s="1"/>
  <c r="T75" i="6"/>
  <c r="V75" i="6" s="1"/>
  <c r="AW311" i="5"/>
  <c r="BB58" i="5"/>
  <c r="AW561" i="5"/>
  <c r="BB561" i="5" s="1"/>
  <c r="P10" i="12"/>
  <c r="I48" i="12" s="1"/>
  <c r="AH126" i="7"/>
  <c r="AH60" i="7"/>
  <c r="N62" i="7"/>
  <c r="N65" i="7" s="1"/>
  <c r="T209" i="7"/>
  <c r="T211" i="7" s="1"/>
  <c r="AH136" i="7"/>
  <c r="Z139" i="7"/>
  <c r="Z141" i="7" s="1"/>
  <c r="AH48" i="7"/>
  <c r="AH110" i="7"/>
  <c r="AH77" i="7"/>
  <c r="N245" i="7"/>
  <c r="N247" i="7" s="1"/>
  <c r="Z209" i="7"/>
  <c r="Z211" i="7" s="1"/>
  <c r="AH128" i="7"/>
  <c r="AH102" i="7"/>
  <c r="AH81" i="7"/>
  <c r="AH51" i="7"/>
  <c r="H173" i="7"/>
  <c r="H175" i="7" s="1"/>
  <c r="N114" i="7"/>
  <c r="N117" i="7" s="1"/>
  <c r="H245" i="7"/>
  <c r="H247" i="7" s="1"/>
  <c r="AH83" i="7"/>
  <c r="AH80" i="7"/>
  <c r="AH54" i="7"/>
  <c r="H38" i="7"/>
  <c r="H41" i="7" s="1"/>
  <c r="T38" i="7"/>
  <c r="T41" i="7" s="1"/>
  <c r="AH134" i="7"/>
  <c r="AH132" i="7"/>
  <c r="AH131" i="7"/>
  <c r="B139" i="7"/>
  <c r="B141" i="7" s="1"/>
  <c r="AH122" i="7"/>
  <c r="AH108" i="7"/>
  <c r="AH106" i="7"/>
  <c r="AH105" i="7"/>
  <c r="AH75" i="7"/>
  <c r="AH73" i="7"/>
  <c r="AH72" i="7"/>
  <c r="AH56" i="7"/>
  <c r="AH46" i="7"/>
  <c r="AC12" i="8"/>
  <c r="AC61" i="8"/>
  <c r="AC59" i="8"/>
  <c r="AC49" i="8"/>
  <c r="Y65" i="8"/>
  <c r="Y67" i="8" s="1"/>
  <c r="Y69" i="8" s="1"/>
  <c r="AC22" i="8"/>
  <c r="I63" i="9"/>
  <c r="E65" i="9" s="1"/>
  <c r="G65" i="9" s="1"/>
  <c r="AV98" i="5"/>
  <c r="AB98" i="5"/>
  <c r="AC207" i="8"/>
  <c r="AC206" i="8" s="1"/>
  <c r="R27" i="8"/>
  <c r="R29" i="8" s="1"/>
  <c r="R31" i="8" s="1"/>
  <c r="AC14" i="8"/>
  <c r="AC53" i="8"/>
  <c r="K50" i="11"/>
  <c r="K26" i="11"/>
  <c r="I79" i="9"/>
  <c r="I38" i="9"/>
  <c r="I10" i="9"/>
  <c r="X54" i="9"/>
  <c r="AH236" i="7"/>
  <c r="AH232" i="7"/>
  <c r="AH203" i="7"/>
  <c r="AH199" i="7"/>
  <c r="AH195" i="7"/>
  <c r="AH191" i="7"/>
  <c r="AH160" i="7"/>
  <c r="T173" i="7"/>
  <c r="T175" i="7" s="1"/>
  <c r="AH35" i="7"/>
  <c r="AH27" i="7"/>
  <c r="N88" i="7"/>
  <c r="N91" i="7" s="1"/>
  <c r="AH228" i="7"/>
  <c r="AH168" i="7"/>
  <c r="AH164" i="7"/>
  <c r="AH156" i="7"/>
  <c r="AH133" i="7"/>
  <c r="AH125" i="7"/>
  <c r="N139" i="7"/>
  <c r="N141" i="7" s="1"/>
  <c r="AH107" i="7"/>
  <c r="AH99" i="7"/>
  <c r="Z114" i="7"/>
  <c r="Z117" i="7" s="1"/>
  <c r="B114" i="7"/>
  <c r="B117" i="7" s="1"/>
  <c r="AH82" i="7"/>
  <c r="AH74" i="7"/>
  <c r="AH59" i="7"/>
  <c r="AH45" i="7"/>
  <c r="AH31" i="7"/>
  <c r="AH23" i="7"/>
  <c r="N38" i="7"/>
  <c r="N41" i="7" s="1"/>
  <c r="Z245" i="7"/>
  <c r="Z247" i="7" s="1"/>
  <c r="AH135" i="7"/>
  <c r="AH127" i="7"/>
  <c r="AH109" i="7"/>
  <c r="AH101" i="7"/>
  <c r="AH84" i="7"/>
  <c r="AH76" i="7"/>
  <c r="AH53" i="7"/>
  <c r="AH52" i="7"/>
  <c r="AH47" i="7"/>
  <c r="H209" i="7"/>
  <c r="H211" i="7" s="1"/>
  <c r="H88" i="7"/>
  <c r="H91" i="7" s="1"/>
  <c r="T245" i="7"/>
  <c r="T247" i="7" s="1"/>
  <c r="AH137" i="7"/>
  <c r="AH129" i="7"/>
  <c r="AH103" i="7"/>
  <c r="AH95" i="7"/>
  <c r="AH78" i="7"/>
  <c r="AH69" i="7"/>
  <c r="AH55" i="7"/>
  <c r="AH49" i="7"/>
  <c r="B62" i="7"/>
  <c r="B65" i="7" s="1"/>
  <c r="B88" i="7"/>
  <c r="B91" i="7" s="1"/>
  <c r="AH10" i="7"/>
  <c r="T137" i="6"/>
  <c r="V137" i="6" s="1"/>
  <c r="AW403" i="5"/>
  <c r="BB403" i="5" s="1"/>
  <c r="V65" i="5"/>
  <c r="BB65" i="5" s="1"/>
  <c r="BB63" i="5"/>
  <c r="AB63" i="5"/>
  <c r="V18" i="6"/>
  <c r="V61" i="5"/>
  <c r="V10" i="6"/>
  <c r="V27" i="6"/>
  <c r="V26" i="6" s="1"/>
  <c r="Z62" i="7"/>
  <c r="Z65" i="7" s="1"/>
  <c r="I85" i="9"/>
  <c r="E86" i="9" s="1"/>
  <c r="G86" i="9" s="1"/>
  <c r="E80" i="9"/>
  <c r="G80" i="9" s="1"/>
  <c r="X80" i="9" s="1"/>
  <c r="I66" i="9"/>
  <c r="I46" i="9"/>
  <c r="I37" i="9"/>
  <c r="X27" i="9"/>
  <c r="K30" i="12"/>
  <c r="K27" i="12"/>
  <c r="J28" i="12"/>
  <c r="I28" i="12"/>
  <c r="I31" i="12"/>
  <c r="K28" i="12"/>
  <c r="I30" i="12"/>
  <c r="K31" i="12"/>
  <c r="J31" i="12"/>
  <c r="J27" i="12"/>
  <c r="I27" i="12"/>
  <c r="K29" i="12"/>
  <c r="K19" i="12"/>
  <c r="J29" i="12"/>
  <c r="J30" i="12"/>
  <c r="K16" i="12"/>
  <c r="I16" i="12"/>
  <c r="I19" i="12"/>
  <c r="J20" i="12"/>
  <c r="K17" i="12"/>
  <c r="I17" i="12"/>
  <c r="I21" i="12"/>
  <c r="J16" i="12"/>
  <c r="I20" i="12"/>
  <c r="J19" i="12"/>
  <c r="K15" i="12"/>
  <c r="I15" i="12"/>
  <c r="K21" i="12"/>
  <c r="J17" i="12"/>
  <c r="J18" i="12"/>
  <c r="J15" i="12"/>
  <c r="J21" i="12"/>
  <c r="I18" i="12"/>
  <c r="K20" i="12"/>
  <c r="K18" i="12"/>
  <c r="K14" i="12"/>
  <c r="K13" i="12"/>
  <c r="K252" i="12"/>
  <c r="E146" i="12"/>
  <c r="E143" i="12"/>
  <c r="E154" i="12"/>
  <c r="L147" i="12"/>
  <c r="L146" i="12"/>
  <c r="I54" i="10"/>
  <c r="O54" i="10" s="1"/>
  <c r="X76" i="9"/>
  <c r="I75" i="9"/>
  <c r="E77" i="9" s="1"/>
  <c r="G77" i="9" s="1"/>
  <c r="X60" i="9"/>
  <c r="I57" i="9"/>
  <c r="E59" i="9" s="1"/>
  <c r="G59" i="9" s="1"/>
  <c r="I41" i="9"/>
  <c r="X14" i="9"/>
  <c r="X73" i="9"/>
  <c r="X61" i="9"/>
  <c r="X31" i="9"/>
  <c r="X28" i="9"/>
  <c r="X18" i="9"/>
  <c r="X15" i="9"/>
  <c r="X6" i="9"/>
  <c r="I81" i="9"/>
  <c r="E83" i="9" s="1"/>
  <c r="G83" i="9" s="1"/>
  <c r="X83" i="9" s="1"/>
  <c r="X78" i="9"/>
  <c r="I32" i="9"/>
  <c r="I23" i="9"/>
  <c r="I19" i="9"/>
  <c r="I7" i="9"/>
  <c r="AS429" i="5" s="1"/>
  <c r="AW429" i="5" s="1"/>
  <c r="BB429" i="5" s="1"/>
  <c r="X45" i="9"/>
  <c r="X55" i="9"/>
  <c r="X51" i="9"/>
  <c r="X87" i="9"/>
  <c r="X64" i="9"/>
  <c r="X42" i="9"/>
  <c r="X24" i="9"/>
  <c r="X11" i="9"/>
  <c r="X88" i="9"/>
  <c r="X82" i="9"/>
  <c r="X52" i="9"/>
  <c r="X84" i="9"/>
  <c r="X58" i="9"/>
  <c r="E56" i="9"/>
  <c r="G56" i="9" s="1"/>
  <c r="I56" i="9" s="1"/>
  <c r="S104" i="13"/>
  <c r="T104" i="13" s="1"/>
  <c r="W104" i="13" s="1"/>
  <c r="S5" i="13"/>
  <c r="S100" i="13"/>
  <c r="T100" i="13" s="1"/>
  <c r="W100" i="13" s="1"/>
  <c r="S61" i="13"/>
  <c r="T61" i="13" s="1"/>
  <c r="W61" i="13" s="1"/>
  <c r="S120" i="13"/>
  <c r="T120" i="13" s="1"/>
  <c r="W120" i="13" s="1"/>
  <c r="S91" i="13"/>
  <c r="T91" i="13" s="1"/>
  <c r="W91" i="13" s="1"/>
  <c r="S73" i="13"/>
  <c r="T73" i="13" s="1"/>
  <c r="W73" i="13" s="1"/>
  <c r="S11" i="13"/>
  <c r="S124" i="13"/>
  <c r="T124" i="13" s="1"/>
  <c r="W124" i="13" s="1"/>
  <c r="S96" i="13"/>
  <c r="T96" i="13" s="1"/>
  <c r="W96" i="13" s="1"/>
  <c r="S84" i="13"/>
  <c r="T84" i="13" s="1"/>
  <c r="W84" i="13" s="1"/>
  <c r="S69" i="13"/>
  <c r="T69" i="13" s="1"/>
  <c r="W69" i="13" s="1"/>
  <c r="S45" i="13"/>
  <c r="T45" i="13" s="1"/>
  <c r="W45" i="13" s="1"/>
  <c r="S77" i="13"/>
  <c r="T77" i="13" s="1"/>
  <c r="W77" i="13" s="1"/>
  <c r="AK176" i="5"/>
  <c r="AO176" i="5" s="1"/>
  <c r="AV176" i="5" s="1"/>
  <c r="K206" i="12"/>
  <c r="J205" i="12"/>
  <c r="E204" i="12"/>
  <c r="K205" i="12"/>
  <c r="K207" i="12"/>
  <c r="J206" i="12"/>
  <c r="I207" i="12"/>
  <c r="J207" i="12"/>
  <c r="I206" i="12"/>
  <c r="K270" i="12"/>
  <c r="K264" i="12"/>
  <c r="J270" i="12"/>
  <c r="J266" i="12"/>
  <c r="J262" i="12"/>
  <c r="I267" i="12"/>
  <c r="I263" i="12"/>
  <c r="K265" i="12"/>
  <c r="K261" i="12"/>
  <c r="J267" i="12"/>
  <c r="J263" i="12"/>
  <c r="I268" i="12"/>
  <c r="I264" i="12"/>
  <c r="E261" i="12"/>
  <c r="K269" i="12"/>
  <c r="K263" i="12"/>
  <c r="J269" i="12"/>
  <c r="J265" i="12"/>
  <c r="J261" i="12"/>
  <c r="I266" i="12"/>
  <c r="I262" i="12"/>
  <c r="K266" i="12"/>
  <c r="K262" i="12"/>
  <c r="J268" i="12"/>
  <c r="J264" i="12"/>
  <c r="I269" i="12"/>
  <c r="I265" i="12"/>
  <c r="I261" i="12"/>
  <c r="J258" i="12"/>
  <c r="I257" i="12"/>
  <c r="J255" i="12"/>
  <c r="I254" i="12"/>
  <c r="J252" i="12"/>
  <c r="K250" i="12"/>
  <c r="J251" i="12"/>
  <c r="I270" i="12"/>
  <c r="I255" i="12"/>
  <c r="I251" i="12"/>
  <c r="K259" i="12"/>
  <c r="I259" i="12"/>
  <c r="J256" i="12"/>
  <c r="K254" i="12"/>
  <c r="K253" i="12"/>
  <c r="I253" i="12"/>
  <c r="K251" i="12"/>
  <c r="J250" i="12"/>
  <c r="K258" i="12"/>
  <c r="I258" i="12"/>
  <c r="I256" i="12"/>
  <c r="J254" i="12"/>
  <c r="I252" i="12"/>
  <c r="I250" i="12"/>
  <c r="J259" i="12"/>
  <c r="J257" i="12"/>
  <c r="K255" i="12"/>
  <c r="J253" i="12"/>
  <c r="E250" i="12"/>
  <c r="I369" i="12"/>
  <c r="K369" i="12"/>
  <c r="J368" i="12"/>
  <c r="J369" i="12"/>
  <c r="K368" i="12"/>
  <c r="I368" i="12"/>
  <c r="K152" i="12"/>
  <c r="J152" i="12"/>
  <c r="I152" i="12"/>
  <c r="E149" i="12"/>
  <c r="K150" i="12"/>
  <c r="J149" i="12"/>
  <c r="K151" i="12"/>
  <c r="J151" i="12"/>
  <c r="I151" i="12"/>
  <c r="J150" i="12"/>
  <c r="I150" i="12"/>
  <c r="K149" i="12"/>
  <c r="I149" i="12"/>
  <c r="BB593" i="5"/>
  <c r="J156" i="12"/>
  <c r="J155" i="12"/>
  <c r="J146" i="12"/>
  <c r="J144" i="12"/>
  <c r="I143" i="12"/>
  <c r="J140" i="12"/>
  <c r="K138" i="12"/>
  <c r="I138" i="12"/>
  <c r="J157" i="12"/>
  <c r="K155" i="12"/>
  <c r="J154" i="12"/>
  <c r="K146" i="12"/>
  <c r="K144" i="12"/>
  <c r="J143" i="12"/>
  <c r="J141" i="12"/>
  <c r="J137" i="12"/>
  <c r="K157" i="12"/>
  <c r="I157" i="12"/>
  <c r="I155" i="12"/>
  <c r="K147" i="12"/>
  <c r="I147" i="12"/>
  <c r="I144" i="12"/>
  <c r="K141" i="12"/>
  <c r="I141" i="12"/>
  <c r="K137" i="12"/>
  <c r="I137" i="12"/>
  <c r="K156" i="12"/>
  <c r="I156" i="12"/>
  <c r="K154" i="12"/>
  <c r="J147" i="12"/>
  <c r="I146" i="12"/>
  <c r="K143" i="12"/>
  <c r="K140" i="12"/>
  <c r="I140" i="12"/>
  <c r="J138" i="12"/>
  <c r="E137" i="12"/>
  <c r="E140" i="12"/>
  <c r="J135" i="12"/>
  <c r="I134" i="12"/>
  <c r="I135" i="12"/>
  <c r="E134" i="12"/>
  <c r="K134" i="12"/>
  <c r="J134" i="12"/>
  <c r="K135" i="12"/>
  <c r="J123" i="12"/>
  <c r="K120" i="12"/>
  <c r="I120" i="12"/>
  <c r="J117" i="12"/>
  <c r="J122" i="12"/>
  <c r="K119" i="12"/>
  <c r="I119" i="12"/>
  <c r="J116" i="12"/>
  <c r="K123" i="12"/>
  <c r="I123" i="12"/>
  <c r="J120" i="12"/>
  <c r="K117" i="12"/>
  <c r="I117" i="12"/>
  <c r="K122" i="12"/>
  <c r="I122" i="12"/>
  <c r="J119" i="12"/>
  <c r="K116" i="12"/>
  <c r="I116" i="12"/>
  <c r="E122" i="12"/>
  <c r="E119" i="12"/>
  <c r="E116" i="12"/>
  <c r="J113" i="12"/>
  <c r="K111" i="12"/>
  <c r="I111" i="12"/>
  <c r="E113" i="12"/>
  <c r="K114" i="12"/>
  <c r="J112" i="12"/>
  <c r="K112" i="12"/>
  <c r="I114" i="12"/>
  <c r="I112" i="12"/>
  <c r="K113" i="12"/>
  <c r="I113" i="12"/>
  <c r="J111" i="12"/>
  <c r="J114" i="12"/>
  <c r="E111" i="12"/>
  <c r="K109" i="12"/>
  <c r="I109" i="12"/>
  <c r="K108" i="12"/>
  <c r="I108" i="12"/>
  <c r="J109" i="12"/>
  <c r="J108" i="12"/>
  <c r="I542" i="12"/>
  <c r="I496" i="12"/>
  <c r="I372" i="12"/>
  <c r="K105" i="12"/>
  <c r="I105" i="12"/>
  <c r="J102" i="12"/>
  <c r="I106" i="12"/>
  <c r="J106" i="12"/>
  <c r="I103" i="12"/>
  <c r="E108" i="12"/>
  <c r="J105" i="12"/>
  <c r="K103" i="12"/>
  <c r="I102" i="12"/>
  <c r="K106" i="12"/>
  <c r="K102" i="12"/>
  <c r="J103" i="12"/>
  <c r="E105" i="12"/>
  <c r="E102" i="12"/>
  <c r="K247" i="12"/>
  <c r="J247" i="12"/>
  <c r="I247" i="12"/>
  <c r="K248" i="12"/>
  <c r="J248" i="12"/>
  <c r="I248" i="12"/>
  <c r="K41" i="12"/>
  <c r="I41" i="12"/>
  <c r="K40" i="12"/>
  <c r="I40" i="12"/>
  <c r="J41" i="12"/>
  <c r="E40" i="12"/>
  <c r="J40" i="12"/>
  <c r="U229" i="12"/>
  <c r="U67" i="12"/>
  <c r="U69" i="12"/>
  <c r="U68" i="12"/>
  <c r="E51" i="12"/>
  <c r="K68" i="12"/>
  <c r="I69" i="12"/>
  <c r="I67" i="12"/>
  <c r="J69" i="12"/>
  <c r="J67" i="12"/>
  <c r="I68" i="12"/>
  <c r="K69" i="12"/>
  <c r="K67" i="12"/>
  <c r="J68" i="12"/>
  <c r="J404" i="12"/>
  <c r="U281" i="12"/>
  <c r="U277" i="12"/>
  <c r="U284" i="12"/>
  <c r="J509" i="12"/>
  <c r="J364" i="12"/>
  <c r="J165" i="12"/>
  <c r="U279" i="12"/>
  <c r="U21" i="12"/>
  <c r="U227" i="12"/>
  <c r="U348" i="12"/>
  <c r="U283" i="12"/>
  <c r="U273" i="12"/>
  <c r="U285" i="12"/>
  <c r="U280" i="12"/>
  <c r="U86" i="12"/>
  <c r="U198" i="12"/>
  <c r="U182" i="12"/>
  <c r="U82" i="12"/>
  <c r="U14" i="12"/>
  <c r="U446" i="12"/>
  <c r="U240" i="12"/>
  <c r="U102" i="12"/>
  <c r="U83" i="12"/>
  <c r="U241" i="12"/>
  <c r="U442" i="12"/>
  <c r="U507" i="12"/>
  <c r="U81" i="12"/>
  <c r="U135" i="12"/>
  <c r="U509" i="12"/>
  <c r="U506" i="12"/>
  <c r="U502" i="12"/>
  <c r="U476" i="12"/>
  <c r="U447" i="12"/>
  <c r="U389" i="12"/>
  <c r="U362" i="12"/>
  <c r="U131" i="12"/>
  <c r="U505" i="12"/>
  <c r="U482" i="12"/>
  <c r="U475" i="12"/>
  <c r="U409" i="12"/>
  <c r="U360" i="12"/>
  <c r="U134" i="12"/>
  <c r="U129" i="12"/>
  <c r="U479" i="12"/>
  <c r="U501" i="12"/>
  <c r="U508" i="12"/>
  <c r="U481" i="12"/>
  <c r="U473" i="12"/>
  <c r="U443" i="12"/>
  <c r="U402" i="12"/>
  <c r="U236" i="12"/>
  <c r="U126" i="12"/>
  <c r="U103" i="12"/>
  <c r="U29" i="12"/>
  <c r="U323" i="12"/>
  <c r="U248" i="12"/>
  <c r="U184" i="12"/>
  <c r="U172" i="12"/>
  <c r="U169" i="12"/>
  <c r="U432" i="12"/>
  <c r="U327" i="12"/>
  <c r="U171" i="12"/>
  <c r="U434" i="12"/>
  <c r="U430" i="12"/>
  <c r="U329" i="12"/>
  <c r="U325" i="12"/>
  <c r="U238" i="12"/>
  <c r="U480" i="12"/>
  <c r="U474" i="12"/>
  <c r="U433" i="12"/>
  <c r="U429" i="12"/>
  <c r="U407" i="12"/>
  <c r="U351" i="12"/>
  <c r="U342" i="12"/>
  <c r="U328" i="12"/>
  <c r="U324" i="12"/>
  <c r="U319" i="12"/>
  <c r="U287" i="12"/>
  <c r="U282" i="12"/>
  <c r="U278" i="12"/>
  <c r="U237" i="12"/>
  <c r="U197" i="12"/>
  <c r="U183" i="12"/>
  <c r="U175" i="12"/>
  <c r="U84" i="12"/>
  <c r="U16" i="12"/>
  <c r="U230" i="12"/>
  <c r="U436" i="12"/>
  <c r="U174" i="12"/>
  <c r="U71" i="12"/>
  <c r="U435" i="12"/>
  <c r="U346" i="12"/>
  <c r="U331" i="12"/>
  <c r="U326" i="12"/>
  <c r="U246" i="12"/>
  <c r="U185" i="12"/>
  <c r="U173" i="12"/>
  <c r="U70" i="12"/>
  <c r="U19" i="12"/>
  <c r="J114" i="10"/>
  <c r="J148" i="10"/>
  <c r="J140" i="10"/>
  <c r="J17" i="10"/>
  <c r="J142" i="10"/>
  <c r="J112" i="10"/>
  <c r="O114" i="10"/>
  <c r="J138" i="10"/>
  <c r="O142" i="10"/>
  <c r="J143" i="10"/>
  <c r="J139" i="10"/>
  <c r="J113" i="10"/>
  <c r="O148" i="10"/>
  <c r="O140" i="10"/>
  <c r="O17" i="10"/>
  <c r="J149" i="10"/>
  <c r="J141" i="10"/>
  <c r="J115" i="10"/>
  <c r="J111" i="10"/>
  <c r="O138" i="10"/>
  <c r="AQ627" i="5"/>
  <c r="AR617" i="5"/>
  <c r="AB594" i="5"/>
  <c r="AM594" i="5" s="1"/>
  <c r="AR83" i="5"/>
  <c r="Z99" i="5" s="1"/>
  <c r="AB596" i="5"/>
  <c r="AM596" i="5" s="1"/>
  <c r="AW435" i="5"/>
  <c r="BB435" i="5" s="1"/>
  <c r="AW455" i="5"/>
  <c r="BB455" i="5" s="1"/>
  <c r="AW195" i="5"/>
  <c r="BB195" i="5" s="1"/>
  <c r="I530" i="12"/>
  <c r="J523" i="12"/>
  <c r="K487" i="12"/>
  <c r="J432" i="12"/>
  <c r="K397" i="12"/>
  <c r="I388" i="12"/>
  <c r="I376" i="12"/>
  <c r="J540" i="12"/>
  <c r="J500" i="12"/>
  <c r="J445" i="12"/>
  <c r="J57" i="12"/>
  <c r="I505" i="12"/>
  <c r="K502" i="12"/>
  <c r="I436" i="12"/>
  <c r="K395" i="12"/>
  <c r="J374" i="12"/>
  <c r="J342" i="12"/>
  <c r="J329" i="12"/>
  <c r="K537" i="12"/>
  <c r="AK177" i="5"/>
  <c r="AO177" i="5" s="1"/>
  <c r="AV177" i="5" s="1"/>
  <c r="AW260" i="5"/>
  <c r="BB260" i="5" s="1"/>
  <c r="AW452" i="5"/>
  <c r="BB452" i="5" s="1"/>
  <c r="AW500" i="5"/>
  <c r="BB500" i="5" s="1"/>
  <c r="AW515" i="5"/>
  <c r="BB515" i="5" s="1"/>
  <c r="AW569" i="5"/>
  <c r="BB569" i="5" s="1"/>
  <c r="BB176" i="5"/>
  <c r="AK178" i="5"/>
  <c r="AO178" i="5" s="1"/>
  <c r="AV178" i="5" s="1"/>
  <c r="AW228" i="5"/>
  <c r="BB228" i="5" s="1"/>
  <c r="AW287" i="5"/>
  <c r="BB287" i="5" s="1"/>
  <c r="AW492" i="5"/>
  <c r="BB492" i="5" s="1"/>
  <c r="AW225" i="5"/>
  <c r="BB225" i="5" s="1"/>
  <c r="AW584" i="5"/>
  <c r="BB584" i="5" s="1"/>
  <c r="I544" i="12"/>
  <c r="K535" i="12"/>
  <c r="K525" i="12"/>
  <c r="I507" i="12"/>
  <c r="K491" i="12"/>
  <c r="J476" i="12"/>
  <c r="I434" i="12"/>
  <c r="I321" i="12"/>
  <c r="J195" i="12"/>
  <c r="J183" i="12"/>
  <c r="I546" i="12"/>
  <c r="I540" i="12"/>
  <c r="K528" i="12"/>
  <c r="J502" i="12"/>
  <c r="J491" i="12"/>
  <c r="K478" i="12"/>
  <c r="J424" i="12"/>
  <c r="J399" i="12"/>
  <c r="J390" i="12"/>
  <c r="J516" i="12"/>
  <c r="J512" i="12"/>
  <c r="J498" i="12"/>
  <c r="K489" i="12"/>
  <c r="J482" i="12"/>
  <c r="J478" i="12"/>
  <c r="I447" i="12"/>
  <c r="I441" i="12"/>
  <c r="K421" i="12"/>
  <c r="J410" i="12"/>
  <c r="J402" i="12"/>
  <c r="K376" i="12"/>
  <c r="I362" i="12"/>
  <c r="J349" i="12"/>
  <c r="K275" i="12"/>
  <c r="K94" i="12"/>
  <c r="J542" i="12"/>
  <c r="K540" i="12"/>
  <c r="K530" i="12"/>
  <c r="J521" i="12"/>
  <c r="I519" i="12"/>
  <c r="I516" i="12"/>
  <c r="I514" i="12"/>
  <c r="I512" i="12"/>
  <c r="K509" i="12"/>
  <c r="K507" i="12"/>
  <c r="J505" i="12"/>
  <c r="K500" i="12"/>
  <c r="I498" i="12"/>
  <c r="I489" i="12"/>
  <c r="I482" i="12"/>
  <c r="J480" i="12"/>
  <c r="I443" i="12"/>
  <c r="K439" i="12"/>
  <c r="J436" i="12"/>
  <c r="J434" i="12"/>
  <c r="K432" i="12"/>
  <c r="J430" i="12"/>
  <c r="I421" i="12"/>
  <c r="I418" i="12"/>
  <c r="J413" i="12"/>
  <c r="J388" i="12"/>
  <c r="I379" i="12"/>
  <c r="J376" i="12"/>
  <c r="K374" i="12"/>
  <c r="K372" i="12"/>
  <c r="K364" i="12"/>
  <c r="J324" i="12"/>
  <c r="J300" i="12"/>
  <c r="J279" i="12"/>
  <c r="K276" i="12"/>
  <c r="K182" i="12"/>
  <c r="J537" i="12"/>
  <c r="I535" i="12"/>
  <c r="K494" i="12"/>
  <c r="K482" i="12"/>
  <c r="J415" i="12"/>
  <c r="I395" i="12"/>
  <c r="I198" i="12"/>
  <c r="K125" i="12"/>
  <c r="I513" i="12"/>
  <c r="I82" i="12"/>
  <c r="J85" i="12"/>
  <c r="J160" i="12"/>
  <c r="K165" i="12"/>
  <c r="K175" i="12"/>
  <c r="K192" i="12"/>
  <c r="J283" i="12"/>
  <c r="I297" i="12"/>
  <c r="I298" i="12"/>
  <c r="K321" i="12"/>
  <c r="K322" i="12"/>
  <c r="J327" i="12"/>
  <c r="I341" i="12"/>
  <c r="I347" i="12"/>
  <c r="J350" i="12"/>
  <c r="I360" i="12"/>
  <c r="J362" i="12"/>
  <c r="J367" i="12"/>
  <c r="I390" i="12"/>
  <c r="I402" i="12"/>
  <c r="K404" i="12"/>
  <c r="K424" i="12"/>
  <c r="K436" i="12"/>
  <c r="I439" i="12"/>
  <c r="I445" i="12"/>
  <c r="J447" i="12"/>
  <c r="J474" i="12"/>
  <c r="K476" i="12"/>
  <c r="J487" i="12"/>
  <c r="I491" i="12"/>
  <c r="I494" i="12"/>
  <c r="J496" i="12"/>
  <c r="I500" i="12"/>
  <c r="I502" i="12"/>
  <c r="K505" i="12"/>
  <c r="J507" i="12"/>
  <c r="I509" i="12"/>
  <c r="K516" i="12"/>
  <c r="J519" i="12"/>
  <c r="I521" i="12"/>
  <c r="I523" i="12"/>
  <c r="I525" i="12"/>
  <c r="I528" i="12"/>
  <c r="J530" i="12"/>
  <c r="J535" i="12"/>
  <c r="I537" i="12"/>
  <c r="K542" i="12"/>
  <c r="J544" i="12"/>
  <c r="J546" i="12"/>
  <c r="J81" i="12"/>
  <c r="J126" i="12"/>
  <c r="J162" i="12"/>
  <c r="I173" i="12"/>
  <c r="J196" i="12"/>
  <c r="J276" i="12"/>
  <c r="J281" i="12"/>
  <c r="J297" i="12"/>
  <c r="J319" i="12"/>
  <c r="J325" i="12"/>
  <c r="J330" i="12"/>
  <c r="K341" i="12"/>
  <c r="I346" i="12"/>
  <c r="J347" i="12"/>
  <c r="J351" i="12"/>
  <c r="J360" i="12"/>
  <c r="K367" i="12"/>
  <c r="J525" i="12"/>
  <c r="K498" i="12"/>
  <c r="J485" i="12"/>
  <c r="J441" i="12"/>
  <c r="K410" i="12"/>
  <c r="J397" i="12"/>
  <c r="J346" i="12"/>
  <c r="J322" i="12"/>
  <c r="I44" i="12"/>
  <c r="J528" i="12"/>
  <c r="K519" i="12"/>
  <c r="J514" i="12"/>
  <c r="J494" i="12"/>
  <c r="I485" i="12"/>
  <c r="K480" i="12"/>
  <c r="J443" i="12"/>
  <c r="I424" i="12"/>
  <c r="J418" i="12"/>
  <c r="I415" i="12"/>
  <c r="J379" i="12"/>
  <c r="I172" i="12"/>
  <c r="AW194" i="5"/>
  <c r="BB194" i="5" s="1"/>
  <c r="AB595" i="5"/>
  <c r="AM595" i="5" s="1"/>
  <c r="AW206" i="5"/>
  <c r="BB206" i="5" s="1"/>
  <c r="I429" i="12"/>
  <c r="AW263" i="5"/>
  <c r="BB263" i="5" s="1"/>
  <c r="AW463" i="5"/>
  <c r="BB463" i="5" s="1"/>
  <c r="AW576" i="5"/>
  <c r="BB576" i="5" s="1"/>
  <c r="AW224" i="5"/>
  <c r="BB224" i="5" s="1"/>
  <c r="AW241" i="5"/>
  <c r="AW256" i="5"/>
  <c r="BB256" i="5" s="1"/>
  <c r="AW259" i="5"/>
  <c r="BB259" i="5" s="1"/>
  <c r="AW272" i="5"/>
  <c r="BB272" i="5" s="1"/>
  <c r="AW283" i="5"/>
  <c r="BB283" i="5" s="1"/>
  <c r="AW285" i="5"/>
  <c r="BB285" i="5" s="1"/>
  <c r="AW299" i="5"/>
  <c r="BB299" i="5" s="1"/>
  <c r="AW320" i="5"/>
  <c r="AW349" i="5"/>
  <c r="BB349" i="5" s="1"/>
  <c r="AW444" i="5"/>
  <c r="BB444" i="5" s="1"/>
  <c r="AW523" i="5"/>
  <c r="BB523" i="5" s="1"/>
  <c r="AW559" i="5"/>
  <c r="BB559" i="5" s="1"/>
  <c r="AW212" i="5"/>
  <c r="BB212" i="5" s="1"/>
  <c r="AW236" i="5"/>
  <c r="BB236" i="5" s="1"/>
  <c r="AW240" i="5"/>
  <c r="AW252" i="5"/>
  <c r="BB252" i="5" s="1"/>
  <c r="AW255" i="5"/>
  <c r="BB255" i="5" s="1"/>
  <c r="AW268" i="5"/>
  <c r="BB268" i="5" s="1"/>
  <c r="AW271" i="5"/>
  <c r="BB271" i="5" s="1"/>
  <c r="AW282" i="5"/>
  <c r="BB282" i="5" s="1"/>
  <c r="AW292" i="5"/>
  <c r="BB292" i="5" s="1"/>
  <c r="AW295" i="5"/>
  <c r="BB295" i="5" s="1"/>
  <c r="AW431" i="5"/>
  <c r="BB431" i="5" s="1"/>
  <c r="AW440" i="5"/>
  <c r="BB440" i="5" s="1"/>
  <c r="AW443" i="5"/>
  <c r="BB443" i="5" s="1"/>
  <c r="AW447" i="5"/>
  <c r="BB447" i="5" s="1"/>
  <c r="AW459" i="5"/>
  <c r="BB459" i="5" s="1"/>
  <c r="AW565" i="5"/>
  <c r="BB565" i="5" s="1"/>
  <c r="AW573" i="5"/>
  <c r="BB573" i="5" s="1"/>
  <c r="AW207" i="5"/>
  <c r="BB207" i="5" s="1"/>
  <c r="AW211" i="5"/>
  <c r="BB211" i="5" s="1"/>
  <c r="AW229" i="5"/>
  <c r="BB229" i="5" s="1"/>
  <c r="AW234" i="5"/>
  <c r="BB234" i="5" s="1"/>
  <c r="AW251" i="5"/>
  <c r="AW264" i="5"/>
  <c r="BB264" i="5" s="1"/>
  <c r="AW267" i="5"/>
  <c r="BB267" i="5" s="1"/>
  <c r="AW288" i="5"/>
  <c r="BB288" i="5" s="1"/>
  <c r="AW291" i="5"/>
  <c r="BB291" i="5" s="1"/>
  <c r="AW430" i="5"/>
  <c r="BB430" i="5" s="1"/>
  <c r="AW436" i="5"/>
  <c r="BB436" i="5" s="1"/>
  <c r="AW439" i="5"/>
  <c r="BB439" i="5" s="1"/>
  <c r="AW446" i="5"/>
  <c r="BB446" i="5" s="1"/>
  <c r="AW496" i="5"/>
  <c r="BB496" i="5" s="1"/>
  <c r="AW504" i="5"/>
  <c r="BB504" i="5" s="1"/>
  <c r="AW511" i="5"/>
  <c r="BB511" i="5" s="1"/>
  <c r="AW519" i="5"/>
  <c r="BB519" i="5" s="1"/>
  <c r="AW555" i="5"/>
  <c r="BB555" i="5" s="1"/>
  <c r="I399" i="12"/>
  <c r="K539" i="12"/>
  <c r="K481" i="12"/>
  <c r="E409" i="12"/>
  <c r="J363" i="12"/>
  <c r="K55" i="12"/>
  <c r="J44" i="12"/>
  <c r="I14" i="12"/>
  <c r="J131" i="12"/>
  <c r="I527" i="12"/>
  <c r="J444" i="12"/>
  <c r="I54" i="12"/>
  <c r="K161" i="12"/>
  <c r="J181" i="12"/>
  <c r="J277" i="12"/>
  <c r="E296" i="12"/>
  <c r="J348" i="12"/>
  <c r="J375" i="12"/>
  <c r="I389" i="12"/>
  <c r="E417" i="12"/>
  <c r="I435" i="12"/>
  <c r="J442" i="12"/>
  <c r="I473" i="12"/>
  <c r="K479" i="12"/>
  <c r="I488" i="12"/>
  <c r="I495" i="12"/>
  <c r="E504" i="12"/>
  <c r="I511" i="12"/>
  <c r="J518" i="12"/>
  <c r="K524" i="12"/>
  <c r="E534" i="12"/>
  <c r="I539" i="12"/>
  <c r="J545" i="12"/>
  <c r="K131" i="12"/>
  <c r="K331" i="12"/>
  <c r="K398" i="12"/>
  <c r="I55" i="12"/>
  <c r="J71" i="12"/>
  <c r="I81" i="12"/>
  <c r="K82" i="12"/>
  <c r="J84" i="12"/>
  <c r="K93" i="12"/>
  <c r="I94" i="12"/>
  <c r="K130" i="12"/>
  <c r="I162" i="12"/>
  <c r="I165" i="12"/>
  <c r="J167" i="12"/>
  <c r="K173" i="12"/>
  <c r="J175" i="12"/>
  <c r="I182" i="12"/>
  <c r="K185" i="12"/>
  <c r="I192" i="12"/>
  <c r="K215" i="12"/>
  <c r="I246" i="12"/>
  <c r="I273" i="12"/>
  <c r="J275" i="12"/>
  <c r="I276" i="12"/>
  <c r="I278" i="12"/>
  <c r="I279" i="12"/>
  <c r="I281" i="12"/>
  <c r="I283" i="12"/>
  <c r="I285" i="12"/>
  <c r="J287" i="12"/>
  <c r="K298" i="12"/>
  <c r="I184" i="12"/>
  <c r="J326" i="12"/>
  <c r="K371" i="12"/>
  <c r="J412" i="12"/>
  <c r="J433" i="12"/>
  <c r="J440" i="12"/>
  <c r="E449" i="12"/>
  <c r="I479" i="12"/>
  <c r="I486" i="12"/>
  <c r="I493" i="12"/>
  <c r="J501" i="12"/>
  <c r="J508" i="12"/>
  <c r="E518" i="12"/>
  <c r="I524" i="12"/>
  <c r="J529" i="12"/>
  <c r="K536" i="12"/>
  <c r="I543" i="12"/>
  <c r="I128" i="12"/>
  <c r="I287" i="12"/>
  <c r="K351" i="12"/>
  <c r="J14" i="12"/>
  <c r="K44" i="12"/>
  <c r="K45" i="12"/>
  <c r="K57" i="12"/>
  <c r="I71" i="12"/>
  <c r="J82" i="12"/>
  <c r="I84" i="12"/>
  <c r="J86" i="12"/>
  <c r="J93" i="12"/>
  <c r="K126" i="12"/>
  <c r="J130" i="12"/>
  <c r="K160" i="12"/>
  <c r="I167" i="12"/>
  <c r="K172" i="12"/>
  <c r="J173" i="12"/>
  <c r="I175" i="12"/>
  <c r="K183" i="12"/>
  <c r="J185" i="12"/>
  <c r="K195" i="12"/>
  <c r="K196" i="12"/>
  <c r="K198" i="12"/>
  <c r="J215" i="12"/>
  <c r="I275" i="12"/>
  <c r="J286" i="12"/>
  <c r="K297" i="12"/>
  <c r="J298" i="12"/>
  <c r="I300" i="12"/>
  <c r="I302" i="12"/>
  <c r="J171" i="12"/>
  <c r="J359" i="12"/>
  <c r="J396" i="12"/>
  <c r="K438" i="12"/>
  <c r="I477" i="12"/>
  <c r="K490" i="12"/>
  <c r="J506" i="12"/>
  <c r="I522" i="12"/>
  <c r="I536" i="12"/>
  <c r="I86" i="12"/>
  <c r="I343" i="12"/>
  <c r="I132" i="12"/>
  <c r="E245" i="12"/>
  <c r="I299" i="12"/>
  <c r="E384" i="12"/>
  <c r="O384" i="12" s="1"/>
  <c r="R384" i="12" s="1"/>
  <c r="J420" i="12"/>
  <c r="J431" i="12"/>
  <c r="I446" i="12"/>
  <c r="J484" i="12"/>
  <c r="I499" i="12"/>
  <c r="J515" i="12"/>
  <c r="K527" i="12"/>
  <c r="J541" i="12"/>
  <c r="K286" i="12"/>
  <c r="I45" i="12"/>
  <c r="J55" i="12"/>
  <c r="I57" i="12"/>
  <c r="I93" i="12"/>
  <c r="J94" i="12"/>
  <c r="I96" i="12"/>
  <c r="J128" i="12"/>
  <c r="I160" i="12"/>
  <c r="J170" i="12"/>
  <c r="J172" i="12"/>
  <c r="I196" i="12"/>
  <c r="J198" i="12"/>
  <c r="J273" i="12"/>
  <c r="J278" i="12"/>
  <c r="J285" i="12"/>
  <c r="J302" i="12"/>
  <c r="I319" i="12"/>
  <c r="J321" i="12"/>
  <c r="I322" i="12"/>
  <c r="I324" i="12"/>
  <c r="I325" i="12"/>
  <c r="I327" i="12"/>
  <c r="I329" i="12"/>
  <c r="J331" i="12"/>
  <c r="J341" i="12"/>
  <c r="J343" i="12"/>
  <c r="I349" i="12"/>
  <c r="I364" i="12"/>
  <c r="I367" i="12"/>
  <c r="J372" i="12"/>
  <c r="I374" i="12"/>
  <c r="K379" i="12"/>
  <c r="K388" i="12"/>
  <c r="J395" i="12"/>
  <c r="I397" i="12"/>
  <c r="J398" i="12"/>
  <c r="I404" i="12"/>
  <c r="I410" i="12"/>
  <c r="I413" i="12"/>
  <c r="K415" i="12"/>
  <c r="K418" i="12"/>
  <c r="J421" i="12"/>
  <c r="I430" i="12"/>
  <c r="I432" i="12"/>
  <c r="J439" i="12"/>
  <c r="K441" i="12"/>
  <c r="K443" i="12"/>
  <c r="K445" i="12"/>
  <c r="K447" i="12"/>
  <c r="I474" i="12"/>
  <c r="I476" i="12"/>
  <c r="I478" i="12"/>
  <c r="I480" i="12"/>
  <c r="K485" i="12"/>
  <c r="J489" i="12"/>
  <c r="J83" i="12"/>
  <c r="I166" i="12"/>
  <c r="I284" i="12"/>
  <c r="I318" i="12"/>
  <c r="E438" i="12"/>
  <c r="I475" i="12"/>
  <c r="I490" i="12"/>
  <c r="K504" i="12"/>
  <c r="I520" i="12"/>
  <c r="J534" i="12"/>
  <c r="K85" i="12"/>
  <c r="K342" i="12"/>
  <c r="J246" i="12"/>
  <c r="I195" i="12"/>
  <c r="J192" i="12"/>
  <c r="I185" i="12"/>
  <c r="I183" i="12"/>
  <c r="J182" i="12"/>
  <c r="I170" i="12"/>
  <c r="K167" i="12"/>
  <c r="K162" i="12"/>
  <c r="J96" i="12"/>
  <c r="K81" i="12"/>
  <c r="K71" i="12"/>
  <c r="J45" i="12"/>
  <c r="I497" i="12"/>
  <c r="J194" i="12"/>
  <c r="J70" i="12"/>
  <c r="AP51" i="5"/>
  <c r="AR51" i="5" s="1"/>
  <c r="AW490" i="5"/>
  <c r="BB490" i="5" s="1"/>
  <c r="AW493" i="5"/>
  <c r="BB493" i="5" s="1"/>
  <c r="AW298" i="5"/>
  <c r="BB298" i="5" s="1"/>
  <c r="AW324" i="5"/>
  <c r="BB324" i="5" s="1"/>
  <c r="AW553" i="5"/>
  <c r="BB553" i="5" s="1"/>
  <c r="AB66" i="5"/>
  <c r="AW226" i="5"/>
  <c r="BB226" i="5" s="1"/>
  <c r="AW329" i="5"/>
  <c r="BB329" i="5" s="1"/>
  <c r="AW534" i="5"/>
  <c r="BB534" i="5" s="1"/>
  <c r="BB26" i="5"/>
  <c r="AW203" i="5"/>
  <c r="BB203" i="5" s="1"/>
  <c r="AW227" i="5"/>
  <c r="BB227" i="5" s="1"/>
  <c r="AW237" i="5"/>
  <c r="BB237" i="5" s="1"/>
  <c r="AW315" i="5"/>
  <c r="BB315" i="5" s="1"/>
  <c r="AW318" i="5"/>
  <c r="BB318" i="5" s="1"/>
  <c r="AW437" i="5"/>
  <c r="BB437" i="5" s="1"/>
  <c r="AW270" i="5"/>
  <c r="BB270" i="5" s="1"/>
  <c r="AW495" i="5"/>
  <c r="BB495" i="5" s="1"/>
  <c r="BB23" i="5"/>
  <c r="AW210" i="5"/>
  <c r="BB210" i="5" s="1"/>
  <c r="AW231" i="5"/>
  <c r="BB231" i="5" s="1"/>
  <c r="AW266" i="5"/>
  <c r="BB266" i="5" s="1"/>
  <c r="AW457" i="5"/>
  <c r="BB457" i="5" s="1"/>
  <c r="AW473" i="5"/>
  <c r="BB473" i="5" s="1"/>
  <c r="AW498" i="5"/>
  <c r="BB498" i="5" s="1"/>
  <c r="AW506" i="5"/>
  <c r="BB506" i="5" s="1"/>
  <c r="AW567" i="5"/>
  <c r="BB567" i="5" s="1"/>
  <c r="AW574" i="5"/>
  <c r="BB574" i="5" s="1"/>
  <c r="AW312" i="5"/>
  <c r="BB312" i="5" s="1"/>
  <c r="AW327" i="5"/>
  <c r="BB327" i="5" s="1"/>
  <c r="AW334" i="5"/>
  <c r="BB334" i="5" s="1"/>
  <c r="AW339" i="5"/>
  <c r="BB339" i="5" s="1"/>
  <c r="AW342" i="5"/>
  <c r="AW348" i="5"/>
  <c r="BB348" i="5" s="1"/>
  <c r="AW497" i="5"/>
  <c r="BB497" i="5" s="1"/>
  <c r="AW499" i="5"/>
  <c r="BB499" i="5" s="1"/>
  <c r="AW502" i="5"/>
  <c r="BB502" i="5" s="1"/>
  <c r="AW512" i="5"/>
  <c r="BB512" i="5" s="1"/>
  <c r="AW514" i="5"/>
  <c r="BB514" i="5" s="1"/>
  <c r="AW517" i="5"/>
  <c r="BB517" i="5" s="1"/>
  <c r="AW520" i="5"/>
  <c r="BB520" i="5" s="1"/>
  <c r="AW214" i="5"/>
  <c r="BB214" i="5" s="1"/>
  <c r="AS244" i="5"/>
  <c r="AW238" i="5"/>
  <c r="BB238" i="5" s="1"/>
  <c r="K399" i="12"/>
  <c r="K350" i="12"/>
  <c r="I331" i="12"/>
  <c r="K287" i="12"/>
  <c r="K132" i="12"/>
  <c r="I126" i="12"/>
  <c r="I545" i="12"/>
  <c r="K541" i="12"/>
  <c r="J539" i="12"/>
  <c r="J536" i="12"/>
  <c r="I534" i="12"/>
  <c r="I529" i="12"/>
  <c r="E527" i="12"/>
  <c r="J522" i="12"/>
  <c r="K518" i="12"/>
  <c r="K515" i="12"/>
  <c r="J511" i="12"/>
  <c r="I508" i="12"/>
  <c r="I504" i="12"/>
  <c r="I501" i="12"/>
  <c r="K497" i="12"/>
  <c r="J493" i="12"/>
  <c r="J490" i="12"/>
  <c r="K486" i="12"/>
  <c r="E484" i="12"/>
  <c r="J479" i="12"/>
  <c r="K475" i="12"/>
  <c r="E461" i="12"/>
  <c r="K444" i="12"/>
  <c r="I442" i="12"/>
  <c r="I438" i="12"/>
  <c r="I431" i="12"/>
  <c r="E423" i="12"/>
  <c r="J414" i="12"/>
  <c r="J403" i="12"/>
  <c r="K373" i="12"/>
  <c r="I366" i="12"/>
  <c r="I350" i="12"/>
  <c r="J328" i="12"/>
  <c r="K301" i="12"/>
  <c r="I280" i="12"/>
  <c r="J197" i="12"/>
  <c r="I174" i="12"/>
  <c r="I164" i="12"/>
  <c r="E80" i="12"/>
  <c r="AW242" i="5"/>
  <c r="BB242" i="5" s="1"/>
  <c r="E67" i="12"/>
  <c r="I92" i="12"/>
  <c r="I125" i="12"/>
  <c r="K159" i="12"/>
  <c r="E169" i="12"/>
  <c r="K174" i="12"/>
  <c r="J191" i="12"/>
  <c r="E235" i="12"/>
  <c r="I272" i="12"/>
  <c r="I282" i="12"/>
  <c r="I301" i="12"/>
  <c r="J323" i="12"/>
  <c r="J340" i="12"/>
  <c r="E359" i="12"/>
  <c r="E371" i="12"/>
  <c r="I378" i="12"/>
  <c r="I387" i="12"/>
  <c r="E401" i="12"/>
  <c r="E412" i="12"/>
  <c r="J417" i="12"/>
  <c r="J423" i="12"/>
  <c r="J429" i="12"/>
  <c r="I433" i="12"/>
  <c r="J435" i="12"/>
  <c r="J438" i="12"/>
  <c r="K440" i="12"/>
  <c r="I444" i="12"/>
  <c r="J446" i="12"/>
  <c r="E473" i="12"/>
  <c r="J475" i="12"/>
  <c r="K477" i="12"/>
  <c r="I481" i="12"/>
  <c r="I484" i="12"/>
  <c r="J486" i="12"/>
  <c r="K488" i="12"/>
  <c r="K493" i="12"/>
  <c r="J497" i="12"/>
  <c r="K499" i="12"/>
  <c r="K501" i="12"/>
  <c r="J504" i="12"/>
  <c r="K506" i="12"/>
  <c r="E511" i="12"/>
  <c r="J513" i="12"/>
  <c r="H514" i="12" s="1"/>
  <c r="BB52" i="5"/>
  <c r="I351" i="12"/>
  <c r="K343" i="12"/>
  <c r="K330" i="12"/>
  <c r="J132" i="12"/>
  <c r="I130" i="12"/>
  <c r="K86" i="12"/>
  <c r="J543" i="12"/>
  <c r="I541" i="12"/>
  <c r="E539" i="12"/>
  <c r="K534" i="12"/>
  <c r="K529" i="12"/>
  <c r="J527" i="12"/>
  <c r="J524" i="12"/>
  <c r="J520" i="12"/>
  <c r="H521" i="12" s="1"/>
  <c r="I518" i="12"/>
  <c r="I515" i="12"/>
  <c r="K508" i="12"/>
  <c r="I506" i="12"/>
  <c r="J499" i="12"/>
  <c r="J495" i="12"/>
  <c r="H496" i="12" s="1"/>
  <c r="E493" i="12"/>
  <c r="J488" i="12"/>
  <c r="K484" i="12"/>
  <c r="J481" i="12"/>
  <c r="J477" i="12"/>
  <c r="J473" i="12"/>
  <c r="K446" i="12"/>
  <c r="K442" i="12"/>
  <c r="I440" i="12"/>
  <c r="K435" i="12"/>
  <c r="K431" i="12"/>
  <c r="E429" i="12"/>
  <c r="E420" i="12"/>
  <c r="J409" i="12"/>
  <c r="K394" i="12"/>
  <c r="J361" i="12"/>
  <c r="E345" i="12"/>
  <c r="I320" i="12"/>
  <c r="J296" i="12"/>
  <c r="K274" i="12"/>
  <c r="J214" i="12"/>
  <c r="K184" i="12"/>
  <c r="J169" i="12"/>
  <c r="I129" i="12"/>
  <c r="AW193" i="5"/>
  <c r="BB193" i="5" s="1"/>
  <c r="AW319" i="5"/>
  <c r="BB319" i="5" s="1"/>
  <c r="AW326" i="5"/>
  <c r="BB326" i="5" s="1"/>
  <c r="AW333" i="5"/>
  <c r="BB333" i="5" s="1"/>
  <c r="AW336" i="5"/>
  <c r="BB336" i="5" s="1"/>
  <c r="AW341" i="5"/>
  <c r="BB341" i="5" s="1"/>
  <c r="AW344" i="5"/>
  <c r="BB344" i="5" s="1"/>
  <c r="AW533" i="5"/>
  <c r="BB533" i="5" s="1"/>
  <c r="AW223" i="5"/>
  <c r="BB223" i="5" s="1"/>
  <c r="AW230" i="5"/>
  <c r="BB230" i="5" s="1"/>
  <c r="AW280" i="5"/>
  <c r="BB280" i="5" s="1"/>
  <c r="AW303" i="5"/>
  <c r="BB303" i="5" s="1"/>
  <c r="AW313" i="5"/>
  <c r="BB313" i="5" s="1"/>
  <c r="AW316" i="5"/>
  <c r="BB316" i="5" s="1"/>
  <c r="AW323" i="5"/>
  <c r="BB323" i="5" s="1"/>
  <c r="AW338" i="5"/>
  <c r="BB338" i="5" s="1"/>
  <c r="AW345" i="5"/>
  <c r="BB345" i="5" s="1"/>
  <c r="AW441" i="5"/>
  <c r="BB441" i="5" s="1"/>
  <c r="AW454" i="5"/>
  <c r="BB454" i="5" s="1"/>
  <c r="AW513" i="5"/>
  <c r="BB513" i="5" s="1"/>
  <c r="AW521" i="5"/>
  <c r="BB521" i="5" s="1"/>
  <c r="AW532" i="5"/>
  <c r="BB532" i="5" s="1"/>
  <c r="AW566" i="5"/>
  <c r="BB566" i="5" s="1"/>
  <c r="AW568" i="5"/>
  <c r="BB568" i="5" s="1"/>
  <c r="AW571" i="5"/>
  <c r="BB571" i="5" s="1"/>
  <c r="AW289" i="5"/>
  <c r="BB289" i="5" s="1"/>
  <c r="AW293" i="5"/>
  <c r="BB293" i="5" s="1"/>
  <c r="AW297" i="5"/>
  <c r="BB297" i="5" s="1"/>
  <c r="AW301" i="5"/>
  <c r="BB301" i="5" s="1"/>
  <c r="AW314" i="5"/>
  <c r="BB314" i="5" s="1"/>
  <c r="AW325" i="5"/>
  <c r="BB325" i="5" s="1"/>
  <c r="AW330" i="5"/>
  <c r="BB330" i="5" s="1"/>
  <c r="AW332" i="5"/>
  <c r="BB332" i="5" s="1"/>
  <c r="AW337" i="5"/>
  <c r="BB337" i="5" s="1"/>
  <c r="AW340" i="5"/>
  <c r="BB340" i="5" s="1"/>
  <c r="AW432" i="5"/>
  <c r="BB432" i="5" s="1"/>
  <c r="AW434" i="5"/>
  <c r="BB434" i="5" s="1"/>
  <c r="AW438" i="5"/>
  <c r="BB438" i="5" s="1"/>
  <c r="AW442" i="5"/>
  <c r="BB442" i="5" s="1"/>
  <c r="AW461" i="5"/>
  <c r="BB461" i="5" s="1"/>
  <c r="AW472" i="5"/>
  <c r="BB472" i="5" s="1"/>
  <c r="AW474" i="5"/>
  <c r="BB474" i="5" s="1"/>
  <c r="AW501" i="5"/>
  <c r="BB501" i="5" s="1"/>
  <c r="AW503" i="5"/>
  <c r="BB503" i="5" s="1"/>
  <c r="AW509" i="5"/>
  <c r="BB509" i="5" s="1"/>
  <c r="AW516" i="5"/>
  <c r="BB516" i="5" s="1"/>
  <c r="AW518" i="5"/>
  <c r="BB518" i="5" s="1"/>
  <c r="AW550" i="5"/>
  <c r="BB550" i="5" s="1"/>
  <c r="AW557" i="5"/>
  <c r="BB557" i="5" s="1"/>
  <c r="AW562" i="5"/>
  <c r="BB562" i="5" s="1"/>
  <c r="AW564" i="5"/>
  <c r="BB564" i="5" s="1"/>
  <c r="AW577" i="5"/>
  <c r="BB577" i="5" s="1"/>
  <c r="AW585" i="5"/>
  <c r="BB585" i="5" s="1"/>
  <c r="AS215" i="5"/>
  <c r="AW254" i="5"/>
  <c r="BB254" i="5" s="1"/>
  <c r="AW258" i="5"/>
  <c r="BB258" i="5" s="1"/>
  <c r="AW262" i="5"/>
  <c r="BB262" i="5" s="1"/>
  <c r="AW575" i="5"/>
  <c r="BB575" i="5" s="1"/>
  <c r="AW580" i="5"/>
  <c r="BB580" i="5" s="1"/>
  <c r="AW583" i="5"/>
  <c r="BB583" i="5" s="1"/>
  <c r="AB58" i="5"/>
  <c r="AW201" i="5"/>
  <c r="BB201" i="5" s="1"/>
  <c r="AW208" i="5"/>
  <c r="BB208" i="5" s="1"/>
  <c r="AW213" i="5"/>
  <c r="BB213" i="5" s="1"/>
  <c r="AW281" i="5"/>
  <c r="BB281" i="5" s="1"/>
  <c r="AW286" i="5"/>
  <c r="BB286" i="5" s="1"/>
  <c r="AW290" i="5"/>
  <c r="BB290" i="5" s="1"/>
  <c r="AW294" i="5"/>
  <c r="BB294" i="5" s="1"/>
  <c r="AW453" i="5"/>
  <c r="BB453" i="5" s="1"/>
  <c r="AW460" i="5"/>
  <c r="BB460" i="5" s="1"/>
  <c r="AW462" i="5"/>
  <c r="BB462" i="5" s="1"/>
  <c r="AW508" i="5"/>
  <c r="BB508" i="5" s="1"/>
  <c r="AW524" i="5"/>
  <c r="BB524" i="5" s="1"/>
  <c r="AW549" i="5"/>
  <c r="AW556" i="5"/>
  <c r="BB556" i="5" s="1"/>
  <c r="AW558" i="5"/>
  <c r="BB558" i="5" s="1"/>
  <c r="AW570" i="5"/>
  <c r="BB570" i="5" s="1"/>
  <c r="AW572" i="5"/>
  <c r="BB572" i="5" s="1"/>
  <c r="AW578" i="5"/>
  <c r="BB578" i="5" s="1"/>
  <c r="AW243" i="5"/>
  <c r="BB243" i="5" s="1"/>
  <c r="AW253" i="5"/>
  <c r="BB253" i="5" s="1"/>
  <c r="AW257" i="5"/>
  <c r="BB257" i="5" s="1"/>
  <c r="AW261" i="5"/>
  <c r="BB261" i="5" s="1"/>
  <c r="AW265" i="5"/>
  <c r="BB265" i="5" s="1"/>
  <c r="AW269" i="5"/>
  <c r="BB269" i="5" s="1"/>
  <c r="AW317" i="5"/>
  <c r="BB317" i="5" s="1"/>
  <c r="AW321" i="5"/>
  <c r="AW328" i="5"/>
  <c r="BB328" i="5" s="1"/>
  <c r="AW335" i="5"/>
  <c r="AW343" i="5"/>
  <c r="BB343" i="5" s="1"/>
  <c r="AW445" i="5"/>
  <c r="BB445" i="5" s="1"/>
  <c r="AW458" i="5"/>
  <c r="BB458" i="5" s="1"/>
  <c r="AW489" i="5"/>
  <c r="AW491" i="5"/>
  <c r="BB491" i="5" s="1"/>
  <c r="AW505" i="5"/>
  <c r="BB505" i="5" s="1"/>
  <c r="AW507" i="5"/>
  <c r="BB507" i="5" s="1"/>
  <c r="AW522" i="5"/>
  <c r="BB522" i="5" s="1"/>
  <c r="AW554" i="5"/>
  <c r="BB554" i="5" s="1"/>
  <c r="U245" i="12"/>
  <c r="U200" i="12"/>
  <c r="U194" i="12"/>
  <c r="U165" i="12"/>
  <c r="U164" i="12"/>
  <c r="U132" i="12"/>
  <c r="U127" i="12"/>
  <c r="U125" i="12"/>
  <c r="U18" i="12"/>
  <c r="U17" i="12"/>
  <c r="U15" i="12"/>
  <c r="K25" i="11"/>
  <c r="AS419" i="5"/>
  <c r="AW419" i="5" s="1"/>
  <c r="BB419" i="5" s="1"/>
  <c r="AC171" i="8"/>
  <c r="AC170" i="8" s="1"/>
  <c r="AC55" i="8"/>
  <c r="AC24" i="8"/>
  <c r="Y27" i="8"/>
  <c r="Y29" i="8" s="1"/>
  <c r="Y31" i="8" s="1"/>
  <c r="K27" i="8"/>
  <c r="K29" i="8" s="1"/>
  <c r="K31" i="8" s="1"/>
  <c r="U500" i="12"/>
  <c r="U499" i="12"/>
  <c r="U491" i="12"/>
  <c r="U490" i="12"/>
  <c r="U441" i="12"/>
  <c r="U440" i="12"/>
  <c r="U390" i="12"/>
  <c r="U388" i="12"/>
  <c r="U349" i="12"/>
  <c r="U347" i="12"/>
  <c r="U345" i="12"/>
  <c r="E89" i="9"/>
  <c r="G89" i="9" s="1"/>
  <c r="X69" i="9"/>
  <c r="I69" i="9"/>
  <c r="E62" i="9"/>
  <c r="G62" i="9" s="1"/>
  <c r="I43" i="9"/>
  <c r="X43" i="9"/>
  <c r="I36" i="9"/>
  <c r="X36" i="9"/>
  <c r="I29" i="9"/>
  <c r="X29" i="9"/>
  <c r="I22" i="9"/>
  <c r="X22" i="9"/>
  <c r="I13" i="9"/>
  <c r="X13" i="9"/>
  <c r="AC56" i="8"/>
  <c r="AC25" i="8"/>
  <c r="AC9" i="8"/>
  <c r="U498" i="12"/>
  <c r="U497" i="12"/>
  <c r="U495" i="12"/>
  <c r="U489" i="12"/>
  <c r="U488" i="12"/>
  <c r="U486" i="12"/>
  <c r="U439" i="12"/>
  <c r="U438" i="12"/>
  <c r="U243" i="12"/>
  <c r="U202" i="12"/>
  <c r="U196" i="12"/>
  <c r="U195" i="12"/>
  <c r="U162" i="12"/>
  <c r="U161" i="12"/>
  <c r="U130" i="12"/>
  <c r="I72" i="9"/>
  <c r="X72" i="9"/>
  <c r="I67" i="9"/>
  <c r="X67" i="9"/>
  <c r="E53" i="9"/>
  <c r="G53" i="9" s="1"/>
  <c r="AC63" i="8"/>
  <c r="AC47" i="8"/>
  <c r="K65" i="8"/>
  <c r="K67" i="8" s="1"/>
  <c r="K69" i="8" s="1"/>
  <c r="AC16" i="8"/>
  <c r="D27" i="8"/>
  <c r="D29" i="8" s="1"/>
  <c r="D31" i="8" s="1"/>
  <c r="AS296" i="5" s="1"/>
  <c r="U496" i="12"/>
  <c r="U494" i="12"/>
  <c r="U487" i="12"/>
  <c r="U485" i="12"/>
  <c r="U478" i="12"/>
  <c r="U445" i="12"/>
  <c r="U404" i="12"/>
  <c r="U403" i="12"/>
  <c r="U379" i="12"/>
  <c r="U364" i="12"/>
  <c r="U363" i="12"/>
  <c r="U361" i="12"/>
  <c r="U343" i="12"/>
  <c r="U341" i="12"/>
  <c r="U330" i="12"/>
  <c r="U322" i="12"/>
  <c r="U321" i="12"/>
  <c r="U320" i="12"/>
  <c r="U286" i="12"/>
  <c r="U276" i="12"/>
  <c r="U275" i="12"/>
  <c r="U274" i="12"/>
  <c r="U167" i="12"/>
  <c r="U160" i="12"/>
  <c r="U85" i="12"/>
  <c r="U31" i="12"/>
  <c r="U30" i="12"/>
  <c r="U28" i="12"/>
  <c r="U20" i="12"/>
  <c r="K51" i="11"/>
  <c r="K49" i="11"/>
  <c r="I70" i="9"/>
  <c r="X70" i="9"/>
  <c r="I44" i="9"/>
  <c r="X44" i="9"/>
  <c r="I30" i="9"/>
  <c r="X30" i="9"/>
  <c r="I21" i="9"/>
  <c r="X21" i="9"/>
  <c r="I12" i="9"/>
  <c r="X12" i="9"/>
  <c r="AC135" i="8"/>
  <c r="AC48" i="8"/>
  <c r="AC17" i="8"/>
  <c r="AH240" i="7"/>
  <c r="AH204" i="7"/>
  <c r="AH200" i="7"/>
  <c r="AH196" i="7"/>
  <c r="AH192" i="7"/>
  <c r="AH169" i="7"/>
  <c r="AH165" i="7"/>
  <c r="AH161" i="7"/>
  <c r="Z173" i="7"/>
  <c r="Z175" i="7" s="1"/>
  <c r="AH157" i="7"/>
  <c r="B173" i="7"/>
  <c r="B175" i="7" s="1"/>
  <c r="AH123" i="7"/>
  <c r="T139" i="7"/>
  <c r="T141" i="7" s="1"/>
  <c r="H62" i="7"/>
  <c r="H65" i="7" s="1"/>
  <c r="AH36" i="7"/>
  <c r="AH32" i="7"/>
  <c r="AH28" i="7"/>
  <c r="AH24" i="7"/>
  <c r="BB151" i="5"/>
  <c r="AH17" i="7"/>
  <c r="AH15" i="7" s="1"/>
  <c r="V51" i="5"/>
  <c r="BB51" i="5" s="1"/>
  <c r="V14" i="6"/>
  <c r="V15" i="6"/>
  <c r="J100" i="10"/>
  <c r="I47" i="9"/>
  <c r="I39" i="9"/>
  <c r="I33" i="9"/>
  <c r="I25" i="9"/>
  <c r="I16" i="9"/>
  <c r="I8" i="9"/>
  <c r="AC62" i="8"/>
  <c r="AC54" i="8"/>
  <c r="AC46" i="8"/>
  <c r="AC23" i="8"/>
  <c r="AC15" i="8"/>
  <c r="AH239" i="7"/>
  <c r="AH235" i="7"/>
  <c r="AH231" i="7"/>
  <c r="AH227" i="7"/>
  <c r="H114" i="7"/>
  <c r="H117" i="7" s="1"/>
  <c r="T62" i="7"/>
  <c r="T65" i="7" s="1"/>
  <c r="AS428" i="5"/>
  <c r="AW428" i="5" s="1"/>
  <c r="T109" i="6"/>
  <c r="V109" i="6" s="1"/>
  <c r="AC60" i="8"/>
  <c r="AC52" i="8"/>
  <c r="R65" i="8"/>
  <c r="R67" i="8" s="1"/>
  <c r="R69" i="8" s="1"/>
  <c r="D65" i="8"/>
  <c r="D67" i="8" s="1"/>
  <c r="D69" i="8" s="1"/>
  <c r="AC21" i="8"/>
  <c r="AC13" i="8"/>
  <c r="AC8" i="8"/>
  <c r="B245" i="7"/>
  <c r="B247" i="7" s="1"/>
  <c r="AH238" i="7"/>
  <c r="AH234" i="7"/>
  <c r="AH230" i="7"/>
  <c r="AH226" i="7"/>
  <c r="B209" i="7"/>
  <c r="B211" i="7" s="1"/>
  <c r="AS322" i="5" s="1"/>
  <c r="AW322" i="5" s="1"/>
  <c r="AH202" i="7"/>
  <c r="AH198" i="7"/>
  <c r="AH194" i="7"/>
  <c r="AH190" i="7"/>
  <c r="AH171" i="7"/>
  <c r="AH167" i="7"/>
  <c r="AH163" i="7"/>
  <c r="AH159" i="7"/>
  <c r="AH141" i="7"/>
  <c r="T114" i="7"/>
  <c r="T117" i="7" s="1"/>
  <c r="AH70" i="7"/>
  <c r="T88" i="7"/>
  <c r="T91" i="7" s="1"/>
  <c r="AH34" i="7"/>
  <c r="AH30" i="7"/>
  <c r="AH26" i="7"/>
  <c r="Z38" i="7"/>
  <c r="Z41" i="7" s="1"/>
  <c r="AH22" i="7"/>
  <c r="B38" i="7"/>
  <c r="B41" i="7" s="1"/>
  <c r="V16" i="6"/>
  <c r="J101" i="10"/>
  <c r="X48" i="9"/>
  <c r="X40" i="9"/>
  <c r="X34" i="9"/>
  <c r="X26" i="9"/>
  <c r="X17" i="9"/>
  <c r="X9" i="9"/>
  <c r="AC58" i="8"/>
  <c r="AC50" i="8"/>
  <c r="AC19" i="8"/>
  <c r="AC11" i="8"/>
  <c r="AH241" i="7"/>
  <c r="AH237" i="7"/>
  <c r="AH233" i="7"/>
  <c r="AH229" i="7"/>
  <c r="AH205" i="7"/>
  <c r="AH201" i="7"/>
  <c r="AH197" i="7"/>
  <c r="AH193" i="7"/>
  <c r="N209" i="7"/>
  <c r="N211" i="7" s="1"/>
  <c r="AH170" i="7"/>
  <c r="AH166" i="7"/>
  <c r="AH162" i="7"/>
  <c r="AH158" i="7"/>
  <c r="AH33" i="7"/>
  <c r="AH29" i="7"/>
  <c r="AH25" i="7"/>
  <c r="AH21" i="7"/>
  <c r="V6" i="6"/>
  <c r="T46" i="6"/>
  <c r="V46" i="6" s="1"/>
  <c r="T92" i="6"/>
  <c r="V92" i="6" s="1"/>
  <c r="E27" i="12"/>
  <c r="K43" i="12"/>
  <c r="K54" i="12"/>
  <c r="E59" i="12"/>
  <c r="K70" i="12"/>
  <c r="K80" i="12"/>
  <c r="I85" i="12"/>
  <c r="J92" i="12"/>
  <c r="J95" i="12"/>
  <c r="E125" i="12"/>
  <c r="I127" i="12"/>
  <c r="K129" i="12"/>
  <c r="I159" i="12"/>
  <c r="J161" i="12"/>
  <c r="J164" i="12"/>
  <c r="K166" i="12"/>
  <c r="E181" i="12"/>
  <c r="E191" i="12"/>
  <c r="E194" i="12"/>
  <c r="I194" i="12"/>
  <c r="E214" i="12"/>
  <c r="E227" i="12"/>
  <c r="I245" i="12"/>
  <c r="E272" i="12"/>
  <c r="I274" i="12"/>
  <c r="I277" i="12"/>
  <c r="J280" i="12"/>
  <c r="I286" i="12"/>
  <c r="K296" i="12"/>
  <c r="J318" i="12"/>
  <c r="K320" i="12"/>
  <c r="I328" i="12"/>
  <c r="I330" i="12"/>
  <c r="I340" i="12"/>
  <c r="J345" i="12"/>
  <c r="E356" i="12"/>
  <c r="I363" i="12"/>
  <c r="K366" i="12"/>
  <c r="I371" i="12"/>
  <c r="J373" i="12"/>
  <c r="K375" i="12"/>
  <c r="K378" i="12"/>
  <c r="K387" i="12"/>
  <c r="I394" i="12"/>
  <c r="I396" i="12"/>
  <c r="J401" i="12"/>
  <c r="K403" i="12"/>
  <c r="I13" i="12"/>
  <c r="J54" i="12"/>
  <c r="I83" i="12"/>
  <c r="E92" i="12"/>
  <c r="I95" i="12"/>
  <c r="J127" i="12"/>
  <c r="I131" i="12"/>
  <c r="J159" i="12"/>
  <c r="E164" i="12"/>
  <c r="J166" i="12"/>
  <c r="I171" i="12"/>
  <c r="J174" i="12"/>
  <c r="I181" i="12"/>
  <c r="K191" i="12"/>
  <c r="I197" i="12"/>
  <c r="K194" i="12"/>
  <c r="K214" i="12"/>
  <c r="J245" i="12"/>
  <c r="J274" i="12"/>
  <c r="J282" i="12"/>
  <c r="I296" i="12"/>
  <c r="J299" i="12"/>
  <c r="E318" i="12"/>
  <c r="J320" i="12"/>
  <c r="I326" i="12"/>
  <c r="E340" i="12"/>
  <c r="I342" i="12"/>
  <c r="I348" i="12"/>
  <c r="I361" i="12"/>
  <c r="K363" i="12"/>
  <c r="J366" i="12"/>
  <c r="J371" i="12"/>
  <c r="I375" i="12"/>
  <c r="J378" i="12"/>
  <c r="E381" i="12"/>
  <c r="O381" i="12" s="1"/>
  <c r="R381" i="12" s="1"/>
  <c r="J387" i="12"/>
  <c r="J394" i="12"/>
  <c r="K396" i="12"/>
  <c r="I401" i="12"/>
  <c r="E406" i="12"/>
  <c r="O406" i="12" s="1"/>
  <c r="R406" i="12" s="1"/>
  <c r="I409" i="12"/>
  <c r="I412" i="12"/>
  <c r="K414" i="12"/>
  <c r="K417" i="12"/>
  <c r="K420" i="12"/>
  <c r="K423" i="12"/>
  <c r="J13" i="12"/>
  <c r="E43" i="12"/>
  <c r="I56" i="12"/>
  <c r="I43" i="12"/>
  <c r="E54" i="12"/>
  <c r="J56" i="12"/>
  <c r="I59" i="12"/>
  <c r="I70" i="12"/>
  <c r="I80" i="12"/>
  <c r="K92" i="12"/>
  <c r="J125" i="12"/>
  <c r="J129" i="12"/>
  <c r="I161" i="12"/>
  <c r="K164" i="12"/>
  <c r="I169" i="12"/>
  <c r="K171" i="12"/>
  <c r="J184" i="12"/>
  <c r="K181" i="12"/>
  <c r="I191" i="12"/>
  <c r="K197" i="12"/>
  <c r="I214" i="12"/>
  <c r="E240" i="12"/>
  <c r="J272" i="12"/>
  <c r="J284" i="12"/>
  <c r="J301" i="12"/>
  <c r="I323" i="12"/>
  <c r="K340" i="12"/>
  <c r="I345" i="12"/>
  <c r="I359" i="12"/>
  <c r="E366" i="12"/>
  <c r="I373" i="12"/>
  <c r="E378" i="12"/>
  <c r="E387" i="12"/>
  <c r="J389" i="12"/>
  <c r="I398" i="12"/>
  <c r="I403" i="12"/>
  <c r="K409" i="12"/>
  <c r="I414" i="12"/>
  <c r="I417" i="12"/>
  <c r="I420" i="12"/>
  <c r="I423" i="12"/>
  <c r="U228" i="12"/>
  <c r="U32" i="12"/>
  <c r="U35" i="12" s="1"/>
  <c r="J80" i="12"/>
  <c r="E77" i="12"/>
  <c r="J43" i="12"/>
  <c r="BB178" i="5"/>
  <c r="AK170" i="5"/>
  <c r="AO170" i="5" s="1"/>
  <c r="AV170" i="5" s="1"/>
  <c r="AK169" i="5"/>
  <c r="AO169" i="5" s="1"/>
  <c r="AV169" i="5" s="1"/>
  <c r="AK168" i="5"/>
  <c r="AO168" i="5" s="1"/>
  <c r="AV168" i="5" s="1"/>
  <c r="AK167" i="5"/>
  <c r="AO167" i="5" s="1"/>
  <c r="AV167" i="5" s="1"/>
  <c r="AK166" i="5"/>
  <c r="AO166" i="5" s="1"/>
  <c r="AV166" i="5" s="1"/>
  <c r="AK165" i="5"/>
  <c r="AO165" i="5" s="1"/>
  <c r="AV165" i="5" s="1"/>
  <c r="K56" i="12"/>
  <c r="AR138" i="5"/>
  <c r="AS273" i="5"/>
  <c r="AW192" i="5"/>
  <c r="AW222" i="5"/>
  <c r="AW456" i="5"/>
  <c r="BB456" i="5" s="1"/>
  <c r="AF97" i="5"/>
  <c r="AF98" i="5" s="1"/>
  <c r="V19" i="5"/>
  <c r="AS417" i="5"/>
  <c r="AW417" i="5" s="1"/>
  <c r="BB417" i="5" s="1"/>
  <c r="AS370" i="5"/>
  <c r="AW370" i="5" s="1"/>
  <c r="BB370" i="5" s="1"/>
  <c r="AS415" i="5"/>
  <c r="AS394" i="5"/>
  <c r="AS354" i="5"/>
  <c r="AW354" i="5" s="1"/>
  <c r="BB354" i="5" s="1"/>
  <c r="AS352" i="5"/>
  <c r="AW352" i="5" s="1"/>
  <c r="BB352" i="5" s="1"/>
  <c r="AS331" i="5"/>
  <c r="AW331" i="5" s="1"/>
  <c r="BB331" i="5" s="1"/>
  <c r="AS591" i="5"/>
  <c r="AW591" i="5" s="1"/>
  <c r="BB591" i="5" s="1"/>
  <c r="AS589" i="5"/>
  <c r="AW589" i="5" s="1"/>
  <c r="BB589" i="5" s="1"/>
  <c r="AF91" i="7"/>
  <c r="AW579" i="5"/>
  <c r="BB579" i="5" s="1"/>
  <c r="AS560" i="5"/>
  <c r="AW560" i="5" s="1"/>
  <c r="BB560" i="5" s="1"/>
  <c r="AS590" i="5"/>
  <c r="AW590" i="5" s="1"/>
  <c r="BB590" i="5" s="1"/>
  <c r="AS586" i="5"/>
  <c r="AW586" i="5" s="1"/>
  <c r="BB586" i="5" s="1"/>
  <c r="BB128" i="5"/>
  <c r="BB136" i="5" s="1"/>
  <c r="V24" i="6"/>
  <c r="AH42" i="7"/>
  <c r="AH63" i="7"/>
  <c r="AH18" i="7"/>
  <c r="AH39" i="7"/>
  <c r="K357" i="12"/>
  <c r="K356" i="12"/>
  <c r="J357" i="12"/>
  <c r="J356" i="12"/>
  <c r="I357" i="12"/>
  <c r="I356" i="12"/>
  <c r="Q91" i="9"/>
  <c r="K65" i="11"/>
  <c r="K64" i="11"/>
  <c r="I174" i="10" s="1"/>
  <c r="O174" i="10" s="1"/>
  <c r="K63" i="11"/>
  <c r="I184" i="10" s="1"/>
  <c r="O184" i="10" s="1"/>
  <c r="J176" i="10"/>
  <c r="K62" i="11"/>
  <c r="I179" i="10" s="1"/>
  <c r="O179" i="10" s="1"/>
  <c r="N47" i="11"/>
  <c r="L47" i="11"/>
  <c r="N46" i="11"/>
  <c r="L46" i="11"/>
  <c r="N45" i="11"/>
  <c r="L45" i="11"/>
  <c r="N44" i="11"/>
  <c r="L44" i="11"/>
  <c r="N43" i="11"/>
  <c r="L43" i="11"/>
  <c r="N42" i="11"/>
  <c r="L42" i="11"/>
  <c r="N41" i="11"/>
  <c r="L41" i="11"/>
  <c r="N40" i="11"/>
  <c r="L40" i="11"/>
  <c r="N39" i="11"/>
  <c r="L39" i="11"/>
  <c r="N38" i="11"/>
  <c r="L38" i="11"/>
  <c r="N37" i="11"/>
  <c r="L37" i="11"/>
  <c r="N36" i="11"/>
  <c r="L36" i="11"/>
  <c r="N34" i="11"/>
  <c r="L34" i="11"/>
  <c r="N33" i="11"/>
  <c r="L33" i="11"/>
  <c r="N32" i="11"/>
  <c r="L32" i="11"/>
  <c r="N22" i="11"/>
  <c r="L22" i="11"/>
  <c r="N21" i="11"/>
  <c r="L21" i="11"/>
  <c r="N20" i="11"/>
  <c r="L20" i="11"/>
  <c r="N19" i="11"/>
  <c r="L19" i="11"/>
  <c r="N18" i="11"/>
  <c r="L18" i="11"/>
  <c r="N17" i="11"/>
  <c r="L17" i="11"/>
  <c r="N16" i="11"/>
  <c r="L16" i="11"/>
  <c r="N15" i="11"/>
  <c r="L15" i="11"/>
  <c r="N14" i="11"/>
  <c r="L14" i="11"/>
  <c r="N13" i="11"/>
  <c r="L13" i="11"/>
  <c r="N12" i="11"/>
  <c r="L12" i="11"/>
  <c r="N11" i="11"/>
  <c r="L11" i="11"/>
  <c r="N10" i="11"/>
  <c r="L10" i="11"/>
  <c r="N9" i="11"/>
  <c r="L9" i="11"/>
  <c r="K9" i="11"/>
  <c r="N8" i="11"/>
  <c r="L8" i="11"/>
  <c r="I121" i="10" s="1"/>
  <c r="K8" i="11"/>
  <c r="I136" i="10" s="1"/>
  <c r="O136" i="10" s="1"/>
  <c r="K61" i="11"/>
  <c r="I177" i="10" s="1"/>
  <c r="O177" i="10" s="1"/>
  <c r="I182" i="10"/>
  <c r="J182" i="10" s="1"/>
  <c r="I173" i="10"/>
  <c r="L7" i="11"/>
  <c r="N7" i="11"/>
  <c r="N35" i="11"/>
  <c r="L35" i="11"/>
  <c r="V109" i="5"/>
  <c r="AK164" i="5"/>
  <c r="AO164" i="5" s="1"/>
  <c r="AV164" i="5" s="1"/>
  <c r="X99" i="5"/>
  <c r="U11" i="13"/>
  <c r="J11" i="13" s="1"/>
  <c r="U5" i="13"/>
  <c r="J5" i="13" s="1"/>
  <c r="E471" i="12"/>
  <c r="E459" i="12"/>
  <c r="K470" i="12"/>
  <c r="K469" i="12"/>
  <c r="J470" i="12"/>
  <c r="J469" i="12"/>
  <c r="I470" i="12"/>
  <c r="I469" i="12"/>
  <c r="K468" i="12"/>
  <c r="K467" i="12"/>
  <c r="J468" i="12"/>
  <c r="J467" i="12"/>
  <c r="I468" i="12"/>
  <c r="I467" i="12"/>
  <c r="J466" i="12"/>
  <c r="J465" i="12"/>
  <c r="I466" i="12"/>
  <c r="I465" i="12"/>
  <c r="J464" i="12"/>
  <c r="J463" i="12"/>
  <c r="I464" i="12"/>
  <c r="I463" i="12"/>
  <c r="J462" i="12"/>
  <c r="J461" i="12"/>
  <c r="I462" i="12"/>
  <c r="I461" i="12"/>
  <c r="K458" i="12"/>
  <c r="K457" i="12"/>
  <c r="J458" i="12"/>
  <c r="J457" i="12"/>
  <c r="I458" i="12"/>
  <c r="I457" i="12"/>
  <c r="K456" i="12"/>
  <c r="K455" i="12"/>
  <c r="J456" i="12"/>
  <c r="J455" i="12"/>
  <c r="I456" i="12"/>
  <c r="I455" i="12"/>
  <c r="K454" i="12"/>
  <c r="K453" i="12"/>
  <c r="J454" i="12"/>
  <c r="J453" i="12"/>
  <c r="I454" i="12"/>
  <c r="I453" i="12"/>
  <c r="K452" i="12"/>
  <c r="K451" i="12"/>
  <c r="J452" i="12"/>
  <c r="J451" i="12"/>
  <c r="I452" i="12"/>
  <c r="I451" i="12"/>
  <c r="J450" i="12"/>
  <c r="J449" i="12"/>
  <c r="I450" i="12"/>
  <c r="I449" i="12"/>
  <c r="H530" i="12"/>
  <c r="U288" i="12"/>
  <c r="U290" i="12" s="1"/>
  <c r="L172" i="12"/>
  <c r="L173" i="12" s="1"/>
  <c r="U176" i="12"/>
  <c r="U332" i="12"/>
  <c r="U334" i="12" s="1"/>
  <c r="K238" i="12"/>
  <c r="K237" i="12"/>
  <c r="J238" i="12"/>
  <c r="J237" i="12"/>
  <c r="I238" i="12"/>
  <c r="I237" i="12"/>
  <c r="L195" i="12"/>
  <c r="L196" i="12" s="1"/>
  <c r="L182" i="12"/>
  <c r="L183" i="12" s="1"/>
  <c r="U186" i="12"/>
  <c r="U233" i="12"/>
  <c r="U232" i="12"/>
  <c r="L28" i="12"/>
  <c r="L29" i="12" s="1"/>
  <c r="U22" i="12"/>
  <c r="E13" i="12"/>
  <c r="K233" i="12"/>
  <c r="K232" i="12"/>
  <c r="J233" i="12"/>
  <c r="J232" i="12"/>
  <c r="I233" i="12"/>
  <c r="I232" i="12"/>
  <c r="E232" i="12"/>
  <c r="I487" i="12"/>
  <c r="E426" i="12"/>
  <c r="E392" i="12"/>
  <c r="K393" i="12"/>
  <c r="K392" i="12"/>
  <c r="J393" i="12"/>
  <c r="J392" i="12"/>
  <c r="I393" i="12"/>
  <c r="I392" i="12"/>
  <c r="U370" i="12"/>
  <c r="L351" i="12"/>
  <c r="L350" i="12"/>
  <c r="L343" i="12"/>
  <c r="L342" i="12"/>
  <c r="L331" i="12"/>
  <c r="L330" i="12"/>
  <c r="L287" i="12"/>
  <c r="L286" i="12"/>
  <c r="K243" i="12"/>
  <c r="K242" i="12"/>
  <c r="J243" i="12"/>
  <c r="J242" i="12"/>
  <c r="I243" i="12"/>
  <c r="I242" i="12"/>
  <c r="K241" i="12"/>
  <c r="K240" i="12"/>
  <c r="J241" i="12"/>
  <c r="J240" i="12"/>
  <c r="I241" i="12"/>
  <c r="I240" i="12"/>
  <c r="K236" i="12"/>
  <c r="K235" i="12"/>
  <c r="J236" i="12"/>
  <c r="J235" i="12"/>
  <c r="I236" i="12"/>
  <c r="I235" i="12"/>
  <c r="K230" i="12"/>
  <c r="K229" i="12"/>
  <c r="J230" i="12"/>
  <c r="J229" i="12"/>
  <c r="I230" i="12"/>
  <c r="I229" i="12"/>
  <c r="E159" i="12"/>
  <c r="K228" i="12"/>
  <c r="K227" i="12"/>
  <c r="J228" i="12"/>
  <c r="J227" i="12"/>
  <c r="I228" i="12"/>
  <c r="I227" i="12"/>
  <c r="J217" i="12"/>
  <c r="J216" i="12"/>
  <c r="I217" i="12"/>
  <c r="I216" i="12"/>
  <c r="K219" i="12"/>
  <c r="J219" i="12"/>
  <c r="I219" i="12"/>
  <c r="K218" i="12"/>
  <c r="J218" i="12"/>
  <c r="I218" i="12"/>
  <c r="L86" i="12"/>
  <c r="L85" i="12"/>
  <c r="I65" i="12"/>
  <c r="I64" i="12"/>
  <c r="K62" i="12"/>
  <c r="K61" i="12"/>
  <c r="J62" i="12"/>
  <c r="J61" i="12"/>
  <c r="I62" i="12"/>
  <c r="I61" i="12"/>
  <c r="K60" i="12"/>
  <c r="K59" i="12"/>
  <c r="J60" i="12"/>
  <c r="J59" i="12"/>
  <c r="I60" i="12"/>
  <c r="E64" i="12"/>
  <c r="K65" i="12"/>
  <c r="K64" i="12"/>
  <c r="J65" i="12"/>
  <c r="J64" i="12"/>
  <c r="O55" i="10"/>
  <c r="J55" i="10"/>
  <c r="O176" i="10"/>
  <c r="AL27" i="5"/>
  <c r="AL24" i="5" s="1"/>
  <c r="AR24" i="5" s="1"/>
  <c r="V25" i="5"/>
  <c r="J172" i="10"/>
  <c r="O172" i="10"/>
  <c r="AH64" i="7"/>
  <c r="AH62" i="7"/>
  <c r="AH61" i="7"/>
  <c r="AH44" i="7"/>
  <c r="AH43" i="7"/>
  <c r="AH40" i="7"/>
  <c r="AH38" i="7"/>
  <c r="AH37" i="7"/>
  <c r="AH20" i="7"/>
  <c r="AH19" i="7"/>
  <c r="AV183" i="5" l="1"/>
  <c r="BB311" i="5"/>
  <c r="AW357" i="5"/>
  <c r="BB251" i="5"/>
  <c r="AW273" i="5"/>
  <c r="AW244" i="5"/>
  <c r="AW215" i="5"/>
  <c r="J136" i="10"/>
  <c r="I105" i="10"/>
  <c r="O105" i="10" s="1"/>
  <c r="I106" i="10"/>
  <c r="O106" i="10" s="1"/>
  <c r="O39" i="10"/>
  <c r="O107" i="10"/>
  <c r="I19" i="10"/>
  <c r="J19" i="10" s="1"/>
  <c r="I24" i="10"/>
  <c r="J24" i="10" s="1"/>
  <c r="I104" i="10"/>
  <c r="L302" i="12"/>
  <c r="K300" i="12"/>
  <c r="O14" i="10"/>
  <c r="J14" i="10"/>
  <c r="AW467" i="5"/>
  <c r="BB467" i="5" s="1"/>
  <c r="BB134" i="5"/>
  <c r="BB135" i="5"/>
  <c r="BB133" i="5"/>
  <c r="BB131" i="5"/>
  <c r="BB132" i="5"/>
  <c r="BB335" i="5"/>
  <c r="BB342" i="5"/>
  <c r="BB321" i="5"/>
  <c r="I30" i="10"/>
  <c r="J30" i="10" s="1"/>
  <c r="I33" i="10"/>
  <c r="I137" i="10"/>
  <c r="J137" i="10" s="1"/>
  <c r="I18" i="10"/>
  <c r="I119" i="10"/>
  <c r="I120" i="10"/>
  <c r="I123" i="10" s="1"/>
  <c r="AW296" i="5"/>
  <c r="BB296" i="5" s="1"/>
  <c r="I43" i="10"/>
  <c r="O43" i="10" s="1"/>
  <c r="I20" i="10"/>
  <c r="I13" i="10"/>
  <c r="O13" i="10" s="1"/>
  <c r="I31" i="10"/>
  <c r="BB320" i="5"/>
  <c r="AS563" i="5"/>
  <c r="AW563" i="5" s="1"/>
  <c r="BB563" i="5" s="1"/>
  <c r="AS552" i="5"/>
  <c r="AW552" i="5" s="1"/>
  <c r="BB552" i="5" s="1"/>
  <c r="AS284" i="5"/>
  <c r="AW284" i="5" s="1"/>
  <c r="BB284" i="5" s="1"/>
  <c r="AF139" i="5"/>
  <c r="AB139" i="5"/>
  <c r="AW468" i="5"/>
  <c r="BB468" i="5" s="1"/>
  <c r="AS302" i="5"/>
  <c r="C4" i="8"/>
  <c r="AW415" i="5"/>
  <c r="BB415" i="5" s="1"/>
  <c r="AW409" i="5"/>
  <c r="BB409" i="5" s="1"/>
  <c r="BB241" i="5"/>
  <c r="BB240" i="5"/>
  <c r="AW527" i="5"/>
  <c r="BB527" i="5" s="1"/>
  <c r="AC120" i="8"/>
  <c r="AC134" i="8"/>
  <c r="AV617" i="5"/>
  <c r="BB146" i="5"/>
  <c r="H152" i="12"/>
  <c r="AJ616" i="5"/>
  <c r="AN616" i="5" s="1"/>
  <c r="AV616" i="5" s="1"/>
  <c r="H19" i="12"/>
  <c r="BB489" i="5"/>
  <c r="H205" i="12"/>
  <c r="T11" i="13"/>
  <c r="W11" i="13" s="1"/>
  <c r="AH247" i="7"/>
  <c r="AH244" i="7" s="1"/>
  <c r="AH16" i="7"/>
  <c r="AH120" i="7"/>
  <c r="AH119" i="7"/>
  <c r="AC157" i="8"/>
  <c r="AC155" i="8"/>
  <c r="AC156" i="8"/>
  <c r="AH138" i="7"/>
  <c r="AH139" i="7"/>
  <c r="AH140" i="7"/>
  <c r="I135" i="10"/>
  <c r="O135" i="10" s="1"/>
  <c r="AC119" i="8"/>
  <c r="AH175" i="7"/>
  <c r="AC191" i="8"/>
  <c r="AC192" i="8"/>
  <c r="AC193" i="8"/>
  <c r="AC121" i="8"/>
  <c r="AC136" i="8"/>
  <c r="I11" i="10"/>
  <c r="O11" i="10" s="1"/>
  <c r="O45" i="10"/>
  <c r="J45" i="10"/>
  <c r="AB64" i="5"/>
  <c r="AB60" i="5"/>
  <c r="BB60" i="5"/>
  <c r="BB322" i="5"/>
  <c r="BB549" i="5"/>
  <c r="J54" i="10"/>
  <c r="E50" i="9"/>
  <c r="G50" i="9" s="1"/>
  <c r="E20" i="9"/>
  <c r="G20" i="9" s="1"/>
  <c r="E35" i="9"/>
  <c r="AH117" i="7"/>
  <c r="AH113" i="7" s="1"/>
  <c r="H304" i="12"/>
  <c r="J174" i="10"/>
  <c r="J184" i="10"/>
  <c r="J179" i="10"/>
  <c r="J177" i="10"/>
  <c r="H85" i="12"/>
  <c r="H86" i="12" s="1"/>
  <c r="H350" i="12"/>
  <c r="H351" i="12" s="1"/>
  <c r="H342" i="12"/>
  <c r="H343" i="12" s="1"/>
  <c r="I89" i="12"/>
  <c r="J89" i="12" s="1"/>
  <c r="L81" i="12" s="1"/>
  <c r="L82" i="12" s="1"/>
  <c r="H82" i="12" s="1"/>
  <c r="P13" i="12"/>
  <c r="H286" i="12"/>
  <c r="H287" i="12" s="1"/>
  <c r="P125" i="12"/>
  <c r="P24" i="12"/>
  <c r="Q24" i="12" s="1"/>
  <c r="L18" i="12" s="1"/>
  <c r="H18" i="12" s="1"/>
  <c r="P366" i="12"/>
  <c r="H20" i="12"/>
  <c r="H21" i="12" s="1"/>
  <c r="H330" i="12"/>
  <c r="H331" i="12" s="1"/>
  <c r="P40" i="12"/>
  <c r="P250" i="12"/>
  <c r="I427" i="12"/>
  <c r="H427" i="12" s="1"/>
  <c r="P426" i="12" s="1"/>
  <c r="P43" i="12"/>
  <c r="H398" i="12"/>
  <c r="H399" i="12" s="1"/>
  <c r="P80" i="12"/>
  <c r="H131" i="12"/>
  <c r="H132" i="12" s="1"/>
  <c r="H423" i="12"/>
  <c r="H424" i="12" s="1"/>
  <c r="N423" i="12" s="1"/>
  <c r="P261" i="12"/>
  <c r="I38" i="12"/>
  <c r="AJ215" i="5"/>
  <c r="AJ273" i="5"/>
  <c r="BB57" i="5"/>
  <c r="BB70" i="5" s="1"/>
  <c r="AH121" i="7"/>
  <c r="AH91" i="7"/>
  <c r="AH89" i="7" s="1"/>
  <c r="X98" i="5"/>
  <c r="AJ83" i="5" s="1"/>
  <c r="AC69" i="8"/>
  <c r="AC31" i="8"/>
  <c r="AB65" i="5"/>
  <c r="AF211" i="7"/>
  <c r="AH211" i="7" s="1"/>
  <c r="AH187" i="7" s="1"/>
  <c r="AS588" i="5"/>
  <c r="I80" i="9"/>
  <c r="AB61" i="5"/>
  <c r="BB61" i="5"/>
  <c r="V30" i="6"/>
  <c r="L150" i="12"/>
  <c r="H251" i="12"/>
  <c r="H413" i="12"/>
  <c r="L94" i="12"/>
  <c r="H141" i="12"/>
  <c r="N140" i="12" s="1"/>
  <c r="O140" i="12" s="1"/>
  <c r="R140" i="12" s="1"/>
  <c r="H144" i="12"/>
  <c r="N143" i="12" s="1"/>
  <c r="O143" i="12" s="1"/>
  <c r="R143" i="12" s="1"/>
  <c r="L251" i="12"/>
  <c r="H264" i="12"/>
  <c r="H253" i="12"/>
  <c r="H207" i="12"/>
  <c r="BB175" i="5"/>
  <c r="BB180" i="5" s="1"/>
  <c r="H259" i="12"/>
  <c r="H257" i="12"/>
  <c r="H246" i="12"/>
  <c r="H268" i="12"/>
  <c r="H266" i="12"/>
  <c r="H262" i="12"/>
  <c r="H270" i="12"/>
  <c r="H255" i="12"/>
  <c r="H155" i="12"/>
  <c r="H150" i="12"/>
  <c r="H157" i="12"/>
  <c r="H147" i="12"/>
  <c r="N146" i="12" s="1"/>
  <c r="O146" i="12" s="1"/>
  <c r="R146" i="12" s="1"/>
  <c r="X56" i="9"/>
  <c r="H123" i="12"/>
  <c r="N122" i="12" s="1"/>
  <c r="O122" i="12" s="1"/>
  <c r="R122" i="12" s="1"/>
  <c r="H135" i="12"/>
  <c r="N134" i="12" s="1"/>
  <c r="H138" i="12"/>
  <c r="N137" i="12" s="1"/>
  <c r="O137" i="12" s="1"/>
  <c r="R137" i="12" s="1"/>
  <c r="H114" i="12"/>
  <c r="H120" i="12"/>
  <c r="N119" i="12" s="1"/>
  <c r="O119" i="12" s="1"/>
  <c r="R119" i="12" s="1"/>
  <c r="H112" i="12"/>
  <c r="H117" i="12"/>
  <c r="N116" i="12" s="1"/>
  <c r="O116" i="12" s="1"/>
  <c r="R116" i="12" s="1"/>
  <c r="H109" i="12"/>
  <c r="N108" i="12" s="1"/>
  <c r="O108" i="12" s="1"/>
  <c r="R108" i="12" s="1"/>
  <c r="H106" i="12"/>
  <c r="N105" i="12" s="1"/>
  <c r="O105" i="12" s="1"/>
  <c r="R105" i="12" s="1"/>
  <c r="L248" i="12"/>
  <c r="H248" i="12" s="1"/>
  <c r="H41" i="12"/>
  <c r="N40" i="12" s="1"/>
  <c r="O40" i="12" s="1"/>
  <c r="H68" i="12"/>
  <c r="H69" i="12"/>
  <c r="U33" i="12"/>
  <c r="U34" i="12"/>
  <c r="H84" i="12"/>
  <c r="H170" i="12"/>
  <c r="H402" i="12"/>
  <c r="H319" i="12"/>
  <c r="H362" i="12"/>
  <c r="H162" i="12"/>
  <c r="H273" i="12"/>
  <c r="H418" i="12"/>
  <c r="N417" i="12" s="1"/>
  <c r="O417" i="12" s="1"/>
  <c r="R417" i="12" s="1"/>
  <c r="H372" i="12"/>
  <c r="N371" i="12" s="1"/>
  <c r="O371" i="12" s="1"/>
  <c r="R371" i="12" s="1"/>
  <c r="H525" i="12"/>
  <c r="N518" i="12" s="1"/>
  <c r="O518" i="12" s="1"/>
  <c r="R518" i="12" s="1"/>
  <c r="H376" i="12"/>
  <c r="N375" i="12" s="1"/>
  <c r="O375" i="12" s="1"/>
  <c r="R375" i="12" s="1"/>
  <c r="H160" i="12"/>
  <c r="H128" i="12"/>
  <c r="O182" i="10"/>
  <c r="I83" i="9"/>
  <c r="H528" i="12"/>
  <c r="N527" i="12" s="1"/>
  <c r="O527" i="12" s="1"/>
  <c r="R527" i="12" s="1"/>
  <c r="H404" i="12"/>
  <c r="H544" i="12"/>
  <c r="H390" i="12"/>
  <c r="H327" i="12"/>
  <c r="H215" i="12"/>
  <c r="H329" i="12"/>
  <c r="H434" i="12"/>
  <c r="H491" i="12"/>
  <c r="N484" i="12" s="1"/>
  <c r="O484" i="12" s="1"/>
  <c r="R484" i="12" s="1"/>
  <c r="H29" i="12"/>
  <c r="H185" i="12"/>
  <c r="H126" i="12"/>
  <c r="H388" i="12"/>
  <c r="H430" i="12"/>
  <c r="H198" i="12"/>
  <c r="H14" i="12"/>
  <c r="H546" i="12"/>
  <c r="H367" i="12"/>
  <c r="H281" i="12"/>
  <c r="H167" i="12"/>
  <c r="H165" i="12"/>
  <c r="H130" i="12"/>
  <c r="H374" i="12"/>
  <c r="N373" i="12" s="1"/>
  <c r="O373" i="12" s="1"/>
  <c r="R373" i="12" s="1"/>
  <c r="H415" i="12"/>
  <c r="H421" i="12"/>
  <c r="N420" i="12" s="1"/>
  <c r="O420" i="12" s="1"/>
  <c r="R420" i="12" s="1"/>
  <c r="H55" i="12"/>
  <c r="H516" i="12"/>
  <c r="N511" i="12" s="1"/>
  <c r="O511" i="12" s="1"/>
  <c r="R511" i="12" s="1"/>
  <c r="H542" i="12"/>
  <c r="H360" i="12"/>
  <c r="H349" i="12"/>
  <c r="H283" i="12"/>
  <c r="H175" i="12"/>
  <c r="H500" i="12"/>
  <c r="H480" i="12"/>
  <c r="H285" i="12"/>
  <c r="H445" i="12"/>
  <c r="H103" i="12"/>
  <c r="N102" i="12" s="1"/>
  <c r="H96" i="12"/>
  <c r="H341" i="12"/>
  <c r="H31" i="12"/>
  <c r="AB24" i="5"/>
  <c r="AB51" i="5"/>
  <c r="AF51" i="5" s="1"/>
  <c r="AV51" i="5" s="1"/>
  <c r="AS482" i="5"/>
  <c r="BB50" i="5"/>
  <c r="BB56" i="5" s="1"/>
  <c r="H65" i="12"/>
  <c r="N64" i="12" s="1"/>
  <c r="O64" i="12" s="1"/>
  <c r="R64" i="12" s="1"/>
  <c r="H458" i="12"/>
  <c r="H470" i="12"/>
  <c r="H219" i="12"/>
  <c r="H238" i="12"/>
  <c r="H393" i="12"/>
  <c r="H447" i="12"/>
  <c r="AV152" i="5"/>
  <c r="O135" i="5"/>
  <c r="BB18" i="5"/>
  <c r="BB28" i="5" s="1"/>
  <c r="AS357" i="5"/>
  <c r="L60" i="12"/>
  <c r="H60" i="12" s="1"/>
  <c r="H236" i="12"/>
  <c r="H243" i="12"/>
  <c r="I59" i="9"/>
  <c r="X59" i="9"/>
  <c r="H432" i="12"/>
  <c r="H502" i="12"/>
  <c r="H482" i="12"/>
  <c r="H535" i="12"/>
  <c r="N534" i="12" s="1"/>
  <c r="O534" i="12" s="1"/>
  <c r="R534" i="12" s="1"/>
  <c r="H57" i="12"/>
  <c r="H369" i="12"/>
  <c r="H379" i="12"/>
  <c r="N378" i="12" s="1"/>
  <c r="O378" i="12" s="1"/>
  <c r="R378" i="12" s="1"/>
  <c r="H509" i="12"/>
  <c r="N504" i="12" s="1"/>
  <c r="O504" i="12" s="1"/>
  <c r="R504" i="12" s="1"/>
  <c r="O426" i="12"/>
  <c r="H62" i="12"/>
  <c r="H233" i="12"/>
  <c r="N232" i="12" s="1"/>
  <c r="O232" i="12" s="1"/>
  <c r="R232" i="12" s="1"/>
  <c r="H357" i="12"/>
  <c r="N356" i="12" s="1"/>
  <c r="O356" i="12" s="1"/>
  <c r="R356" i="12" s="1"/>
  <c r="H192" i="12"/>
  <c r="N191" i="12" s="1"/>
  <c r="O191" i="12" s="1"/>
  <c r="R191" i="12" s="1"/>
  <c r="X77" i="9"/>
  <c r="I77" i="9"/>
  <c r="H230" i="12"/>
  <c r="BB24" i="5"/>
  <c r="H217" i="12"/>
  <c r="H228" i="12"/>
  <c r="BB192" i="5"/>
  <c r="H410" i="12"/>
  <c r="N409" i="12" s="1"/>
  <c r="O409" i="12" s="1"/>
  <c r="R409" i="12" s="1"/>
  <c r="H173" i="12"/>
  <c r="H172" i="12"/>
  <c r="H395" i="12"/>
  <c r="H279" i="12"/>
  <c r="H278" i="12"/>
  <c r="H196" i="12"/>
  <c r="H195" i="12"/>
  <c r="H93" i="12"/>
  <c r="H94" i="12"/>
  <c r="K52" i="11"/>
  <c r="I52" i="11" s="1"/>
  <c r="E74" i="9"/>
  <c r="G74" i="9" s="1"/>
  <c r="E71" i="9"/>
  <c r="G71" i="9" s="1"/>
  <c r="I86" i="9"/>
  <c r="X86" i="9"/>
  <c r="L23" i="11"/>
  <c r="H241" i="12"/>
  <c r="H456" i="12"/>
  <c r="H468" i="12"/>
  <c r="H71" i="12"/>
  <c r="H364" i="12"/>
  <c r="AJ244" i="5"/>
  <c r="X65" i="9"/>
  <c r="I65" i="9"/>
  <c r="H325" i="12"/>
  <c r="H324" i="12"/>
  <c r="H183" i="12"/>
  <c r="H182" i="12"/>
  <c r="X53" i="9"/>
  <c r="I53" i="9"/>
  <c r="X89" i="9"/>
  <c r="I89" i="9"/>
  <c r="BB222" i="5"/>
  <c r="H397" i="12"/>
  <c r="H16" i="12"/>
  <c r="I62" i="9"/>
  <c r="X62" i="9"/>
  <c r="E68" i="9"/>
  <c r="G68" i="9" s="1"/>
  <c r="AB19" i="5"/>
  <c r="AF19" i="5" s="1"/>
  <c r="AV19" i="5" s="1"/>
  <c r="BB19" i="5"/>
  <c r="AW394" i="5"/>
  <c r="T5" i="13"/>
  <c r="W5" i="13" s="1"/>
  <c r="I12" i="10"/>
  <c r="K56" i="11"/>
  <c r="I47" i="10"/>
  <c r="K23" i="11"/>
  <c r="I181" i="10"/>
  <c r="K66" i="11"/>
  <c r="L48" i="11"/>
  <c r="I118" i="10"/>
  <c r="BB428" i="5"/>
  <c r="H28" i="12"/>
  <c r="U179" i="12"/>
  <c r="U178" i="12"/>
  <c r="U177" i="12"/>
  <c r="U291" i="12"/>
  <c r="U289" i="12"/>
  <c r="U294" i="12"/>
  <c r="U338" i="12"/>
  <c r="U335" i="12"/>
  <c r="U333" i="12"/>
  <c r="U189" i="12"/>
  <c r="U188" i="12"/>
  <c r="U187" i="12"/>
  <c r="U25" i="12"/>
  <c r="U24" i="12"/>
  <c r="U23" i="12"/>
  <c r="BB163" i="5"/>
  <c r="BB148" i="5"/>
  <c r="AV149" i="5"/>
  <c r="AB25" i="5"/>
  <c r="BB25" i="5"/>
  <c r="J173" i="10"/>
  <c r="O173" i="10"/>
  <c r="BB130" i="5"/>
  <c r="BB129" i="5"/>
  <c r="BB157" i="5"/>
  <c r="BB156" i="5"/>
  <c r="BB155" i="5"/>
  <c r="BB154" i="5"/>
  <c r="BB153" i="5"/>
  <c r="BB152" i="5"/>
  <c r="AW482" i="5" l="1"/>
  <c r="O19" i="10"/>
  <c r="O24" i="10"/>
  <c r="O104" i="10"/>
  <c r="E163" i="10"/>
  <c r="J156" i="10" s="1"/>
  <c r="F156" i="10" s="1"/>
  <c r="O30" i="10"/>
  <c r="BB183" i="5"/>
  <c r="BB162" i="5" s="1"/>
  <c r="BB310" i="5"/>
  <c r="BB250" i="5"/>
  <c r="BB221" i="5"/>
  <c r="BB191" i="5"/>
  <c r="BB145" i="5"/>
  <c r="BB140" i="5"/>
  <c r="BB141" i="5"/>
  <c r="I122" i="10"/>
  <c r="I151" i="10" s="1"/>
  <c r="C57" i="11" s="1"/>
  <c r="O33" i="10"/>
  <c r="J33" i="10"/>
  <c r="O137" i="10"/>
  <c r="O18" i="10"/>
  <c r="J18" i="10"/>
  <c r="J123" i="10"/>
  <c r="O123" i="10"/>
  <c r="J43" i="10"/>
  <c r="O20" i="10"/>
  <c r="J20" i="10"/>
  <c r="J13" i="10"/>
  <c r="O31" i="10"/>
  <c r="J31" i="10"/>
  <c r="AS601" i="5"/>
  <c r="H81" i="12"/>
  <c r="AW302" i="5"/>
  <c r="AS304" i="5"/>
  <c r="AJ482" i="5"/>
  <c r="N149" i="12"/>
  <c r="O149" i="12" s="1"/>
  <c r="R149" i="12" s="1"/>
  <c r="AW588" i="5"/>
  <c r="BB588" i="5" s="1"/>
  <c r="BB33" i="5"/>
  <c r="BB31" i="5"/>
  <c r="AH246" i="7"/>
  <c r="AH224" i="7"/>
  <c r="AH223" i="7"/>
  <c r="AH243" i="7"/>
  <c r="AH225" i="7"/>
  <c r="AH242" i="7"/>
  <c r="AH245" i="7"/>
  <c r="T130" i="5"/>
  <c r="AJ129" i="5" s="1"/>
  <c r="AN129" i="5" s="1"/>
  <c r="AV129" i="5" s="1"/>
  <c r="V134" i="5"/>
  <c r="BB147" i="5"/>
  <c r="W130" i="13"/>
  <c r="N204" i="12"/>
  <c r="BB144" i="5"/>
  <c r="BB139" i="5"/>
  <c r="BB138" i="5"/>
  <c r="BB143" i="5"/>
  <c r="BB142" i="5"/>
  <c r="X139" i="5"/>
  <c r="AJ138" i="5" s="1"/>
  <c r="AN83" i="5"/>
  <c r="AV83" i="5" s="1"/>
  <c r="AH172" i="7"/>
  <c r="AH153" i="7"/>
  <c r="AH155" i="7"/>
  <c r="AH154" i="7"/>
  <c r="AH174" i="7"/>
  <c r="AH114" i="7"/>
  <c r="AH173" i="7"/>
  <c r="J135" i="10"/>
  <c r="J11" i="10"/>
  <c r="AH115" i="7"/>
  <c r="AH94" i="7"/>
  <c r="AH112" i="7"/>
  <c r="AH116" i="7"/>
  <c r="AH93" i="7"/>
  <c r="AH92" i="7"/>
  <c r="C55" i="11"/>
  <c r="AH90" i="7"/>
  <c r="AH87" i="7"/>
  <c r="AH111" i="7"/>
  <c r="AH88" i="7"/>
  <c r="AH67" i="7"/>
  <c r="AH86" i="7"/>
  <c r="AH68" i="7"/>
  <c r="AH66" i="7"/>
  <c r="AH85" i="7"/>
  <c r="R426" i="12"/>
  <c r="U425" i="12" s="1"/>
  <c r="BB71" i="5"/>
  <c r="R40" i="12"/>
  <c r="U39" i="12" s="1"/>
  <c r="U40" i="12" s="1"/>
  <c r="BB68" i="5"/>
  <c r="BB69" i="5"/>
  <c r="BB181" i="5"/>
  <c r="AF58" i="5"/>
  <c r="AC5" i="8"/>
  <c r="AC29" i="8"/>
  <c r="AC7" i="8"/>
  <c r="AC28" i="8"/>
  <c r="AC6" i="8"/>
  <c r="AC27" i="8"/>
  <c r="AC30" i="8"/>
  <c r="AC26" i="8"/>
  <c r="AC43" i="8"/>
  <c r="AC68" i="8"/>
  <c r="AC64" i="8"/>
  <c r="AC67" i="8"/>
  <c r="AC66" i="8"/>
  <c r="AC44" i="8"/>
  <c r="AC65" i="8"/>
  <c r="AC45" i="8"/>
  <c r="AH209" i="7"/>
  <c r="AH188" i="7"/>
  <c r="AH210" i="7"/>
  <c r="AH189" i="7"/>
  <c r="AH208" i="7"/>
  <c r="AJ357" i="5"/>
  <c r="AH207" i="7"/>
  <c r="AH206" i="7"/>
  <c r="BB182" i="5"/>
  <c r="BB179" i="5"/>
  <c r="N13" i="12"/>
  <c r="O13" i="12" s="1"/>
  <c r="R13" i="12" s="1"/>
  <c r="K57" i="11"/>
  <c r="N250" i="12"/>
  <c r="O250" i="12" s="1"/>
  <c r="R250" i="12" s="1"/>
  <c r="N261" i="12"/>
  <c r="O261" i="12" s="1"/>
  <c r="R261" i="12" s="1"/>
  <c r="N154" i="12"/>
  <c r="O154" i="12" s="1"/>
  <c r="R154" i="12" s="1"/>
  <c r="N366" i="12"/>
  <c r="O366" i="12" s="1"/>
  <c r="R366" i="12" s="1"/>
  <c r="N111" i="12"/>
  <c r="O111" i="12" s="1"/>
  <c r="R111" i="12" s="1"/>
  <c r="N401" i="12"/>
  <c r="O401" i="12" s="1"/>
  <c r="R401" i="12" s="1"/>
  <c r="N245" i="12"/>
  <c r="O245" i="12" s="1"/>
  <c r="R245" i="12" s="1"/>
  <c r="O77" i="12"/>
  <c r="R77" i="12" s="1"/>
  <c r="N449" i="12"/>
  <c r="O449" i="12" s="1"/>
  <c r="R449" i="12" s="1"/>
  <c r="N340" i="12"/>
  <c r="O340" i="12" s="1"/>
  <c r="N159" i="12"/>
  <c r="O159" i="12" s="1"/>
  <c r="R159" i="12" s="1"/>
  <c r="N169" i="12"/>
  <c r="O169" i="12" s="1"/>
  <c r="R169" i="12" s="1"/>
  <c r="O134" i="12"/>
  <c r="R134" i="12" s="1"/>
  <c r="N387" i="12"/>
  <c r="O387" i="12" s="1"/>
  <c r="R387" i="12" s="1"/>
  <c r="N27" i="12"/>
  <c r="O27" i="12" s="1"/>
  <c r="R27" i="12" s="1"/>
  <c r="O102" i="12"/>
  <c r="R102" i="12" s="1"/>
  <c r="N59" i="12"/>
  <c r="O59" i="12" s="1"/>
  <c r="R59" i="12" s="1"/>
  <c r="N539" i="12"/>
  <c r="O539" i="12" s="1"/>
  <c r="R539" i="12" s="1"/>
  <c r="O423" i="12"/>
  <c r="N240" i="12"/>
  <c r="O240" i="12" s="1"/>
  <c r="R240" i="12" s="1"/>
  <c r="O51" i="12"/>
  <c r="R51" i="12" s="1"/>
  <c r="N80" i="12"/>
  <c r="O80" i="12" s="1"/>
  <c r="R80" i="12" s="1"/>
  <c r="N429" i="12"/>
  <c r="O429" i="12" s="1"/>
  <c r="R429" i="12" s="1"/>
  <c r="N181" i="12"/>
  <c r="O181" i="12" s="1"/>
  <c r="R181" i="12" s="1"/>
  <c r="N67" i="12"/>
  <c r="O67" i="12" s="1"/>
  <c r="N493" i="12"/>
  <c r="O493" i="12" s="1"/>
  <c r="R493" i="12" s="1"/>
  <c r="N92" i="12"/>
  <c r="O92" i="12" s="1"/>
  <c r="R92" i="12" s="1"/>
  <c r="N125" i="12"/>
  <c r="O125" i="12" s="1"/>
  <c r="R125" i="12" s="1"/>
  <c r="N214" i="12"/>
  <c r="O214" i="12" s="1"/>
  <c r="R214" i="12" s="1"/>
  <c r="N438" i="12"/>
  <c r="O438" i="12" s="1"/>
  <c r="R438" i="12" s="1"/>
  <c r="N461" i="12"/>
  <c r="O461" i="12" s="1"/>
  <c r="R461" i="12" s="1"/>
  <c r="O37" i="12"/>
  <c r="R37" i="12" s="1"/>
  <c r="N473" i="12"/>
  <c r="O473" i="12" s="1"/>
  <c r="R473" i="12" s="1"/>
  <c r="N359" i="12"/>
  <c r="O359" i="12" s="1"/>
  <c r="R359" i="12" s="1"/>
  <c r="N194" i="12"/>
  <c r="O194" i="12" s="1"/>
  <c r="R194" i="12" s="1"/>
  <c r="N164" i="12"/>
  <c r="O164" i="12" s="1"/>
  <c r="R164" i="12" s="1"/>
  <c r="N54" i="12"/>
  <c r="O54" i="12" s="1"/>
  <c r="R54" i="12" s="1"/>
  <c r="BB27" i="5"/>
  <c r="BB53" i="5"/>
  <c r="BB55" i="5"/>
  <c r="BB54" i="5"/>
  <c r="N235" i="12"/>
  <c r="O235" i="12" s="1"/>
  <c r="R235" i="12" s="1"/>
  <c r="BB49" i="5"/>
  <c r="BB32" i="5"/>
  <c r="BB29" i="5"/>
  <c r="BB30" i="5"/>
  <c r="H109" i="5"/>
  <c r="N392" i="12"/>
  <c r="O392" i="12" s="1"/>
  <c r="AF24" i="5"/>
  <c r="I71" i="9"/>
  <c r="X71" i="9"/>
  <c r="I74" i="9"/>
  <c r="X74" i="9"/>
  <c r="I20" i="9"/>
  <c r="X20" i="9"/>
  <c r="N227" i="12"/>
  <c r="O227" i="12" s="1"/>
  <c r="R227" i="12" s="1"/>
  <c r="X68" i="9"/>
  <c r="I68" i="9"/>
  <c r="I50" i="9"/>
  <c r="X50" i="9"/>
  <c r="N52" i="11"/>
  <c r="N30" i="11"/>
  <c r="N28" i="11"/>
  <c r="N29" i="11"/>
  <c r="N31" i="11"/>
  <c r="BB394" i="5"/>
  <c r="C54" i="11"/>
  <c r="O12" i="10"/>
  <c r="J12" i="10"/>
  <c r="N23" i="11"/>
  <c r="K27" i="11"/>
  <c r="K55" i="11"/>
  <c r="O47" i="10"/>
  <c r="J47" i="10"/>
  <c r="C72" i="11"/>
  <c r="J181" i="10"/>
  <c r="J187" i="10" s="1"/>
  <c r="O181" i="10"/>
  <c r="C73" i="11"/>
  <c r="BB150" i="5"/>
  <c r="BB149" i="5"/>
  <c r="BB174" i="5"/>
  <c r="BB173" i="5"/>
  <c r="BB172" i="5"/>
  <c r="BB171" i="5"/>
  <c r="J122" i="10" l="1"/>
  <c r="AV608" i="5"/>
  <c r="AW601" i="5"/>
  <c r="O122" i="10"/>
  <c r="BB427" i="5"/>
  <c r="AJ601" i="5"/>
  <c r="AJ304" i="5"/>
  <c r="R109" i="5"/>
  <c r="BB302" i="5"/>
  <c r="AW304" i="5"/>
  <c r="AR58" i="5"/>
  <c r="AV58" i="5" s="1"/>
  <c r="N27" i="11"/>
  <c r="I27" i="11"/>
  <c r="C107" i="8" s="1"/>
  <c r="A54" i="11"/>
  <c r="U41" i="12"/>
  <c r="AS494" i="5"/>
  <c r="AS542" i="5" s="1"/>
  <c r="T91" i="9"/>
  <c r="U36" i="12"/>
  <c r="U37" i="12" s="1"/>
  <c r="O164" i="10"/>
  <c r="O165" i="10"/>
  <c r="M91" i="9"/>
  <c r="P392" i="12" s="1"/>
  <c r="K91" i="9"/>
  <c r="N91" i="9"/>
  <c r="P423" i="12" s="1"/>
  <c r="U422" i="12" s="1"/>
  <c r="J91" i="9"/>
  <c r="I74" i="12" s="1"/>
  <c r="K54" i="11"/>
  <c r="C56" i="11" s="1"/>
  <c r="J157" i="10"/>
  <c r="F157" i="10" s="1"/>
  <c r="J162" i="10" s="1"/>
  <c r="N5" i="11"/>
  <c r="U77" i="12"/>
  <c r="U78" i="12"/>
  <c r="U51" i="12"/>
  <c r="U52" i="12"/>
  <c r="AV24" i="5"/>
  <c r="N6" i="11"/>
  <c r="N4" i="11"/>
  <c r="O187" i="10"/>
  <c r="O167" i="10"/>
  <c r="O166" i="10"/>
  <c r="M608" i="5"/>
  <c r="O151" i="10"/>
  <c r="N68" i="11"/>
  <c r="N67" i="11"/>
  <c r="N71" i="11"/>
  <c r="N72" i="11"/>
  <c r="N73" i="11"/>
  <c r="A72" i="11"/>
  <c r="N412" i="12"/>
  <c r="O412" i="12" s="1"/>
  <c r="R412" i="12" s="1"/>
  <c r="R392" i="12" l="1"/>
  <c r="AV77" i="5"/>
  <c r="K315" i="12"/>
  <c r="I293" i="12"/>
  <c r="BB548" i="5"/>
  <c r="BB279" i="5"/>
  <c r="A56" i="11"/>
  <c r="AJ542" i="5"/>
  <c r="M155" i="10"/>
  <c r="O154" i="10" s="1"/>
  <c r="C116" i="8"/>
  <c r="AC107" i="8"/>
  <c r="P296" i="12"/>
  <c r="U38" i="12"/>
  <c r="AW494" i="5"/>
  <c r="U427" i="12"/>
  <c r="U426" i="12"/>
  <c r="J74" i="12"/>
  <c r="L68" i="12" s="1"/>
  <c r="L69" i="12" s="1"/>
  <c r="P67" i="12"/>
  <c r="R67" i="12" s="1"/>
  <c r="R423" i="12"/>
  <c r="U423" i="12"/>
  <c r="U424" i="12"/>
  <c r="N293" i="12"/>
  <c r="K278" i="12" s="1"/>
  <c r="I353" i="12"/>
  <c r="P340" i="12"/>
  <c r="R340" i="12" s="1"/>
  <c r="K291" i="12"/>
  <c r="I337" i="12"/>
  <c r="N337" i="12" s="1"/>
  <c r="K324" i="12" s="1"/>
  <c r="K335" i="12"/>
  <c r="J48" i="12"/>
  <c r="L44" i="12" s="1"/>
  <c r="U412" i="12"/>
  <c r="U413" i="12"/>
  <c r="U414" i="12"/>
  <c r="U415" i="12"/>
  <c r="AW542" i="5" l="1"/>
  <c r="BB77" i="5"/>
  <c r="BB17" i="5" s="1"/>
  <c r="J150" i="10"/>
  <c r="AV606" i="5" s="1"/>
  <c r="O157" i="10"/>
  <c r="O156" i="10"/>
  <c r="O162" i="10"/>
  <c r="O160" i="10"/>
  <c r="O159" i="10"/>
  <c r="O155" i="10"/>
  <c r="O153" i="10" s="1"/>
  <c r="O152" i="10"/>
  <c r="O163" i="10"/>
  <c r="O158" i="10"/>
  <c r="O161" i="10"/>
  <c r="B97" i="8"/>
  <c r="AC116" i="8"/>
  <c r="H297" i="12"/>
  <c r="BB494" i="5"/>
  <c r="P345" i="12"/>
  <c r="N353" i="12"/>
  <c r="K346" i="12" s="1"/>
  <c r="P318" i="12"/>
  <c r="M335" i="12"/>
  <c r="L321" i="12" s="1"/>
  <c r="P272" i="12"/>
  <c r="M291" i="12"/>
  <c r="L275" i="12" s="1"/>
  <c r="L45" i="12"/>
  <c r="H45" i="12" s="1"/>
  <c r="N43" i="12" s="1"/>
  <c r="O43" i="12" s="1"/>
  <c r="R43" i="12" s="1"/>
  <c r="H44" i="12"/>
  <c r="BB488" i="5" l="1"/>
  <c r="AC101" i="8"/>
  <c r="AC100" i="8"/>
  <c r="AC109" i="8"/>
  <c r="AC102" i="8"/>
  <c r="B99" i="8"/>
  <c r="AC97" i="8"/>
  <c r="K347" i="12"/>
  <c r="H347" i="12" s="1"/>
  <c r="N345" i="12" s="1"/>
  <c r="O345" i="12" s="1"/>
  <c r="R345" i="12" s="1"/>
  <c r="H346" i="12"/>
  <c r="L322" i="12"/>
  <c r="H322" i="12" s="1"/>
  <c r="N318" i="12" s="1"/>
  <c r="O318" i="12" s="1"/>
  <c r="R318" i="12" s="1"/>
  <c r="H321" i="12"/>
  <c r="L276" i="12"/>
  <c r="H275" i="12"/>
  <c r="M606" i="5" l="1"/>
  <c r="AW406" i="5"/>
  <c r="BB406" i="5" s="1"/>
  <c r="AS369" i="5"/>
  <c r="AC99" i="8"/>
  <c r="AS407" i="5"/>
  <c r="C82" i="8"/>
  <c r="H276" i="12"/>
  <c r="N272" i="12" s="1"/>
  <c r="O272" i="12" s="1"/>
  <c r="R272" i="12" s="1"/>
  <c r="AW369" i="5" l="1"/>
  <c r="BB369" i="5" s="1"/>
  <c r="AS421" i="5"/>
  <c r="AC85" i="8"/>
  <c r="AC98" i="8"/>
  <c r="AC84" i="8"/>
  <c r="AW407" i="5"/>
  <c r="AJ421" i="5" l="1"/>
  <c r="L109" i="5"/>
  <c r="AT109" i="5" s="1"/>
  <c r="BB407" i="5"/>
  <c r="AW421" i="5"/>
  <c r="I205" i="12"/>
  <c r="L205" i="12" s="1"/>
  <c r="BB363" i="5" l="1"/>
  <c r="O204" i="12"/>
  <c r="R204" i="12" s="1"/>
  <c r="G35" i="9"/>
  <c r="X35" i="9" s="1"/>
  <c r="I35" i="9" l="1"/>
  <c r="I91" i="9" s="1"/>
  <c r="AS626" i="5"/>
  <c r="AC75" i="8" l="1"/>
  <c r="AC76" i="8"/>
  <c r="AC72" i="8"/>
  <c r="AC78" i="8"/>
  <c r="AC71" i="8" s="1"/>
  <c r="AC74" i="8"/>
  <c r="AC77" i="8"/>
  <c r="AC73" i="8"/>
  <c r="E240" i="14"/>
  <c r="E241" i="14"/>
  <c r="E239" i="14"/>
  <c r="I215" i="12"/>
  <c r="L138" i="5" l="1"/>
  <c r="AN138" i="5" l="1"/>
  <c r="AV138" i="5" s="1"/>
  <c r="AV158" i="5" l="1"/>
  <c r="BB158" i="5" s="1"/>
  <c r="BB127" i="5" s="1"/>
  <c r="H298" i="12" l="1"/>
  <c r="H302" i="12"/>
  <c r="I315" i="12" l="1"/>
  <c r="U305" i="12" s="1"/>
  <c r="M304" i="12"/>
  <c r="K304" i="12" s="1"/>
  <c r="U315" i="12" l="1"/>
  <c r="U314" i="12"/>
  <c r="U313" i="12"/>
  <c r="U312" i="12"/>
  <c r="U311" i="12"/>
  <c r="U310" i="12"/>
  <c r="U309" i="12"/>
  <c r="U308" i="12"/>
  <c r="M315" i="12"/>
  <c r="L297" i="12" s="1"/>
  <c r="L298" i="12" s="1"/>
  <c r="U307" i="12"/>
  <c r="U306" i="12"/>
  <c r="U302" i="12"/>
  <c r="U298" i="12"/>
  <c r="U301" i="12"/>
  <c r="U296" i="12"/>
  <c r="U299" i="12"/>
  <c r="U303" i="12"/>
  <c r="U297" i="12"/>
  <c r="U304" i="12"/>
  <c r="U300" i="12"/>
  <c r="U316" i="12"/>
  <c r="H300" i="12"/>
  <c r="N296" i="12" s="1"/>
  <c r="O296" i="12" s="1"/>
  <c r="R296" i="12" l="1"/>
  <c r="Q547" i="12" l="1"/>
  <c r="AV610" i="5" s="1"/>
  <c r="M610" i="5" l="1"/>
  <c r="BB605" i="5"/>
  <c r="AS625" i="5"/>
  <c r="AS627" i="5" l="1"/>
  <c r="AS62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tottori</author>
    <author>鳥取県</author>
    <author>桝井　孝安</author>
  </authors>
  <commentList>
    <comment ref="R6" authorId="0" shapeId="0" xr:uid="{00000000-0006-0000-0400-000001000000}">
      <text>
        <r>
          <rPr>
            <sz val="9"/>
            <color indexed="81"/>
            <rFont val="ＭＳ Ｐゴシック"/>
            <family val="3"/>
            <charset val="128"/>
          </rPr>
          <t>承継取得の場合、「建築年月日」を選択してください。</t>
        </r>
      </text>
    </comment>
    <comment ref="C14" authorId="0" shapeId="0" xr:uid="{00000000-0006-0000-0400-000002000000}">
      <text>
        <r>
          <rPr>
            <b/>
            <sz val="9"/>
            <color indexed="10"/>
            <rFont val="ＭＳ Ｐゴシック"/>
            <family val="3"/>
            <charset val="128"/>
          </rPr>
          <t>◆評価システムの印刷方法について◆</t>
        </r>
        <r>
          <rPr>
            <sz val="9"/>
            <color indexed="81"/>
            <rFont val="ＭＳ Ｐゴシック"/>
            <family val="3"/>
            <charset val="128"/>
          </rPr>
          <t xml:space="preserve">
　全てのシートは、右端の列にあるフィルタで「TRUE」を選択後に印刷してください。
　なお、チェック用にプリントアウトする際は、「TRUE」に加え、「チェック用」も選択することを推奨します。</t>
        </r>
      </text>
    </comment>
    <comment ref="AO28" authorId="0" shapeId="0" xr:uid="{00000000-0006-0000-0400-000003000000}">
      <text>
        <r>
          <rPr>
            <sz val="9"/>
            <color indexed="81"/>
            <rFont val="ＭＳ Ｐゴシック"/>
            <family val="3"/>
            <charset val="128"/>
          </rPr>
          <t>Ｓ 標準</t>
        </r>
      </text>
    </comment>
    <comment ref="AO29" authorId="0" shapeId="0" xr:uid="{00000000-0006-0000-0400-000004000000}">
      <text>
        <r>
          <rPr>
            <sz val="9"/>
            <color indexed="81"/>
            <rFont val="ＭＳ Ｐゴシック"/>
            <family val="3"/>
            <charset val="128"/>
          </rPr>
          <t>プレハブ倉庫やユニットハウスのような簡易なもの、四角四面で内壁の施工がないもの等</t>
        </r>
      </text>
    </comment>
    <comment ref="AO54" authorId="0" shapeId="0" xr:uid="{00000000-0006-0000-0400-000006000000}">
      <text>
        <r>
          <rPr>
            <sz val="9"/>
            <color indexed="81"/>
            <rFont val="ＭＳ Ｐゴシック"/>
            <family val="3"/>
            <charset val="128"/>
          </rPr>
          <t>Ｓ 標準</t>
        </r>
      </text>
    </comment>
    <comment ref="AO55" authorId="0" shapeId="0" xr:uid="{00000000-0006-0000-0400-000007000000}">
      <text>
        <r>
          <rPr>
            <sz val="9"/>
            <color indexed="81"/>
            <rFont val="ＭＳ Ｐゴシック"/>
            <family val="3"/>
            <charset val="128"/>
          </rPr>
          <t>プレハブ倉庫やユニットハウスのような簡易なもの、四角四面で内壁の施工がないもの等</t>
        </r>
      </text>
    </comment>
    <comment ref="AK69" authorId="0" shapeId="0" xr:uid="{00000000-0006-0000-0400-000008000000}">
      <text>
        <r>
          <rPr>
            <sz val="9"/>
            <color indexed="81"/>
            <rFont val="ＭＳ Ｐゴシック"/>
            <family val="3"/>
            <charset val="128"/>
          </rPr>
          <t>ＣＢ 標準</t>
        </r>
      </text>
    </comment>
    <comment ref="AK70" authorId="0" shapeId="0" xr:uid="{00000000-0006-0000-0400-000009000000}">
      <text>
        <r>
          <rPr>
            <sz val="9"/>
            <color indexed="81"/>
            <rFont val="ＭＳ Ｐゴシック"/>
            <family val="3"/>
            <charset val="128"/>
          </rPr>
          <t>ＲＣ 標準</t>
        </r>
      </text>
    </comment>
    <comment ref="AA72" authorId="1" shapeId="0" xr:uid="{00000000-0006-0000-0400-00000A000000}">
      <text>
        <r>
          <rPr>
            <sz val="9"/>
            <color indexed="81"/>
            <rFont val="ＭＳ Ｐゴシック"/>
            <family val="3"/>
            <charset val="128"/>
          </rPr>
          <t>CB壁体の見付面積</t>
        </r>
      </text>
    </comment>
    <comment ref="AF92" authorId="1" shapeId="0" xr:uid="{A4FFFD33-A224-461E-AEBB-AD09ADAE0568}">
      <text>
        <r>
          <rPr>
            <sz val="8"/>
            <color indexed="81"/>
            <rFont val="ＭＳ Ｐゴシック"/>
            <family val="3"/>
            <charset val="128"/>
          </rPr>
          <t>H24基準で「不能」となっていましたが、基準上計算できそうなので、とりあえず評点数を入れてます</t>
        </r>
      </text>
    </comment>
    <comment ref="S93" authorId="0" shapeId="0" xr:uid="{00000000-0006-0000-0400-00000D000000}">
      <text>
        <r>
          <rPr>
            <sz val="9"/>
            <color indexed="81"/>
            <rFont val="ＭＳ Ｐゴシック"/>
            <family val="3"/>
            <charset val="128"/>
          </rPr>
          <t>※ 標準</t>
        </r>
      </text>
    </comment>
    <comment ref="T93" authorId="1" shapeId="0" xr:uid="{25106753-BD06-4B2A-A08B-64837768973C}">
      <text>
        <r>
          <rPr>
            <sz val="8"/>
            <color indexed="81"/>
            <rFont val="ＭＳ Ｐゴシック"/>
            <family val="3"/>
            <charset val="128"/>
          </rPr>
          <t>軽量鉄骨の住宅・アパートは、評点項目・評点数が異なるため別の様式を使用すること</t>
        </r>
      </text>
    </comment>
    <comment ref="X93" authorId="1" shapeId="0" xr:uid="{00000000-0006-0000-0400-00000E000000}">
      <text>
        <r>
          <rPr>
            <sz val="8"/>
            <color indexed="81"/>
            <rFont val="ＭＳ Ｐゴシック"/>
            <family val="3"/>
            <charset val="128"/>
          </rPr>
          <t>軽量鉄骨の住宅・アパートは、評点項目・評点数が異なるため別の様式を使用すること</t>
        </r>
      </text>
    </comment>
    <comment ref="T94" authorId="1" shapeId="0" xr:uid="{58EDAF69-5C1F-46C0-A78F-FD50EF2E95CF}">
      <text>
        <r>
          <rPr>
            <sz val="8"/>
            <color indexed="81"/>
            <rFont val="ＭＳ Ｐゴシック"/>
            <family val="3"/>
            <charset val="128"/>
          </rPr>
          <t>軽量鉄骨の住宅・アパートは、評点項目・評点数が異なるため別の様式を使用すること</t>
        </r>
      </text>
    </comment>
    <comment ref="X94" authorId="1" shapeId="0" xr:uid="{88E1AEF5-BB22-4B71-9630-60EF4812FD03}">
      <text>
        <r>
          <rPr>
            <sz val="8"/>
            <color indexed="81"/>
            <rFont val="ＭＳ Ｐゴシック"/>
            <family val="3"/>
            <charset val="128"/>
          </rPr>
          <t>軽量鉄骨の住宅・アパートは、評点項目・評点数が異なるため別の様式を使用すること</t>
        </r>
      </text>
    </comment>
    <comment ref="W96" authorId="1" shapeId="0" xr:uid="{00000000-0006-0000-0400-000014000000}">
      <text>
        <r>
          <rPr>
            <sz val="8"/>
            <color indexed="81"/>
            <rFont val="ＭＳ Ｐゴシック"/>
            <family val="3"/>
            <charset val="128"/>
          </rPr>
          <t>設置されている天吊クレーンの力量</t>
        </r>
      </text>
    </comment>
    <comment ref="AC100" authorId="0" shapeId="0" xr:uid="{00000000-0006-0000-0400-000015000000}">
      <text>
        <r>
          <rPr>
            <sz val="9"/>
            <color indexed="81"/>
            <rFont val="ＭＳ Ｐゴシック"/>
            <family val="3"/>
            <charset val="128"/>
          </rPr>
          <t>Ｓ 標準
ＲＣ 標準</t>
        </r>
      </text>
    </comment>
    <comment ref="AV100" authorId="0" shapeId="0" xr:uid="{00000000-0006-0000-0400-000016000000}">
      <text>
        <r>
          <rPr>
            <sz val="9"/>
            <color indexed="81"/>
            <rFont val="ＭＳ Ｐゴシック"/>
            <family val="3"/>
            <charset val="128"/>
          </rPr>
          <t>※古材補正0.70根拠
地方税質疑応答集
&lt;月刊地方税別冊＞544P</t>
        </r>
      </text>
    </comment>
    <comment ref="AC101" authorId="0" shapeId="0" xr:uid="{00000000-0006-0000-0400-000017000000}">
      <text>
        <r>
          <rPr>
            <sz val="9"/>
            <color indexed="81"/>
            <rFont val="ＭＳ Ｐゴシック"/>
            <family val="3"/>
            <charset val="128"/>
          </rPr>
          <t>Ｓプレハブ倉庫やユニットハウスのような簡易なもの、四角四面で内壁の施工がないもの等</t>
        </r>
      </text>
    </comment>
    <comment ref="T104" authorId="0" shapeId="0" xr:uid="{00000000-0006-0000-0400-000018000000}">
      <text>
        <r>
          <rPr>
            <sz val="9"/>
            <color indexed="81"/>
            <rFont val="ＭＳ Ｐゴシック"/>
            <family val="3"/>
            <charset val="128"/>
          </rPr>
          <t xml:space="preserve"> ｔ 数入力</t>
        </r>
      </text>
    </comment>
    <comment ref="AF104" authorId="1" shapeId="0" xr:uid="{00000000-0006-0000-0400-000019000000}">
      <text>
        <r>
          <rPr>
            <sz val="8"/>
            <color indexed="81"/>
            <rFont val="ＭＳ Ｐゴシック"/>
            <family val="3"/>
            <charset val="128"/>
          </rPr>
          <t>壁面積の大小の補正を適用する場合のみ壁面積の入力欄が表示されます。</t>
        </r>
      </text>
    </comment>
    <comment ref="W116" authorId="1" shapeId="0" xr:uid="{00000000-0006-0000-0400-00001A000000}">
      <text>
        <r>
          <rPr>
            <sz val="9"/>
            <color indexed="81"/>
            <rFont val="ＭＳ Ｐゴシック"/>
            <family val="3"/>
            <charset val="128"/>
          </rPr>
          <t>とりあえず
ゴム量の補正として
面積→外径の二乗に比例で</t>
        </r>
      </text>
    </comment>
    <comment ref="Q131" authorId="1" shapeId="0" xr:uid="{00000000-0006-0000-0400-00001B000000}">
      <text>
        <r>
          <rPr>
            <sz val="9"/>
            <color indexed="81"/>
            <rFont val="ＭＳ Ｐゴシック"/>
            <family val="3"/>
            <charset val="128"/>
          </rPr>
          <t>深さ5m</t>
        </r>
      </text>
    </comment>
    <comment ref="Q132" authorId="1" shapeId="0" xr:uid="{00000000-0006-0000-0400-00001C000000}">
      <text>
        <r>
          <rPr>
            <sz val="9"/>
            <color indexed="81"/>
            <rFont val="ＭＳ Ｐゴシック"/>
            <family val="3"/>
            <charset val="128"/>
          </rPr>
          <t>深さ１ｍ</t>
        </r>
      </text>
    </comment>
    <comment ref="AC132" authorId="0" shapeId="0" xr:uid="{00000000-0006-0000-0400-00001D000000}">
      <text>
        <r>
          <rPr>
            <sz val="9"/>
            <color indexed="81"/>
            <rFont val="ＭＳ Ｐゴシック"/>
            <family val="3"/>
            <charset val="128"/>
          </rPr>
          <t>標準</t>
        </r>
      </text>
    </comment>
    <comment ref="AG132" authorId="0" shapeId="0" xr:uid="{00000000-0006-0000-0400-00001E000000}">
      <text>
        <r>
          <rPr>
            <sz val="9"/>
            <color indexed="81"/>
            <rFont val="ＭＳ Ｐゴシック"/>
            <family val="3"/>
            <charset val="128"/>
          </rPr>
          <t>標準</t>
        </r>
      </text>
    </comment>
    <comment ref="U134" authorId="2" shapeId="0" xr:uid="{00000000-0006-0000-0400-00001F000000}">
      <text>
        <r>
          <rPr>
            <sz val="9"/>
            <color indexed="81"/>
            <rFont val="MS P ゴシック"/>
            <family val="3"/>
            <charset val="128"/>
          </rPr>
          <t>増点超可</t>
        </r>
      </text>
    </comment>
    <comment ref="F149" authorId="1" shapeId="0" xr:uid="{00000000-0006-0000-0400-000025000000}">
      <text>
        <r>
          <rPr>
            <sz val="8"/>
            <color indexed="81"/>
            <rFont val="ＭＳ Ｐゴシック"/>
            <family val="3"/>
            <charset val="128"/>
          </rPr>
          <t>R6評価替え質疑応答集Q37から
(木造転用）</t>
        </r>
      </text>
    </comment>
    <comment ref="AJ171" authorId="0" shapeId="0" xr:uid="{00000000-0006-0000-0400-000027000000}">
      <text>
        <r>
          <rPr>
            <sz val="9"/>
            <color indexed="81"/>
            <rFont val="ＭＳ Ｐゴシック"/>
            <family val="3"/>
            <charset val="128"/>
          </rPr>
          <t>解説により補正は上限止（自動）</t>
        </r>
      </text>
    </comment>
    <comment ref="Z175" authorId="0" shapeId="0" xr:uid="{00000000-0006-0000-0400-000028000000}">
      <text>
        <r>
          <rPr>
            <sz val="9"/>
            <color indexed="81"/>
            <rFont val="ＭＳ Ｐゴシック"/>
            <family val="3"/>
            <charset val="128"/>
          </rPr>
          <t>解説により、杭の直径は末口径（小さい方）を採用</t>
        </r>
      </text>
    </comment>
    <comment ref="Z179" authorId="0" shapeId="0" xr:uid="{00000000-0006-0000-0400-000029000000}">
      <text>
        <r>
          <rPr>
            <sz val="9"/>
            <color indexed="81"/>
            <rFont val="ＭＳ Ｐゴシック"/>
            <family val="3"/>
            <charset val="128"/>
          </rPr>
          <t>解説により補正は上限止（自動）</t>
        </r>
      </text>
    </comment>
    <comment ref="AE179" authorId="0" shapeId="0" xr:uid="{00000000-0006-0000-0400-00002A000000}">
      <text>
        <r>
          <rPr>
            <sz val="9"/>
            <color indexed="81"/>
            <rFont val="ＭＳ Ｐゴシック"/>
            <family val="3"/>
            <charset val="128"/>
          </rPr>
          <t>解説により補正は上限止（自動）</t>
        </r>
      </text>
    </comment>
    <comment ref="AO309" authorId="0" shapeId="0" xr:uid="{00000000-0006-0000-0400-00002B000000}">
      <text>
        <r>
          <rPr>
            <sz val="9"/>
            <color indexed="81"/>
            <rFont val="ＭＳ Ｐゴシック"/>
            <family val="3"/>
            <charset val="128"/>
          </rPr>
          <t>プレハブ方式の外部仕上は0.70補正</t>
        </r>
      </text>
    </comment>
    <comment ref="AS406" authorId="2" shapeId="0" xr:uid="{C10FBC64-C261-4F59-80D8-C651AB1F785B}">
      <text>
        <r>
          <rPr>
            <sz val="8"/>
            <color indexed="81"/>
            <rFont val="Meiryo UI"/>
            <family val="3"/>
            <charset val="128"/>
          </rPr>
          <t>総合評点方式を使用する場合は、内壁・間仕切シートで総合評点方式のみを選択のうえ、内壁面積（仕上無し含む）を算出してください。</t>
        </r>
      </text>
    </comment>
    <comment ref="AS407" authorId="2" shapeId="0" xr:uid="{6A59BC92-8006-442F-895E-85519C92B273}">
      <text>
        <r>
          <rPr>
            <sz val="8"/>
            <color indexed="81"/>
            <rFont val="Meiryo UI"/>
            <family val="3"/>
            <charset val="128"/>
          </rPr>
          <t>総合評点方式を使用する場合は、内壁・間仕切シートで総合評点方式のみを選択のうえ、内壁面積（仕上無し含む）を算出してください。</t>
        </r>
      </text>
    </comment>
    <comment ref="AS408" authorId="2" shapeId="0" xr:uid="{2A105621-BE80-47AD-83BF-F7CE218D1EBB}">
      <text>
        <r>
          <rPr>
            <sz val="8"/>
            <color indexed="81"/>
            <rFont val="Meiryo UI"/>
            <family val="3"/>
            <charset val="128"/>
          </rPr>
          <t>総合評点方式を使用する場合は、内壁・間仕切シートで総合評点方式のみを選択のうえ、内壁面積（仕上無し含む）を算出してください。</t>
        </r>
      </text>
    </comment>
    <comment ref="AS465" authorId="2" shapeId="0" xr:uid="{D38AF628-4EA4-4896-BC04-B0C34C631FC7}">
      <text>
        <r>
          <rPr>
            <sz val="8"/>
            <color indexed="81"/>
            <rFont val="Meiryo UI"/>
            <family val="3"/>
            <charset val="128"/>
          </rPr>
          <t>総合評点方式を使用する場合は、床・天井シートの一番上の行のみで総合評点方式を選択してください。</t>
        </r>
      </text>
    </comment>
    <comment ref="AS466" authorId="2" shapeId="0" xr:uid="{83554D24-D3CF-4697-B693-93C5C4974755}">
      <text>
        <r>
          <rPr>
            <sz val="8"/>
            <color indexed="81"/>
            <rFont val="Meiryo UI"/>
            <family val="3"/>
            <charset val="128"/>
          </rPr>
          <t>総合評点方式を使用する場合は、床・天井シートの一番上の行のみで総合評点方式を選択してください。</t>
        </r>
      </text>
    </comment>
    <comment ref="AS467" authorId="2" shapeId="0" xr:uid="{74B8179F-9CCB-4462-9306-B677888896C1}">
      <text>
        <r>
          <rPr>
            <sz val="8"/>
            <color indexed="81"/>
            <rFont val="Meiryo UI"/>
            <family val="3"/>
            <charset val="128"/>
          </rPr>
          <t>総合評点方式を使用する場合は、床・天井シートの一番上の行のみで総合評点方式を選択してください。</t>
        </r>
      </text>
    </comment>
    <comment ref="AS468" authorId="2" shapeId="0" xr:uid="{567DB2B0-A9AC-497D-820F-FD9603531EF4}">
      <text>
        <r>
          <rPr>
            <sz val="8"/>
            <color indexed="81"/>
            <rFont val="Meiryo UI"/>
            <family val="3"/>
            <charset val="128"/>
          </rPr>
          <t>総合評点方式を使用する場合は、床・天井シートの一番上の行のみで総合評点方式を選択してください。</t>
        </r>
      </text>
    </comment>
    <comment ref="AS469" authorId="2" shapeId="0" xr:uid="{BA03AA5F-B52F-4513-A627-8D02DDB28992}">
      <text>
        <r>
          <rPr>
            <sz val="8"/>
            <color indexed="81"/>
            <rFont val="Meiryo UI"/>
            <family val="3"/>
            <charset val="128"/>
          </rPr>
          <t>総合評点方式を使用する場合は、床・天井シートの一番上の行のみで総合評点方式を選択してください。</t>
        </r>
      </text>
    </comment>
    <comment ref="AS526" authorId="2" shapeId="0" xr:uid="{FDAA4F40-7035-47C7-8B66-BA9592E6D185}">
      <text>
        <r>
          <rPr>
            <sz val="8"/>
            <color indexed="81"/>
            <rFont val="Meiryo UI"/>
            <family val="3"/>
            <charset val="128"/>
          </rPr>
          <t>総合評点方式を使用する場合は、床・天井シートの一番上の行のみで総合評点方式を選択してください。</t>
        </r>
      </text>
    </comment>
    <comment ref="AS527" authorId="2" shapeId="0" xr:uid="{6A9CC733-619B-4422-815A-61E463FAC1D9}">
      <text>
        <r>
          <rPr>
            <sz val="8"/>
            <color indexed="81"/>
            <rFont val="Meiryo UI"/>
            <family val="3"/>
            <charset val="128"/>
          </rPr>
          <t>総合評点方式を使用する場合は、床・天井シートの一番上の行のみで総合評点方式を選択してください。</t>
        </r>
      </text>
    </comment>
    <comment ref="AS528" authorId="2" shapeId="0" xr:uid="{6D4BAF37-3859-4F79-8A0D-77991EF21B8A}">
      <text>
        <r>
          <rPr>
            <sz val="8"/>
            <color indexed="81"/>
            <rFont val="Meiryo UI"/>
            <family val="3"/>
            <charset val="128"/>
          </rPr>
          <t>総合評点方式を使用する場合は、床・天井シートの一番上の行のみで総合評点方式を選択してください。</t>
        </r>
      </text>
    </comment>
    <comment ref="Q597" authorId="3" shapeId="0" xr:uid="{3970614E-6A9A-4512-B1B7-71FA64A90751}">
      <text>
        <r>
          <rPr>
            <sz val="9"/>
            <color indexed="81"/>
            <rFont val="MS P ゴシック"/>
            <family val="3"/>
            <charset val="128"/>
          </rPr>
          <t>実務提要2125</t>
        </r>
      </text>
    </comment>
    <comment ref="AD617" authorId="0" shapeId="0" xr:uid="{00000000-0006-0000-0400-00002C000000}">
      <text>
        <r>
          <rPr>
            <sz val="9"/>
            <color indexed="81"/>
            <rFont val="ＭＳ Ｐゴシック"/>
            <family val="3"/>
            <charset val="128"/>
          </rPr>
          <t>戸建形式住宅
以外入力不要</t>
        </r>
      </text>
    </comment>
    <comment ref="Z619" authorId="0" shapeId="0" xr:uid="{00000000-0006-0000-0400-00002D000000}">
      <text>
        <r>
          <rPr>
            <sz val="9"/>
            <color indexed="81"/>
            <rFont val="ＭＳ Ｐゴシック"/>
            <family val="3"/>
            <charset val="128"/>
          </rPr>
          <t>　原則</t>
        </r>
      </text>
    </comment>
    <comment ref="Z620" authorId="0" shapeId="0" xr:uid="{00000000-0006-0000-0400-00002F000000}">
      <text>
        <r>
          <rPr>
            <sz val="9"/>
            <color indexed="81"/>
            <rFont val="ＭＳ Ｐゴシック"/>
            <family val="3"/>
            <charset val="128"/>
          </rPr>
          <t>施工がない場合例外的に選択可</t>
        </r>
      </text>
    </comment>
    <comment ref="AQ626" authorId="0" shapeId="0" xr:uid="{00000000-0006-0000-0400-000030000000}">
      <text>
        <r>
          <rPr>
            <sz val="9"/>
            <color indexed="81"/>
            <rFont val="ＭＳ Ｐゴシック"/>
            <family val="3"/>
            <charset val="128"/>
          </rPr>
          <t>※R5以前新築の建物をR6基準で 評価の場合等、
　 基準年の調整が必要な場合にのみ入力してください。
　R6基準➡R03基準　1.07
　R6基準➡H30基準　（1.07×1.07）＝1.1449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tottori</author>
  </authors>
  <commentList>
    <comment ref="A39" authorId="0" shapeId="0" xr:uid="{00000000-0006-0000-0600-000001000000}">
      <text>
        <r>
          <rPr>
            <sz val="8"/>
            <color indexed="81"/>
            <rFont val="ＭＳ Ｐゴシック"/>
            <family val="3"/>
            <charset val="128"/>
          </rPr>
          <t>勾配入力で、投影面積（伏図上の寸法）と勾配から仕上面積が計算できます。
屋根面の　水平寸法を分母、対応する高さを分子に入れてください。
陸屋根等勾配のない場合や、従来どおりの、仕上実寸法で計算する場合は、勾配０（分母のみ０以外の数値を入れ、分子は０または空欄）としてください。</t>
        </r>
      </text>
    </comment>
    <comment ref="A63" authorId="0" shapeId="0" xr:uid="{00000000-0006-0000-0600-000002000000}">
      <text>
        <r>
          <rPr>
            <sz val="8"/>
            <color indexed="81"/>
            <rFont val="ＭＳ Ｐゴシック"/>
            <family val="3"/>
            <charset val="128"/>
          </rPr>
          <t>勾配入力で、投影面積（伏図上の寸法）と勾配から仕上面積が計算できます。
屋根面の　水平寸法を分母、対応する高さを分子に入れてください。
陸屋根等勾配のない場合や、従来どおりの、仕上実寸法で計算する場合は、勾配０（分母のみ０以外の数値を入れ、分子は０または空欄）としてください。</t>
        </r>
      </text>
    </comment>
    <comment ref="A89" authorId="0" shapeId="0" xr:uid="{00000000-0006-0000-0600-000003000000}">
      <text>
        <r>
          <rPr>
            <sz val="8"/>
            <color indexed="81"/>
            <rFont val="ＭＳ Ｐゴシック"/>
            <family val="3"/>
            <charset val="128"/>
          </rPr>
          <t>勾配入力で、投影面積（伏図上の寸法）と勾配から仕上面積が計算できます。
屋根面の　水平寸法を分母、対応する高さを分子に入れてください。
陸屋根等勾配のない場合や、従来どおりの、仕上実寸法で計算する場合は、勾配０（分母のみ０以外の数値を入れ、分子は０または空欄）としてください。</t>
        </r>
      </text>
    </comment>
    <comment ref="A115" authorId="0" shapeId="0" xr:uid="{00000000-0006-0000-0600-000004000000}">
      <text>
        <r>
          <rPr>
            <sz val="8"/>
            <color indexed="81"/>
            <rFont val="ＭＳ Ｐゴシック"/>
            <family val="3"/>
            <charset val="128"/>
          </rPr>
          <t>勾配入力で、投影面積（伏図上の寸法）と勾配から仕上面積が計算できます。
屋根面の　水平寸法を分母、対応する高さを分子に入れてください。
陸屋根等勾配のない場合や、従来どおりの、仕上実寸法で計算する場合は、勾配０（分母のみ０以外の数値を入れ、分子は０または空欄）としてください。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C28" authorId="0" shapeId="0" xr:uid="{00000000-0006-0000-0700-000001000000}">
      <text>
        <r>
          <rPr>
            <b/>
            <sz val="9"/>
            <color indexed="81"/>
            <rFont val="MS P ゴシック"/>
            <family val="3"/>
            <charset val="128"/>
          </rPr>
          <t>下表の自動集計を使用しない場合は直接手入力すること</t>
        </r>
      </text>
    </comment>
    <comment ref="C66" authorId="0" shapeId="0" xr:uid="{00000000-0006-0000-0700-000002000000}">
      <text>
        <r>
          <rPr>
            <b/>
            <sz val="9"/>
            <color indexed="81"/>
            <rFont val="MS P ゴシック"/>
            <family val="3"/>
            <charset val="128"/>
          </rPr>
          <t>下表の自動集計を使用しない場合は直接手入力すること</t>
        </r>
      </text>
    </comment>
    <comment ref="A97" authorId="0" shapeId="0" xr:uid="{00000000-0006-0000-0700-000003000000}">
      <text>
        <r>
          <rPr>
            <b/>
            <sz val="9"/>
            <color indexed="81"/>
            <rFont val="MS P ゴシック"/>
            <family val="3"/>
            <charset val="128"/>
          </rPr>
          <t>下表の自動集計を使用しない場合は直接手入力すること</t>
        </r>
      </text>
    </comment>
    <comment ref="A133" authorId="0" shapeId="0" xr:uid="{00000000-0006-0000-0700-000004000000}">
      <text>
        <r>
          <rPr>
            <b/>
            <sz val="9"/>
            <color indexed="81"/>
            <rFont val="MS P ゴシック"/>
            <family val="3"/>
            <charset val="128"/>
          </rPr>
          <t>下表の自動集計を使用しない場合は直接手入力すること</t>
        </r>
      </text>
    </comment>
    <comment ref="A169" authorId="0" shapeId="0" xr:uid="{00000000-0006-0000-0700-000005000000}">
      <text>
        <r>
          <rPr>
            <b/>
            <sz val="9"/>
            <color indexed="81"/>
            <rFont val="MS P ゴシック"/>
            <family val="3"/>
            <charset val="128"/>
          </rPr>
          <t>下表の自動集計を使用しない場合は直接手入力すること</t>
        </r>
      </text>
    </comment>
    <comment ref="A205" authorId="0" shapeId="0" xr:uid="{00000000-0006-0000-0700-000006000000}">
      <text>
        <r>
          <rPr>
            <b/>
            <sz val="9"/>
            <color indexed="81"/>
            <rFont val="MS P ゴシック"/>
            <family val="3"/>
            <charset val="128"/>
          </rPr>
          <t>下表の自動集計を使用しない場合は直接手入力すること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tottori</author>
  </authors>
  <commentList>
    <comment ref="L5" authorId="0" shapeId="0" xr:uid="{00000000-0006-0000-0800-000001000000}">
      <text>
        <r>
          <rPr>
            <sz val="8"/>
            <color indexed="81"/>
            <rFont val="ＭＳ Ｐゴシック"/>
            <family val="3"/>
            <charset val="128"/>
          </rPr>
          <t>空調面積以外で換気設備がある部分が対象です。</t>
        </r>
      </text>
    </comment>
    <comment ref="M5" authorId="0" shapeId="0" xr:uid="{00000000-0006-0000-0800-000002000000}">
      <text>
        <r>
          <rPr>
            <sz val="8"/>
            <color indexed="81"/>
            <rFont val="ＭＳ Ｐゴシック"/>
            <family val="3"/>
            <charset val="128"/>
          </rPr>
          <t>火災報知設備の設備面積は、原則フロア単位</t>
        </r>
      </text>
    </comment>
    <comment ref="N5" authorId="0" shapeId="0" xr:uid="{00000000-0006-0000-0800-000003000000}">
      <text>
        <r>
          <rPr>
            <sz val="8"/>
            <color indexed="81"/>
            <rFont val="ＭＳ Ｐゴシック"/>
            <family val="3"/>
            <charset val="128"/>
          </rPr>
          <t>水道直結型以外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鳥取県庁</author>
    <author>鳥取県</author>
    <author>tottori</author>
  </authors>
  <commentList>
    <comment ref="B100" authorId="0" shapeId="0" xr:uid="{00000000-0006-0000-0900-000045000000}">
      <text>
        <r>
          <rPr>
            <sz val="9"/>
            <color indexed="81"/>
            <rFont val="ＭＳ Ｐゴシック"/>
            <family val="3"/>
            <charset val="128"/>
          </rPr>
          <t>二重サッシュの評点数にしたい建具を、備考欄の水色のセルから選んでください。</t>
        </r>
      </text>
    </comment>
    <comment ref="B101" authorId="0" shapeId="0" xr:uid="{00000000-0006-0000-0900-000046000000}">
      <text>
        <r>
          <rPr>
            <sz val="9"/>
            <color indexed="81"/>
            <rFont val="ＭＳ Ｐゴシック"/>
            <family val="3"/>
            <charset val="128"/>
          </rPr>
          <t>二重サッシュの評点数にしたい建具を、備考欄の水色のセルから選んでください。</t>
        </r>
      </text>
    </comment>
    <comment ref="F160" authorId="1" shapeId="0" xr:uid="{00000000-0006-0000-0900-000048000000}">
      <text>
        <r>
          <rPr>
            <b/>
            <sz val="9"/>
            <color indexed="81"/>
            <rFont val="MS P ゴシック"/>
            <family val="3"/>
            <charset val="128"/>
          </rPr>
          <t>集合形式のみ</t>
        </r>
      </text>
    </comment>
    <comment ref="I170" authorId="2" shapeId="0" xr:uid="{00000000-0006-0000-0900-000049000000}">
      <text>
        <r>
          <rPr>
            <sz val="9"/>
            <color indexed="81"/>
            <rFont val="ＭＳ Ｐゴシック"/>
            <family val="3"/>
            <charset val="128"/>
          </rPr>
          <t>舞台・客席部分の面積</t>
        </r>
      </text>
    </comment>
    <comment ref="I171" authorId="2" shapeId="0" xr:uid="{00000000-0006-0000-0900-00004A000000}">
      <text>
        <r>
          <rPr>
            <sz val="9"/>
            <color indexed="81"/>
            <rFont val="ＭＳ Ｐゴシック"/>
            <family val="3"/>
            <charset val="128"/>
          </rPr>
          <t>手摺部分の見付面積</t>
        </r>
      </text>
    </comment>
    <comment ref="I179" authorId="2" shapeId="0" xr:uid="{00000000-0006-0000-0900-00004B000000}">
      <text>
        <r>
          <rPr>
            <sz val="9"/>
            <color indexed="81"/>
            <rFont val="ＭＳ Ｐゴシック"/>
            <family val="3"/>
            <charset val="128"/>
          </rPr>
          <t xml:space="preserve">前面の腰部分の面積
</t>
        </r>
      </text>
    </comment>
    <comment ref="I180" authorId="2" shapeId="0" xr:uid="{00000000-0006-0000-0900-00004C000000}">
      <text>
        <r>
          <rPr>
            <sz val="9"/>
            <color indexed="81"/>
            <rFont val="ＭＳ Ｐゴシック"/>
            <family val="3"/>
            <charset val="128"/>
          </rPr>
          <t xml:space="preserve">前面の腰部分の面積
</t>
        </r>
      </text>
    </comment>
    <comment ref="I181" authorId="2" shapeId="0" xr:uid="{00000000-0006-0000-0900-00004D000000}">
      <text>
        <r>
          <rPr>
            <sz val="9"/>
            <color indexed="81"/>
            <rFont val="ＭＳ Ｐゴシック"/>
            <family val="3"/>
            <charset val="128"/>
          </rPr>
          <t xml:space="preserve">前面の腰部分の面積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鳥取県庁</author>
    <author>tottori</author>
    <author>鳥取県</author>
  </authors>
  <commentList>
    <comment ref="C5" authorId="0" shapeId="0" xr:uid="{00000000-0006-0000-0A00-000001000000}">
      <text>
        <r>
          <rPr>
            <sz val="9"/>
            <color indexed="81"/>
            <rFont val="ＭＳ Ｐゴシック"/>
            <family val="3"/>
            <charset val="128"/>
          </rPr>
          <t>※　ガラスは、そのガラスのある建具と同じ行に入力してください。
　　 ガラスの種類が一部違う建具の場合、ガラスごとに面積を分け　　
　　て入力してください。
　　（例）ＡＷ引７０　上：ﾌﾛｰﾄ3mm　下：型板4mm　寸法0.90×2.00
　　　　　→ｱﾙﾐ製 サッシュ引 70　ﾌﾛｰﾄ(透明)3　0.90×</t>
        </r>
        <r>
          <rPr>
            <u/>
            <sz val="9"/>
            <color indexed="81"/>
            <rFont val="ＭＳ Ｐゴシック"/>
            <family val="3"/>
            <charset val="128"/>
          </rPr>
          <t>1.00</t>
        </r>
        <r>
          <rPr>
            <sz val="9"/>
            <color indexed="81"/>
            <rFont val="ＭＳ Ｐゴシック"/>
            <family val="3"/>
            <charset val="128"/>
          </rPr>
          <t xml:space="preserve">
　　　　　→ｱﾙﾐ製 サッシュ引 70　型板4　0,90×</t>
        </r>
        <r>
          <rPr>
            <u/>
            <sz val="9"/>
            <color indexed="81"/>
            <rFont val="ＭＳ Ｐゴシック"/>
            <family val="3"/>
            <charset val="128"/>
          </rPr>
          <t>1.00</t>
        </r>
        <r>
          <rPr>
            <sz val="9"/>
            <color indexed="81"/>
            <rFont val="ＭＳ Ｐゴシック"/>
            <family val="3"/>
            <charset val="128"/>
          </rPr>
          <t xml:space="preserve">
※　ガラスの厚さが不明の場合
　①　基本的にそのガラスの種類の最低の厚さで評点付設する。
　②　ただしフロートガラスは5mmとする（工・倉のみ3mm）。
　③　アルミパネルについては型板ガラス4mm相当とする。</t>
        </r>
      </text>
    </comment>
    <comment ref="E5" authorId="1" shapeId="0" xr:uid="{A959C6CE-B009-429D-AB80-16681D9670BC}">
      <text>
        <r>
          <rPr>
            <sz val="8"/>
            <color indexed="81"/>
            <rFont val="ＭＳ Ｐゴシック"/>
            <family val="3"/>
            <charset val="128"/>
          </rPr>
          <t>シャッター手動開閉装置は、手動の巻き上げ機のこと
（装置のない手で上下する軽量シャッターには適用しない）</t>
        </r>
      </text>
    </comment>
    <comment ref="I27" authorId="2" shapeId="0" xr:uid="{00000000-0006-0000-0A00-000003000000}">
      <text>
        <r>
          <rPr>
            <sz val="9"/>
            <color indexed="81"/>
            <rFont val="Meiryo UI"/>
            <family val="3"/>
            <charset val="128"/>
          </rPr>
          <t>見えないようにしてますが、開口控除で使用する合計数値が入っています。</t>
        </r>
      </text>
    </comment>
    <comment ref="I52" authorId="2" shapeId="0" xr:uid="{00000000-0006-0000-0A00-000004000000}">
      <text>
        <r>
          <rPr>
            <sz val="9"/>
            <color indexed="81"/>
            <rFont val="Meiryo UI"/>
            <family val="3"/>
            <charset val="128"/>
          </rPr>
          <t>見えないようにしてますが、開口控除で使用する合計数値が入っています。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鳥取県庁</author>
    <author>tottori</author>
  </authors>
  <commentList>
    <comment ref="B8" authorId="0" shapeId="0" xr:uid="{00000000-0006-0000-0B00-000001000000}">
      <text>
        <r>
          <rPr>
            <b/>
            <sz val="9"/>
            <color indexed="10"/>
            <rFont val="ＭＳ Ｐゴシック"/>
            <family val="3"/>
            <charset val="128"/>
          </rPr>
          <t>◆設備補正については、３局協議により、以下のルールを採用しています◆</t>
        </r>
        <r>
          <rPr>
            <sz val="9"/>
            <color indexed="81"/>
            <rFont val="ＭＳ Ｐゴシック"/>
            <family val="3"/>
            <charset val="128"/>
          </rPr>
          <t xml:space="preserve">
　①　入力してよいセルは「水色」と「黄色」のみです。
　②　補正値が上限を超えるとセルが赤くなります。この場合、上限の数値としてください。下限止めは行いません。
　③　②によらず、「規模補正」については、自動的に上限止（下限止）となるようにしています。
　④　②によらず、「増点（減点）」のない評点項目については、自動的に上限（下限）を「１．０」としています。
　⑤　②によらず、１個あたりの大きさが評点数に比例すると考えられる補正は上下止めを行いません。　
　⑥　入力完了後、「Ｔ列」をフィルタリングし、印刷してください。
</t>
        </r>
      </text>
    </comment>
    <comment ref="G23" authorId="0" shapeId="0" xr:uid="{00000000-0006-0000-0B00-000002000000}">
      <text>
        <r>
          <rPr>
            <sz val="9"/>
            <color indexed="81"/>
            <rFont val="ＭＳ Ｐゴシック"/>
            <family val="3"/>
            <charset val="128"/>
          </rPr>
          <t>※動力のKwは、動力図（結線図）の負荷容量kw（なければ消費電力kw）を計上する。
　動力図に記載がなければ各設備図の電動機出力や圧縮機（COMP）のkwを計上する。
　（例１）ｴﾚﾍﾞｰﾀｰＡ　　積載量750kg（11人)　速度45m/min　</t>
        </r>
        <r>
          <rPr>
            <u/>
            <sz val="9"/>
            <color indexed="81"/>
            <rFont val="ＭＳ Ｐゴシック"/>
            <family val="3"/>
            <charset val="128"/>
          </rPr>
          <t>電動機出力3.5kw</t>
        </r>
        <r>
          <rPr>
            <sz val="9"/>
            <color indexed="81"/>
            <rFont val="ＭＳ Ｐゴシック"/>
            <family val="3"/>
            <charset val="128"/>
          </rPr>
          <t xml:space="preserve">
　（例２）ポンプＢ　　自動交互運転型　50A×300L/H×48m×</t>
        </r>
        <r>
          <rPr>
            <u/>
            <sz val="9"/>
            <color indexed="81"/>
            <rFont val="ＭＳ Ｐゴシック"/>
            <family val="3"/>
            <charset val="128"/>
          </rPr>
          <t>3.7kw</t>
        </r>
        <r>
          <rPr>
            <sz val="9"/>
            <color indexed="81"/>
            <rFont val="ＭＳ Ｐゴシック"/>
            <family val="3"/>
            <charset val="128"/>
          </rPr>
          <t>×2×3φ×200V
　（例３）空調Ｃ　　冷房能力14.00kw　暖房能力16.00kw　</t>
        </r>
        <r>
          <rPr>
            <u/>
            <sz val="9"/>
            <color indexed="81"/>
            <rFont val="ＭＳ Ｐゴシック"/>
            <family val="3"/>
            <charset val="128"/>
          </rPr>
          <t>圧縮機（COMP）1.8kw</t>
        </r>
      </text>
    </comment>
    <comment ref="G299" authorId="0" shapeId="0" xr:uid="{00000000-0006-0000-0B00-00000B000000}">
      <text>
        <r>
          <rPr>
            <sz val="9"/>
            <color indexed="81"/>
            <rFont val="ＭＳ Ｐゴシック"/>
            <family val="3"/>
            <charset val="128"/>
          </rPr>
          <t>※実務提要により、天井カセット方式はダクト無、天井隠蔽方式はダクト有とする</t>
        </r>
      </text>
    </comment>
    <comment ref="G301" authorId="0" shapeId="0" xr:uid="{00000000-0006-0000-0B00-00000C000000}">
      <text>
        <r>
          <rPr>
            <sz val="9"/>
            <color indexed="81"/>
            <rFont val="ＭＳ Ｐゴシック"/>
            <family val="3"/>
            <charset val="128"/>
          </rPr>
          <t>　・全熱交換機　＝　全熱交換機有　＋　１種換気
　・普　　　　　通　＝　全熱交換機無　＋　１種換気
　・天井扇程度 　＝　全熱交換機無　＋　３種換気
※全熱交換機の有無は空調仕様書や見積書等に記載がある
　 かないかで確認し、１種換気か３種換気の違いは、室内機とは
　 別に機械式の給気口が設置してあるかないかで確認する。</t>
        </r>
      </text>
    </comment>
    <comment ref="G309" authorId="0" shapeId="0" xr:uid="{00000000-0006-0000-0B00-00000D000000}">
      <text>
        <r>
          <rPr>
            <sz val="9"/>
            <color indexed="81"/>
            <rFont val="ＭＳ Ｐゴシック"/>
            <family val="3"/>
            <charset val="128"/>
          </rPr>
          <t>※室外機の冷房能力で計算します。</t>
        </r>
      </text>
    </comment>
    <comment ref="G531" authorId="1" shapeId="0" xr:uid="{00000000-0006-0000-0B00-000010000000}">
      <text>
        <r>
          <rPr>
            <sz val="9"/>
            <color indexed="81"/>
            <rFont val="ＭＳ Ｐゴシック"/>
            <family val="3"/>
            <charset val="128"/>
          </rPr>
          <t>評価替(案）Q&amp;Aの価格参照による補正の適用のために設定</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鳥取県</author>
  </authors>
  <commentList>
    <comment ref="F6" authorId="0" shapeId="0" xr:uid="{00000000-0006-0000-0C00-000001000000}">
      <text>
        <r>
          <rPr>
            <sz val="9"/>
            <color indexed="81"/>
            <rFont val="MS P ゴシック"/>
            <family val="3"/>
            <charset val="128"/>
          </rPr>
          <t>基準替においては、
数式内の数値を編集する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鳥取県</author>
    <author>tottori</author>
    <author>桝井　孝安</author>
  </authors>
  <commentList>
    <comment ref="L18" authorId="0" shapeId="0" xr:uid="{00000000-0006-0000-0D00-000001000000}">
      <text>
        <r>
          <rPr>
            <sz val="9"/>
            <color indexed="81"/>
            <rFont val="MS P ゴシック"/>
            <family val="3"/>
            <charset val="128"/>
          </rPr>
          <t>R3 住ア以外の基準数量を数式に変更
（以前は別ファイル計算結果数値を転記）</t>
        </r>
      </text>
    </comment>
    <comment ref="AT292" authorId="1" shapeId="0" xr:uid="{00000000-0006-0000-0D00-000004000000}">
      <text>
        <r>
          <rPr>
            <sz val="9"/>
            <color indexed="81"/>
            <rFont val="ＭＳ Ｐゴシック"/>
            <family val="3"/>
            <charset val="128"/>
          </rPr>
          <t>下限に対応する規模は、Q&amp;Aより。</t>
        </r>
      </text>
    </comment>
    <comment ref="AR306" authorId="1" shapeId="0" xr:uid="{00000000-0006-0000-0D00-000005000000}">
      <text>
        <r>
          <rPr>
            <sz val="9"/>
            <color indexed="81"/>
            <rFont val="ＭＳ Ｐゴシック"/>
            <family val="3"/>
            <charset val="128"/>
          </rPr>
          <t>下限に対応する規模はQ&amp;Aより。</t>
        </r>
      </text>
    </comment>
    <comment ref="Q313" authorId="1" shapeId="0" xr:uid="{00000000-0006-0000-0D00-000006000000}">
      <text>
        <r>
          <rPr>
            <sz val="9"/>
            <color indexed="81"/>
            <rFont val="ＭＳ Ｐゴシック"/>
            <family val="3"/>
            <charset val="128"/>
          </rPr>
          <t>下限に対応する規模はQ&amp;Aより。</t>
        </r>
      </text>
    </comment>
    <comment ref="Z320" authorId="1" shapeId="0" xr:uid="{00000000-0006-0000-0D00-000007000000}">
      <text>
        <r>
          <rPr>
            <sz val="9"/>
            <color indexed="81"/>
            <rFont val="ＭＳ Ｐゴシック"/>
            <family val="3"/>
            <charset val="128"/>
          </rPr>
          <t>下限に対応する規模はQ&amp;Aより。</t>
        </r>
      </text>
    </comment>
    <comment ref="E555" authorId="2" shapeId="0" xr:uid="{D7AC9A3C-4091-46B2-BB9D-20212D42C9ED}">
      <text>
        <r>
          <rPr>
            <sz val="9"/>
            <color indexed="81"/>
            <rFont val="MS P ゴシック"/>
            <family val="3"/>
            <charset val="128"/>
          </rPr>
          <t>増点超の補正率については計算シートで対応</t>
        </r>
        <r>
          <rPr>
            <b/>
            <sz val="9"/>
            <color indexed="81"/>
            <rFont val="MS P ゴシック"/>
            <family val="3"/>
            <charset val="128"/>
          </rPr>
          <t xml:space="preserve">
</t>
        </r>
      </text>
    </comment>
    <comment ref="V559" authorId="1" shapeId="0" xr:uid="{CE92FF07-6A52-409A-9F92-1CD6EB19DEC9}">
      <text>
        <r>
          <rPr>
            <sz val="8"/>
            <color indexed="81"/>
            <rFont val="ＭＳ Ｐゴシック"/>
            <family val="3"/>
            <charset val="128"/>
          </rPr>
          <t>ｸﾚｰﾝ200ｔの場合の補正は固定資産評価基準解説より（20ｔを1.0として2.0）</t>
        </r>
      </text>
    </comment>
    <comment ref="W559" authorId="1" shapeId="0" xr:uid="{121AAE68-6A5E-4ACE-82F7-83C7EA8B15A3}">
      <text>
        <r>
          <rPr>
            <sz val="8"/>
            <color indexed="81"/>
            <rFont val="ＭＳ Ｐゴシック"/>
            <family val="3"/>
            <charset val="128"/>
          </rPr>
          <t>総務書回答</t>
        </r>
      </text>
    </comment>
    <comment ref="Y559" authorId="2" shapeId="0" xr:uid="{3F3FD85F-F5EF-4A84-A2B5-F69C53C52762}">
      <text>
        <r>
          <rPr>
            <sz val="9"/>
            <color indexed="81"/>
            <rFont val="MS P ゴシック"/>
            <family val="3"/>
            <charset val="128"/>
          </rPr>
          <t>総務省回答</t>
        </r>
      </text>
    </comment>
    <comment ref="E560" authorId="2" shapeId="0" xr:uid="{6457A064-9D57-4557-BBC5-B536FB7722A1}">
      <text>
        <r>
          <rPr>
            <sz val="9"/>
            <color indexed="81"/>
            <rFont val="MS P ゴシック"/>
            <family val="3"/>
            <charset val="128"/>
          </rPr>
          <t>増点超の補正率については計算シートで対応</t>
        </r>
        <r>
          <rPr>
            <b/>
            <sz val="9"/>
            <color indexed="81"/>
            <rFont val="MS P ゴシック"/>
            <family val="3"/>
            <charset val="128"/>
          </rPr>
          <t xml:space="preserve">
</t>
        </r>
      </text>
    </comment>
    <comment ref="V564" authorId="1" shapeId="0" xr:uid="{48ECCD5F-493F-4EDC-BBA6-9C4ED99B96E0}">
      <text>
        <r>
          <rPr>
            <sz val="8"/>
            <color indexed="81"/>
            <rFont val="ＭＳ Ｐゴシック"/>
            <family val="3"/>
            <charset val="128"/>
          </rPr>
          <t>ｸﾚｰﾝ200ｔの場合の補正は固定資産評価基準解説より（20ｔを1.0として2.0）</t>
        </r>
      </text>
    </comment>
    <comment ref="W564" authorId="1" shapeId="0" xr:uid="{EB9C31EE-FD00-46E9-A2C8-095569635669}">
      <text>
        <r>
          <rPr>
            <sz val="8"/>
            <color indexed="81"/>
            <rFont val="ＭＳ Ｐゴシック"/>
            <family val="3"/>
            <charset val="128"/>
          </rPr>
          <t>総務省回答</t>
        </r>
      </text>
    </comment>
    <comment ref="B601" authorId="2" shapeId="0" xr:uid="{2F4A0FD1-8EA8-4149-BBEC-3AA351B88ED7}">
      <text>
        <r>
          <rPr>
            <sz val="9"/>
            <color indexed="81"/>
            <rFont val="MS P ゴシック"/>
            <family val="3"/>
            <charset val="128"/>
          </rPr>
          <t>R06基準評価替え　参考資料8</t>
        </r>
      </text>
    </comment>
  </commentList>
</comments>
</file>

<file path=xl/sharedStrings.xml><?xml version="1.0" encoding="utf-8"?>
<sst xmlns="http://schemas.openxmlformats.org/spreadsheetml/2006/main" count="15785" uniqueCount="5816">
  <si>
    <t>窓拭用ゴンドラ</t>
    <rPh sb="0" eb="2">
      <t>マドフ</t>
    </rPh>
    <rPh sb="2" eb="3">
      <t>ヨウ</t>
    </rPh>
    <phoneticPr fontId="8"/>
  </si>
  <si>
    <t>窓拭き用ゴンドラ・軒高</t>
    <rPh sb="0" eb="2">
      <t>マドフ</t>
    </rPh>
    <rPh sb="3" eb="4">
      <t>ヨウ</t>
    </rPh>
    <rPh sb="9" eb="10">
      <t>ノキ</t>
    </rPh>
    <rPh sb="10" eb="11">
      <t>タカ</t>
    </rPh>
    <phoneticPr fontId="8"/>
  </si>
  <si>
    <t>窓拭き用ゴンドラ・アームの形式</t>
    <rPh sb="0" eb="2">
      <t>マドフ</t>
    </rPh>
    <rPh sb="3" eb="4">
      <t>ヨウ</t>
    </rPh>
    <rPh sb="13" eb="15">
      <t>ケイシキ</t>
    </rPh>
    <phoneticPr fontId="8"/>
  </si>
  <si>
    <t>窓拭き用ゴンドラ・吊ワイヤロープ数</t>
    <rPh sb="0" eb="2">
      <t>マドフ</t>
    </rPh>
    <rPh sb="3" eb="4">
      <t>ヨウ</t>
    </rPh>
    <rPh sb="9" eb="10">
      <t>ツ</t>
    </rPh>
    <rPh sb="16" eb="17">
      <t>スウ</t>
    </rPh>
    <phoneticPr fontId="8"/>
  </si>
  <si>
    <t>窓拭き用ゴンドラ・走行レールの有無</t>
    <rPh sb="0" eb="2">
      <t>マドフ</t>
    </rPh>
    <rPh sb="3" eb="4">
      <t>ヨウ</t>
    </rPh>
    <rPh sb="9" eb="11">
      <t>ソウコウ</t>
    </rPh>
    <rPh sb="15" eb="17">
      <t>ウム</t>
    </rPh>
    <phoneticPr fontId="8"/>
  </si>
  <si>
    <t>［ゴンドラ］</t>
    <phoneticPr fontId="8"/>
  </si>
  <si>
    <t>迫出し式</t>
    <rPh sb="0" eb="1">
      <t>サコ</t>
    </rPh>
    <rPh sb="1" eb="2">
      <t>ダ</t>
    </rPh>
    <rPh sb="3" eb="4">
      <t>シキ</t>
    </rPh>
    <phoneticPr fontId="8"/>
  </si>
  <si>
    <t>俯仰式</t>
    <rPh sb="1" eb="2">
      <t>ギョウ</t>
    </rPh>
    <rPh sb="2" eb="3">
      <t>シキ</t>
    </rPh>
    <phoneticPr fontId="8"/>
  </si>
  <si>
    <t>固定式</t>
    <rPh sb="0" eb="3">
      <t>コテイシキ</t>
    </rPh>
    <phoneticPr fontId="8"/>
  </si>
  <si>
    <t>［主体・仮設・その他工事ＤＢ］</t>
    <rPh sb="1" eb="3">
      <t>シュタイ</t>
    </rPh>
    <rPh sb="4" eb="6">
      <t>カセツ</t>
    </rPh>
    <rPh sb="9" eb="10">
      <t>タ</t>
    </rPh>
    <rPh sb="10" eb="12">
      <t>コウジ</t>
    </rPh>
    <phoneticPr fontId="8"/>
  </si>
  <si>
    <t>［主体不明確補正］</t>
    <rPh sb="1" eb="3">
      <t>シュタイ</t>
    </rPh>
    <rPh sb="3" eb="6">
      <t>フメイカク</t>
    </rPh>
    <rPh sb="6" eb="8">
      <t>ホセイ</t>
    </rPh>
    <phoneticPr fontId="8"/>
  </si>
  <si>
    <t>階高</t>
  </si>
  <si>
    <t>柱間</t>
  </si>
  <si>
    <t>装備</t>
  </si>
  <si>
    <t>Ｓ・規模の補正</t>
    <rPh sb="2" eb="4">
      <t>キボ</t>
    </rPh>
    <rPh sb="5" eb="7">
      <t>ホセイ</t>
    </rPh>
    <phoneticPr fontId="16"/>
  </si>
  <si>
    <t>増点</t>
  </si>
  <si>
    <t>標準</t>
  </si>
  <si>
    <t>減点</t>
  </si>
  <si>
    <t>上限</t>
    <rPh sb="0" eb="2">
      <t>ジョウゲン</t>
    </rPh>
    <phoneticPr fontId="8"/>
  </si>
  <si>
    <t>下限</t>
    <rPh sb="0" eb="2">
      <t>カゲン</t>
    </rPh>
    <phoneticPr fontId="8"/>
  </si>
  <si>
    <t>減点無</t>
  </si>
  <si>
    <t>古材</t>
    <rPh sb="0" eb="1">
      <t>フル</t>
    </rPh>
    <rPh sb="1" eb="2">
      <t>ザイ</t>
    </rPh>
    <phoneticPr fontId="8"/>
  </si>
  <si>
    <t>ＲＣ</t>
  </si>
  <si>
    <t>×</t>
    <phoneticPr fontId="8"/>
  </si>
  <si>
    <t>ＬＧＳ</t>
  </si>
  <si>
    <t>［主体明確補正］</t>
    <rPh sb="1" eb="3">
      <t>シュタイ</t>
    </rPh>
    <rPh sb="3" eb="5">
      <t>メイカク</t>
    </rPh>
    <rPh sb="5" eb="7">
      <t>ホセイ</t>
    </rPh>
    <phoneticPr fontId="16"/>
  </si>
  <si>
    <t>ＳＲＣ・工事形態</t>
    <rPh sb="4" eb="6">
      <t>コウジ</t>
    </rPh>
    <rPh sb="6" eb="8">
      <t>ケイタイ</t>
    </rPh>
    <phoneticPr fontId="16"/>
  </si>
  <si>
    <t>Ｓ・工事形態</t>
    <rPh sb="2" eb="4">
      <t>コウジ</t>
    </rPh>
    <rPh sb="4" eb="6">
      <t>ケイタイ</t>
    </rPh>
    <phoneticPr fontId="16"/>
  </si>
  <si>
    <t>ＲＣ・工事形態</t>
    <rPh sb="3" eb="5">
      <t>コウジ</t>
    </rPh>
    <rPh sb="5" eb="7">
      <t>ケイタイ</t>
    </rPh>
    <phoneticPr fontId="16"/>
  </si>
  <si>
    <t>LGS・工事形態</t>
    <rPh sb="4" eb="6">
      <t>コウジ</t>
    </rPh>
    <rPh sb="6" eb="8">
      <t>ケイタイ</t>
    </rPh>
    <phoneticPr fontId="16"/>
  </si>
  <si>
    <t>仮設工事</t>
    <rPh sb="0" eb="2">
      <t>カセツ</t>
    </rPh>
    <rPh sb="2" eb="4">
      <t>コウジ</t>
    </rPh>
    <phoneticPr fontId="16"/>
  </si>
  <si>
    <t>その他工事</t>
    <rPh sb="2" eb="3">
      <t>タ</t>
    </rPh>
    <rPh sb="3" eb="5">
      <t>コウジ</t>
    </rPh>
    <phoneticPr fontId="16"/>
  </si>
  <si>
    <t>［評価基準名称］</t>
    <rPh sb="1" eb="3">
      <t>ヒョウカ</t>
    </rPh>
    <rPh sb="3" eb="5">
      <t>キジュン</t>
    </rPh>
    <rPh sb="5" eb="7">
      <t>メイショウ</t>
    </rPh>
    <phoneticPr fontId="8"/>
  </si>
  <si>
    <t>複雑</t>
    <rPh sb="0" eb="2">
      <t>フクザツ</t>
    </rPh>
    <phoneticPr fontId="16"/>
  </si>
  <si>
    <t>普通</t>
    <rPh sb="0" eb="2">
      <t>フツウ</t>
    </rPh>
    <phoneticPr fontId="16"/>
  </si>
  <si>
    <t>－</t>
    <phoneticPr fontId="8"/>
  </si>
  <si>
    <t>評 点 数</t>
    <phoneticPr fontId="8"/>
  </si>
  <si>
    <t>-</t>
    <phoneticPr fontId="8"/>
  </si>
  <si>
    <t>ｍ</t>
    <phoneticPr fontId="8"/>
  </si>
  <si>
    <t>cm</t>
    <phoneticPr fontId="8"/>
  </si>
  <si>
    <t>+</t>
    <phoneticPr fontId="17"/>
  </si>
  <si>
    <t>◆</t>
    <phoneticPr fontId="8"/>
  </si>
  <si>
    <t>種　　　類</t>
    <phoneticPr fontId="17"/>
  </si>
  <si>
    <t>(　　　　　　)</t>
    <phoneticPr fontId="8"/>
  </si>
  <si>
    <t>㎡</t>
    <phoneticPr fontId="8"/>
  </si>
  <si>
    <t>ｍ</t>
    <phoneticPr fontId="8"/>
  </si>
  <si>
    <t>㎡</t>
    <phoneticPr fontId="17"/>
  </si>
  <si>
    <t>●データベース(ＤＢ)</t>
    <phoneticPr fontId="8"/>
  </si>
  <si>
    <t>［ＵＢ］</t>
    <phoneticPr fontId="8"/>
  </si>
  <si>
    <t>［ＨＵＢ］</t>
    <phoneticPr fontId="8"/>
  </si>
  <si>
    <t>［ＵＳ］</t>
    <phoneticPr fontId="8"/>
  </si>
  <si>
    <t>ﾐﾆｼｽﾃﾑｷｯﾁﾝ</t>
    <phoneticPr fontId="8"/>
  </si>
  <si>
    <t>［ドレンチャー］</t>
    <phoneticPr fontId="8"/>
  </si>
  <si>
    <t>－</t>
    <phoneticPr fontId="8"/>
  </si>
  <si>
    <t>［硝子名称］</t>
    <rPh sb="3" eb="5">
      <t>メイショウ</t>
    </rPh>
    <phoneticPr fontId="8"/>
  </si>
  <si>
    <t>－</t>
    <phoneticPr fontId="8"/>
  </si>
  <si>
    <t>－</t>
    <phoneticPr fontId="8"/>
  </si>
  <si>
    <t>（ｶﾞﾗｽ自由作成１）</t>
    <rPh sb="5" eb="7">
      <t>ジユウ</t>
    </rPh>
    <rPh sb="7" eb="9">
      <t>サクセイ</t>
    </rPh>
    <phoneticPr fontId="8"/>
  </si>
  <si>
    <t>（ｶﾞﾗｽ自由作成２）</t>
    <rPh sb="5" eb="7">
      <t>ジユウ</t>
    </rPh>
    <rPh sb="7" eb="9">
      <t>サクセイ</t>
    </rPh>
    <phoneticPr fontId="8"/>
  </si>
  <si>
    <t>特殊設備の評価計算</t>
    <rPh sb="0" eb="2">
      <t>トクシュ</t>
    </rPh>
    <rPh sb="2" eb="4">
      <t>セツビ</t>
    </rPh>
    <phoneticPr fontId="8"/>
  </si>
  <si>
    <t>評　点　項　目</t>
    <phoneticPr fontId="8"/>
  </si>
  <si>
    <t>［特殊設備名称］</t>
    <rPh sb="5" eb="7">
      <t>メイショウ</t>
    </rPh>
    <phoneticPr fontId="8"/>
  </si>
  <si>
    <t>.</t>
    <phoneticPr fontId="8"/>
  </si>
  <si>
    <t>劇場用特殊機器</t>
  </si>
  <si>
    <t>－</t>
    <phoneticPr fontId="8"/>
  </si>
  <si>
    <t>－</t>
    <phoneticPr fontId="8"/>
  </si>
  <si>
    <t>固定椅子 上</t>
  </si>
  <si>
    <t>固定椅子 中</t>
  </si>
  <si>
    <t>金庫扉丸型</t>
  </si>
  <si>
    <t>書庫扉</t>
  </si>
  <si>
    <t>造り付け家具 練付板</t>
  </si>
  <si>
    <t>造り付け家具 木製</t>
  </si>
  <si>
    <t>（特殊設備自由作成１）</t>
    <rPh sb="1" eb="3">
      <t>トクシュ</t>
    </rPh>
    <rPh sb="3" eb="5">
      <t>セツビ</t>
    </rPh>
    <rPh sb="5" eb="7">
      <t>ジユウ</t>
    </rPh>
    <rPh sb="7" eb="9">
      <t>サクセイ</t>
    </rPh>
    <phoneticPr fontId="8"/>
  </si>
  <si>
    <t>－</t>
    <phoneticPr fontId="8"/>
  </si>
  <si>
    <t>（特殊設備自由作成２）</t>
    <rPh sb="1" eb="3">
      <t>トクシュ</t>
    </rPh>
    <rPh sb="3" eb="5">
      <t>セツビ</t>
    </rPh>
    <rPh sb="5" eb="7">
      <t>ジユウ</t>
    </rPh>
    <rPh sb="7" eb="9">
      <t>サクセイ</t>
    </rPh>
    <phoneticPr fontId="8"/>
  </si>
  <si>
    <t xml:space="preserve"> 建　　具　　の　　明　　細 </t>
    <rPh sb="10" eb="11">
      <t>メイ</t>
    </rPh>
    <rPh sb="13" eb="14">
      <t>ホソ</t>
    </rPh>
    <phoneticPr fontId="17"/>
  </si>
  <si>
    <t>名称</t>
    <rPh sb="0" eb="2">
      <t>メイショウ</t>
    </rPh>
    <phoneticPr fontId="17"/>
  </si>
  <si>
    <t>種類＋枠見込</t>
  </si>
  <si>
    <t>ガラス</t>
  </si>
  <si>
    <t>網戸</t>
  </si>
  <si>
    <t>大きさ(ｍ)</t>
  </si>
  <si>
    <t>枚数</t>
  </si>
  <si>
    <t>面積計(㎡)</t>
    <rPh sb="2" eb="3">
      <t>ケイ</t>
    </rPh>
    <phoneticPr fontId="17"/>
  </si>
  <si>
    <t>網戸</t>
    <rPh sb="0" eb="2">
      <t>アミド</t>
    </rPh>
    <phoneticPr fontId="17"/>
  </si>
  <si>
    <t>面積計(㎡)</t>
    <rPh sb="0" eb="2">
      <t>メンセキ</t>
    </rPh>
    <rPh sb="2" eb="3">
      <t>ケイ</t>
    </rPh>
    <phoneticPr fontId="17"/>
  </si>
  <si>
    <t xml:space="preserve"> ガラス面積計</t>
    <rPh sb="4" eb="6">
      <t>メンセキ</t>
    </rPh>
    <rPh sb="6" eb="7">
      <t>ケイ</t>
    </rPh>
    <phoneticPr fontId="17"/>
  </si>
  <si>
    <t>建具総面積</t>
  </si>
  <si>
    <t>㎡</t>
    <phoneticPr fontId="17"/>
  </si>
  <si>
    <t>建具</t>
    <rPh sb="0" eb="2">
      <t>タテグ</t>
    </rPh>
    <phoneticPr fontId="17"/>
  </si>
  <si>
    <t>㎡</t>
    <phoneticPr fontId="17"/>
  </si>
  <si>
    <t>「建具の明細」ｼｰﾄの建具面積計</t>
    <rPh sb="1" eb="3">
      <t>タテグ</t>
    </rPh>
    <rPh sb="4" eb="6">
      <t>メイサイ</t>
    </rPh>
    <rPh sb="11" eb="13">
      <t>タテグ</t>
    </rPh>
    <rPh sb="13" eb="15">
      <t>メンセキ</t>
    </rPh>
    <rPh sb="15" eb="16">
      <t>ケイ</t>
    </rPh>
    <phoneticPr fontId="17"/>
  </si>
  <si>
    <t>硝子</t>
    <rPh sb="0" eb="2">
      <t>ガラス</t>
    </rPh>
    <phoneticPr fontId="17"/>
  </si>
  <si>
    <t>「建具」ｼｰﾄの建具面積計</t>
    <rPh sb="1" eb="3">
      <t>タテグ</t>
    </rPh>
    <rPh sb="8" eb="10">
      <t>タテグ</t>
    </rPh>
    <rPh sb="10" eb="12">
      <t>メンセキ</t>
    </rPh>
    <rPh sb="12" eb="13">
      <t>ケイ</t>
    </rPh>
    <phoneticPr fontId="17"/>
  </si>
  <si>
    <t>特殊設備</t>
    <rPh sb="0" eb="2">
      <t>トクシュ</t>
    </rPh>
    <rPh sb="2" eb="4">
      <t>セツビ</t>
    </rPh>
    <phoneticPr fontId="17"/>
  </si>
  <si>
    <t>1個当り㎡</t>
    <rPh sb="1" eb="2">
      <t>コ</t>
    </rPh>
    <phoneticPr fontId="17"/>
  </si>
  <si>
    <t>個数</t>
    <rPh sb="0" eb="2">
      <t>コスウ</t>
    </rPh>
    <phoneticPr fontId="17"/>
  </si>
  <si>
    <t>特殊設備合計</t>
    <rPh sb="0" eb="2">
      <t>トクシュ</t>
    </rPh>
    <rPh sb="2" eb="4">
      <t>セツビ</t>
    </rPh>
    <phoneticPr fontId="17"/>
  </si>
  <si>
    <t>「建具の明細」ｼｰﾄの特設面積計</t>
    <rPh sb="1" eb="3">
      <t>タテグ</t>
    </rPh>
    <rPh sb="4" eb="6">
      <t>メイサイ</t>
    </rPh>
    <rPh sb="11" eb="13">
      <t>トクセツ</t>
    </rPh>
    <rPh sb="13" eb="15">
      <t>メンセキ</t>
    </rPh>
    <rPh sb="15" eb="16">
      <t>ケイ</t>
    </rPh>
    <phoneticPr fontId="17"/>
  </si>
  <si>
    <t>「建具」ｼｰﾄの特殊設備面積計</t>
    <rPh sb="1" eb="3">
      <t>タテグ</t>
    </rPh>
    <rPh sb="8" eb="10">
      <t>トクシュ</t>
    </rPh>
    <rPh sb="10" eb="12">
      <t>セツビ</t>
    </rPh>
    <rPh sb="12" eb="14">
      <t>メンセキ</t>
    </rPh>
    <rPh sb="14" eb="15">
      <t>ケイ</t>
    </rPh>
    <phoneticPr fontId="17"/>
  </si>
  <si>
    <t>電気設備</t>
    <rPh sb="0" eb="2">
      <t>デンキ</t>
    </rPh>
    <rPh sb="2" eb="4">
      <t>セツビ</t>
    </rPh>
    <phoneticPr fontId="8"/>
  </si>
  <si>
    <t>衛生設備</t>
    <rPh sb="0" eb="2">
      <t>エイセイ</t>
    </rPh>
    <rPh sb="2" eb="4">
      <t>セツビ</t>
    </rPh>
    <phoneticPr fontId="8"/>
  </si>
  <si>
    <t>空調設備</t>
    <rPh sb="0" eb="2">
      <t>クウチョウ</t>
    </rPh>
    <rPh sb="2" eb="4">
      <t>セツビ</t>
    </rPh>
    <phoneticPr fontId="8"/>
  </si>
  <si>
    <t>防災設備</t>
    <rPh sb="0" eb="2">
      <t>ボウサイ</t>
    </rPh>
    <rPh sb="2" eb="4">
      <t>セツビ</t>
    </rPh>
    <phoneticPr fontId="8"/>
  </si>
  <si>
    <t>運搬設備</t>
    <rPh sb="0" eb="2">
      <t>ウンパン</t>
    </rPh>
    <rPh sb="2" eb="4">
      <t>セツビ</t>
    </rPh>
    <phoneticPr fontId="8"/>
  </si>
  <si>
    <t>◆建築設備</t>
    <rPh sb="1" eb="3">
      <t>ケンチク</t>
    </rPh>
    <rPh sb="3" eb="5">
      <t>セツビ</t>
    </rPh>
    <phoneticPr fontId="8"/>
  </si>
  <si>
    <t>（総合方式）</t>
    <phoneticPr fontId="8"/>
  </si>
  <si>
    <t>設備補正のルールについて</t>
    <rPh sb="0" eb="2">
      <t>セツビ</t>
    </rPh>
    <rPh sb="2" eb="4">
      <t>ホセイ</t>
    </rPh>
    <phoneticPr fontId="8"/>
  </si>
  <si>
    <t>取得者</t>
    <rPh sb="0" eb="3">
      <t>シュトクシャ</t>
    </rPh>
    <phoneticPr fontId="8"/>
  </si>
  <si>
    <t>評価基準</t>
    <rPh sb="0" eb="2">
      <t>ヒョウカ</t>
    </rPh>
    <rPh sb="2" eb="4">
      <t>キジュン</t>
    </rPh>
    <phoneticPr fontId="8"/>
  </si>
  <si>
    <t>㎡</t>
    <phoneticPr fontId="8"/>
  </si>
  <si>
    <t>電気設備</t>
    <rPh sb="0" eb="1">
      <t>デン</t>
    </rPh>
    <rPh sb="1" eb="2">
      <t>キ</t>
    </rPh>
    <rPh sb="2" eb="3">
      <t>セツ</t>
    </rPh>
    <rPh sb="3" eb="4">
      <t>ソナエ</t>
    </rPh>
    <phoneticPr fontId="8"/>
  </si>
  <si>
    <t>標準評点数</t>
    <rPh sb="0" eb="2">
      <t>ヒョウジュン</t>
    </rPh>
    <rPh sb="2" eb="3">
      <t>ヒョウ</t>
    </rPh>
    <rPh sb="3" eb="5">
      <t>テンスウ</t>
    </rPh>
    <phoneticPr fontId="8"/>
  </si>
  <si>
    <t>補　　正　　項　　目</t>
    <rPh sb="0" eb="1">
      <t>タスク</t>
    </rPh>
    <rPh sb="3" eb="4">
      <t>セイ</t>
    </rPh>
    <rPh sb="6" eb="7">
      <t>コウ</t>
    </rPh>
    <rPh sb="9" eb="10">
      <t>メ</t>
    </rPh>
    <phoneticPr fontId="8"/>
  </si>
  <si>
    <t>評点数</t>
    <rPh sb="0" eb="2">
      <t>ヒョウテン</t>
    </rPh>
    <rPh sb="2" eb="3">
      <t>スウ</t>
    </rPh>
    <phoneticPr fontId="9"/>
  </si>
  <si>
    <t>計算単位</t>
    <rPh sb="0" eb="2">
      <t>ケイサン</t>
    </rPh>
    <rPh sb="2" eb="4">
      <t>タンイ</t>
    </rPh>
    <phoneticPr fontId="9"/>
  </si>
  <si>
    <t>ポンプ</t>
    <phoneticPr fontId="8"/>
  </si>
  <si>
    <t>空調</t>
    <rPh sb="0" eb="2">
      <t>クウチョウ</t>
    </rPh>
    <phoneticPr fontId="8"/>
  </si>
  <si>
    <t>動力容量</t>
    <rPh sb="0" eb="2">
      <t>ドウリョク</t>
    </rPh>
    <rPh sb="2" eb="4">
      <t>ヨウリョウ</t>
    </rPh>
    <phoneticPr fontId="8"/>
  </si>
  <si>
    <t>㎡</t>
    <phoneticPr fontId="8"/>
  </si>
  <si>
    <t>配置</t>
    <rPh sb="0" eb="2">
      <t>ハイチ</t>
    </rPh>
    <phoneticPr fontId="8"/>
  </si>
  <si>
    <t>個/㎡</t>
    <rPh sb="0" eb="1">
      <t>コ</t>
    </rPh>
    <phoneticPr fontId="8"/>
  </si>
  <si>
    <t>(対象床㎡)</t>
    <rPh sb="1" eb="3">
      <t>タイショウ</t>
    </rPh>
    <rPh sb="3" eb="4">
      <t>ユカ</t>
    </rPh>
    <phoneticPr fontId="8"/>
  </si>
  <si>
    <t>標準</t>
    <rPh sb="0" eb="2">
      <t>ヒョウジュン</t>
    </rPh>
    <phoneticPr fontId="8"/>
  </si>
  <si>
    <t>減点</t>
    <rPh sb="0" eb="2">
      <t>ゲンテン</t>
    </rPh>
    <phoneticPr fontId="8"/>
  </si>
  <si>
    <t>－</t>
    <phoneticPr fontId="8"/>
  </si>
  <si>
    <t>評 点 数</t>
    <phoneticPr fontId="8"/>
  </si>
  <si>
    <t>　場所打コンクリート杭</t>
    <rPh sb="1" eb="3">
      <t>バショ</t>
    </rPh>
    <rPh sb="3" eb="4">
      <t>ウチ</t>
    </rPh>
    <rPh sb="10" eb="11">
      <t>クイ</t>
    </rPh>
    <phoneticPr fontId="8"/>
  </si>
  <si>
    <t>cm</t>
    <phoneticPr fontId="8"/>
  </si>
  <si>
    <t>ｍ</t>
    <phoneticPr fontId="8"/>
  </si>
  <si>
    <t>－</t>
    <phoneticPr fontId="8"/>
  </si>
  <si>
    <t>電話配線</t>
    <rPh sb="0" eb="2">
      <t>デンワ</t>
    </rPh>
    <rPh sb="2" eb="4">
      <t>ハイセン</t>
    </rPh>
    <phoneticPr fontId="8"/>
  </si>
  <si>
    <t>接続口数</t>
    <rPh sb="0" eb="3">
      <t>セツゾクグチ</t>
    </rPh>
    <rPh sb="3" eb="4">
      <t>スウ</t>
    </rPh>
    <phoneticPr fontId="8"/>
  </si>
  <si>
    <t>(組数)</t>
    <rPh sb="1" eb="3">
      <t>クミスウ</t>
    </rPh>
    <phoneticPr fontId="8"/>
  </si>
  <si>
    <t>組</t>
    <rPh sb="0" eb="1">
      <t>クミ</t>
    </rPh>
    <phoneticPr fontId="8"/>
  </si>
  <si>
    <t>(駐車場㎡)</t>
    <rPh sb="1" eb="4">
      <t>チュウシャジョウ</t>
    </rPh>
    <phoneticPr fontId="8"/>
  </si>
  <si>
    <t>自 動 車
管制装置</t>
    <rPh sb="0" eb="1">
      <t>ジ</t>
    </rPh>
    <rPh sb="2" eb="3">
      <t>ドウ</t>
    </rPh>
    <rPh sb="4" eb="5">
      <t>クルマ</t>
    </rPh>
    <rPh sb="6" eb="8">
      <t>カンセイ</t>
    </rPh>
    <rPh sb="8" eb="10">
      <t>ソウチ</t>
    </rPh>
    <phoneticPr fontId="8"/>
  </si>
  <si>
    <t>駐車場
規　 模</t>
    <rPh sb="0" eb="3">
      <t>チュウシャジョウ</t>
    </rPh>
    <rPh sb="4" eb="5">
      <t>キ</t>
    </rPh>
    <rPh sb="7" eb="8">
      <t>ボ</t>
    </rPh>
    <phoneticPr fontId="8"/>
  </si>
  <si>
    <t>㎡</t>
    <phoneticPr fontId="8"/>
  </si>
  <si>
    <t>(台数)</t>
    <rPh sb="1" eb="3">
      <t>ダイスウ</t>
    </rPh>
    <phoneticPr fontId="8"/>
  </si>
  <si>
    <t>台</t>
    <rPh sb="0" eb="1">
      <t>ダイ</t>
    </rPh>
    <phoneticPr fontId="8"/>
  </si>
  <si>
    <t>拡 声 器
配　　線</t>
    <rPh sb="0" eb="1">
      <t>ヒロム</t>
    </rPh>
    <rPh sb="2" eb="3">
      <t>コエ</t>
    </rPh>
    <rPh sb="4" eb="5">
      <t>ウツワ</t>
    </rPh>
    <rPh sb="6" eb="7">
      <t>クバ</t>
    </rPh>
    <rPh sb="9" eb="10">
      <t>セン</t>
    </rPh>
    <phoneticPr fontId="8"/>
  </si>
  <si>
    <t>器具数</t>
    <rPh sb="0" eb="2">
      <t>キグ</t>
    </rPh>
    <rPh sb="2" eb="3">
      <t>スウ</t>
    </rPh>
    <phoneticPr fontId="8"/>
  </si>
  <si>
    <t>対象床面積</t>
    <rPh sb="0" eb="2">
      <t>タイショウ</t>
    </rPh>
    <rPh sb="2" eb="3">
      <t>ユカ</t>
    </rPh>
    <rPh sb="3" eb="5">
      <t>メンセキ</t>
    </rPh>
    <phoneticPr fontId="8"/>
  </si>
  <si>
    <t>㎡/個</t>
    <rPh sb="2" eb="3">
      <t>コ</t>
    </rPh>
    <phoneticPr fontId="8"/>
  </si>
  <si>
    <t>ＴＶ共同聴視設備</t>
    <rPh sb="2" eb="4">
      <t>キョウドウ</t>
    </rPh>
    <rPh sb="4" eb="6">
      <t>チョウシ</t>
    </rPh>
    <rPh sb="6" eb="8">
      <t>セツビ</t>
    </rPh>
    <phoneticPr fontId="8"/>
  </si>
  <si>
    <t>総体的</t>
    <rPh sb="0" eb="3">
      <t>ソウタイテキ</t>
    </rPh>
    <phoneticPr fontId="8"/>
  </si>
  <si>
    <t>方式</t>
    <rPh sb="0" eb="2">
      <t>ホウシキ</t>
    </rPh>
    <phoneticPr fontId="8"/>
  </si>
  <si>
    <t>設置箇所</t>
    <rPh sb="0" eb="2">
      <t>セッチ</t>
    </rPh>
    <rPh sb="2" eb="4">
      <t>カショ</t>
    </rPh>
    <phoneticPr fontId="8"/>
  </si>
  <si>
    <t>局所的</t>
    <rPh sb="0" eb="3">
      <t>キョクショテキ</t>
    </rPh>
    <phoneticPr fontId="8"/>
  </si>
  <si>
    <t>台数</t>
    <rPh sb="0" eb="2">
      <t>ダイスウ</t>
    </rPh>
    <phoneticPr fontId="8"/>
  </si>
  <si>
    <t>組数</t>
    <rPh sb="0" eb="2">
      <t>クミスウ</t>
    </rPh>
    <phoneticPr fontId="8"/>
  </si>
  <si>
    <t>台/組</t>
    <rPh sb="0" eb="1">
      <t>ダイ</t>
    </rPh>
    <rPh sb="2" eb="3">
      <t>クミ</t>
    </rPh>
    <phoneticPr fontId="8"/>
  </si>
  <si>
    <t>衛生設備</t>
    <rPh sb="0" eb="1">
      <t>マモル</t>
    </rPh>
    <rPh sb="1" eb="2">
      <t>ショウ</t>
    </rPh>
    <rPh sb="2" eb="3">
      <t>セツ</t>
    </rPh>
    <rPh sb="3" eb="4">
      <t>ソナエ</t>
    </rPh>
    <phoneticPr fontId="8"/>
  </si>
  <si>
    <t>管材</t>
    <rPh sb="0" eb="1">
      <t>カン</t>
    </rPh>
    <rPh sb="1" eb="2">
      <t>ザイ</t>
    </rPh>
    <phoneticPr fontId="8"/>
  </si>
  <si>
    <t>中 央 式
給　　湯</t>
    <rPh sb="0" eb="1">
      <t>ナカ</t>
    </rPh>
    <rPh sb="2" eb="3">
      <t>ヒサシ</t>
    </rPh>
    <rPh sb="4" eb="5">
      <t>シキ</t>
    </rPh>
    <rPh sb="6" eb="7">
      <t>キュウ</t>
    </rPh>
    <rPh sb="9" eb="10">
      <t>ユ</t>
    </rPh>
    <phoneticPr fontId="8"/>
  </si>
  <si>
    <t>㎡</t>
    <phoneticPr fontId="8"/>
  </si>
  <si>
    <t>(個数)</t>
    <rPh sb="1" eb="3">
      <t>コスウ</t>
    </rPh>
    <phoneticPr fontId="8"/>
  </si>
  <si>
    <t>大きさ</t>
    <rPh sb="0" eb="1">
      <t>オオ</t>
    </rPh>
    <phoneticPr fontId="8"/>
  </si>
  <si>
    <t>個</t>
    <rPh sb="0" eb="1">
      <t>コ</t>
    </rPh>
    <phoneticPr fontId="8"/>
  </si>
  <si>
    <t>ﾊ　ｰ　ﾌ
ﾕﾆｯﾄﾊﾞｽ</t>
    <phoneticPr fontId="8"/>
  </si>
  <si>
    <t>浴室換気乾燥機</t>
    <rPh sb="0" eb="2">
      <t>ヨクシツ</t>
    </rPh>
    <rPh sb="2" eb="4">
      <t>カンキ</t>
    </rPh>
    <rPh sb="4" eb="7">
      <t>カンソウキ</t>
    </rPh>
    <phoneticPr fontId="8"/>
  </si>
  <si>
    <t>ﾕﾆｯﾄｼｬﾜｰ</t>
    <phoneticPr fontId="8"/>
  </si>
  <si>
    <t>号数</t>
    <rPh sb="0" eb="2">
      <t>ゴウスウ</t>
    </rPh>
    <phoneticPr fontId="8"/>
  </si>
  <si>
    <t>給湯器
(貯湯式)</t>
    <rPh sb="0" eb="3">
      <t>キュウトウキ</t>
    </rPh>
    <rPh sb="5" eb="6">
      <t>チョ</t>
    </rPh>
    <rPh sb="6" eb="7">
      <t>ユ</t>
    </rPh>
    <rPh sb="7" eb="8">
      <t>シキ</t>
    </rPh>
    <phoneticPr fontId="8"/>
  </si>
  <si>
    <t>容量</t>
    <rPh sb="0" eb="2">
      <t>ヨウリョウ</t>
    </rPh>
    <phoneticPr fontId="8"/>
  </si>
  <si>
    <t>階層数</t>
    <rPh sb="0" eb="3">
      <t>カイソウスウ</t>
    </rPh>
    <phoneticPr fontId="8"/>
  </si>
  <si>
    <t>（対象床㎡）</t>
    <rPh sb="1" eb="3">
      <t>タイショウ</t>
    </rPh>
    <rPh sb="3" eb="4">
      <t>ユカ</t>
    </rPh>
    <phoneticPr fontId="8"/>
  </si>
  <si>
    <t>中央熱源方式</t>
    <rPh sb="0" eb="2">
      <t>チュウオウ</t>
    </rPh>
    <rPh sb="2" eb="4">
      <t>ネツゲン</t>
    </rPh>
    <rPh sb="4" eb="6">
      <t>ホウシキ</t>
    </rPh>
    <phoneticPr fontId="8"/>
  </si>
  <si>
    <t>ﾍﾟﾘﾒｰﾀｰﾌｧﾝｺｲﾙ有無</t>
    <rPh sb="13" eb="15">
      <t>ウム</t>
    </rPh>
    <phoneticPr fontId="8"/>
  </si>
  <si>
    <t>冷房能力
の大小</t>
    <rPh sb="0" eb="2">
      <t>レイボウ</t>
    </rPh>
    <rPh sb="2" eb="4">
      <t>ノウリョク</t>
    </rPh>
    <rPh sb="6" eb="8">
      <t>ダイショウ</t>
    </rPh>
    <phoneticPr fontId="8"/>
  </si>
  <si>
    <t>ゾーニング
の大小</t>
    <rPh sb="7" eb="9">
      <t>ダイショウ</t>
    </rPh>
    <phoneticPr fontId="8"/>
  </si>
  <si>
    <t>配管</t>
    <rPh sb="0" eb="2">
      <t>ハイカン</t>
    </rPh>
    <phoneticPr fontId="8"/>
  </si>
  <si>
    <t>ダクト方式</t>
    <rPh sb="3" eb="5">
      <t>ホウシキ</t>
    </rPh>
    <phoneticPr fontId="8"/>
  </si>
  <si>
    <t>制御方式
の程度</t>
    <rPh sb="0" eb="2">
      <t>セイギョ</t>
    </rPh>
    <rPh sb="2" eb="4">
      <t>ホウシキ</t>
    </rPh>
    <rPh sb="6" eb="8">
      <t>テイド</t>
    </rPh>
    <phoneticPr fontId="8"/>
  </si>
  <si>
    <t>冷房能力
計算値</t>
    <rPh sb="0" eb="2">
      <t>レイボウ</t>
    </rPh>
    <rPh sb="2" eb="4">
      <t>ノウリョク</t>
    </rPh>
    <rPh sb="5" eb="8">
      <t>ケイサンチ</t>
    </rPh>
    <phoneticPr fontId="8"/>
  </si>
  <si>
    <t>冷房能力</t>
    <rPh sb="0" eb="2">
      <t>レイボウ</t>
    </rPh>
    <rPh sb="2" eb="4">
      <t>ノウリョク</t>
    </rPh>
    <phoneticPr fontId="8"/>
  </si>
  <si>
    <t>(冷房能力)÷</t>
    <rPh sb="1" eb="3">
      <t>レイボウ</t>
    </rPh>
    <rPh sb="3" eb="5">
      <t>ノウリョク</t>
    </rPh>
    <phoneticPr fontId="8"/>
  </si>
  <si>
    <t>(対象床㎡)＝</t>
    <rPh sb="1" eb="3">
      <t>タイショウ</t>
    </rPh>
    <rPh sb="3" eb="4">
      <t>ユカ</t>
    </rPh>
    <phoneticPr fontId="8"/>
  </si>
  <si>
    <t>/㎡</t>
    <phoneticPr fontId="8"/>
  </si>
  <si>
    <t>ゾーニングの大小</t>
    <rPh sb="6" eb="8">
      <t>ダイショウ</t>
    </rPh>
    <phoneticPr fontId="8"/>
  </si>
  <si>
    <t>(対象床㎡)÷</t>
    <rPh sb="1" eb="3">
      <t>タイショウ</t>
    </rPh>
    <rPh sb="3" eb="4">
      <t>ユカ</t>
    </rPh>
    <phoneticPr fontId="8"/>
  </si>
  <si>
    <t>系統(ｿﾞｰﾆﾝｸﾞ数)＝</t>
    <rPh sb="0" eb="2">
      <t>ケイトウ</t>
    </rPh>
    <rPh sb="10" eb="11">
      <t>スウ</t>
    </rPh>
    <phoneticPr fontId="8"/>
  </si>
  <si>
    <t>(1系統面積)</t>
    <rPh sb="2" eb="4">
      <t>ケイトウ</t>
    </rPh>
    <rPh sb="4" eb="6">
      <t>メンセキ</t>
    </rPh>
    <phoneticPr fontId="8"/>
  </si>
  <si>
    <t>個別空調方式</t>
    <rPh sb="0" eb="2">
      <t>コベツ</t>
    </rPh>
    <rPh sb="2" eb="4">
      <t>クウチョウ</t>
    </rPh>
    <rPh sb="4" eb="6">
      <t>ホウシキ</t>
    </rPh>
    <phoneticPr fontId="8"/>
  </si>
  <si>
    <t>換気の程度</t>
    <rPh sb="0" eb="2">
      <t>カンキ</t>
    </rPh>
    <rPh sb="3" eb="5">
      <t>テイド</t>
    </rPh>
    <phoneticPr fontId="8"/>
  </si>
  <si>
    <t>中央熱源直接暖房</t>
    <rPh sb="0" eb="2">
      <t>チュウオウ</t>
    </rPh>
    <rPh sb="2" eb="4">
      <t>ネツゲン</t>
    </rPh>
    <rPh sb="4" eb="6">
      <t>チョクセツ</t>
    </rPh>
    <rPh sb="6" eb="8">
      <t>ダンボウ</t>
    </rPh>
    <phoneticPr fontId="8"/>
  </si>
  <si>
    <t>型式</t>
    <rPh sb="0" eb="2">
      <t>ケイシキ</t>
    </rPh>
    <phoneticPr fontId="8"/>
  </si>
  <si>
    <t>中央熱源
温風暖房</t>
    <rPh sb="0" eb="2">
      <t>チュウオウ</t>
    </rPh>
    <rPh sb="2" eb="4">
      <t>ネツゲン</t>
    </rPh>
    <rPh sb="5" eb="7">
      <t>オンプウ</t>
    </rPh>
    <rPh sb="7" eb="9">
      <t>ダンボウ</t>
    </rPh>
    <phoneticPr fontId="8"/>
  </si>
  <si>
    <t>ダクト有無</t>
    <rPh sb="3" eb="5">
      <t>ウム</t>
    </rPh>
    <phoneticPr fontId="8"/>
  </si>
  <si>
    <t>床 暖 房</t>
    <rPh sb="0" eb="1">
      <t>ユカ</t>
    </rPh>
    <rPh sb="2" eb="3">
      <t>ダン</t>
    </rPh>
    <rPh sb="4" eb="5">
      <t>フサ</t>
    </rPh>
    <phoneticPr fontId="8"/>
  </si>
  <si>
    <t>㎡</t>
    <phoneticPr fontId="8"/>
  </si>
  <si>
    <t>換気設備</t>
    <rPh sb="0" eb="2">
      <t>カンキ</t>
    </rPh>
    <rPh sb="2" eb="4">
      <t>セツビ</t>
    </rPh>
    <phoneticPr fontId="8"/>
  </si>
  <si>
    <t>機能</t>
    <rPh sb="0" eb="2">
      <t>キノウ</t>
    </rPh>
    <phoneticPr fontId="8"/>
  </si>
  <si>
    <t>送風機の
種類</t>
    <rPh sb="0" eb="3">
      <t>ソウフウキ</t>
    </rPh>
    <rPh sb="5" eb="7">
      <t>シュルイ</t>
    </rPh>
    <phoneticPr fontId="8"/>
  </si>
  <si>
    <t>ダクト</t>
    <phoneticPr fontId="8"/>
  </si>
  <si>
    <t>（延床㎡）</t>
    <rPh sb="1" eb="2">
      <t>ノベ</t>
    </rPh>
    <rPh sb="2" eb="3">
      <t>ユカ</t>
    </rPh>
    <phoneticPr fontId="8"/>
  </si>
  <si>
    <t>換気扇</t>
    <rPh sb="0" eb="3">
      <t>カンキセン</t>
    </rPh>
    <phoneticPr fontId="8"/>
  </si>
  <si>
    <t>ﾚﾝｼﾞ
ﾌｰﾄﾞ</t>
    <phoneticPr fontId="8"/>
  </si>
  <si>
    <t>口</t>
    <rPh sb="0" eb="1">
      <t>クチ</t>
    </rPh>
    <phoneticPr fontId="8"/>
  </si>
  <si>
    <t>附室
排煙</t>
    <rPh sb="0" eb="1">
      <t>フ</t>
    </rPh>
    <rPh sb="1" eb="2">
      <t>シツ</t>
    </rPh>
    <rPh sb="3" eb="5">
      <t>ハイエン</t>
    </rPh>
    <phoneticPr fontId="8"/>
  </si>
  <si>
    <t>ﾍﾞﾝﾁﾚｰﾀｰ</t>
    <phoneticPr fontId="8"/>
  </si>
  <si>
    <t>換気口内径</t>
    <rPh sb="0" eb="3">
      <t>カンキコウ</t>
    </rPh>
    <rPh sb="3" eb="5">
      <t>ナイケイ</t>
    </rPh>
    <phoneticPr fontId="8"/>
  </si>
  <si>
    <t>換気方式</t>
    <rPh sb="0" eb="2">
      <t>カンキ</t>
    </rPh>
    <rPh sb="2" eb="4">
      <t>ホウシキ</t>
    </rPh>
    <phoneticPr fontId="8"/>
  </si>
  <si>
    <t>火災報知</t>
    <rPh sb="0" eb="2">
      <t>カサイ</t>
    </rPh>
    <rPh sb="2" eb="4">
      <t>ホウチ</t>
    </rPh>
    <phoneticPr fontId="8"/>
  </si>
  <si>
    <t>㎡</t>
    <phoneticPr fontId="8"/>
  </si>
  <si>
    <t>感知方式</t>
    <rPh sb="0" eb="2">
      <t>カンチ</t>
    </rPh>
    <rPh sb="2" eb="4">
      <t>ホウシキ</t>
    </rPh>
    <phoneticPr fontId="8"/>
  </si>
  <si>
    <t>間仕切</t>
    <rPh sb="0" eb="3">
      <t>マジキ</t>
    </rPh>
    <phoneticPr fontId="8"/>
  </si>
  <si>
    <t>(基数)</t>
    <rPh sb="1" eb="3">
      <t>キスウ</t>
    </rPh>
    <phoneticPr fontId="8"/>
  </si>
  <si>
    <t>避雷設備</t>
    <rPh sb="0" eb="2">
      <t>ヒライ</t>
    </rPh>
    <rPh sb="2" eb="4">
      <t>セツビ</t>
    </rPh>
    <phoneticPr fontId="8"/>
  </si>
  <si>
    <t>避雷
突針</t>
    <rPh sb="0" eb="2">
      <t>ヒライ</t>
    </rPh>
    <rPh sb="3" eb="4">
      <t>トツ</t>
    </rPh>
    <rPh sb="4" eb="5">
      <t>シン</t>
    </rPh>
    <phoneticPr fontId="8"/>
  </si>
  <si>
    <t>突針数</t>
    <rPh sb="0" eb="1">
      <t>トツ</t>
    </rPh>
    <rPh sb="1" eb="2">
      <t>ハリ</t>
    </rPh>
    <rPh sb="2" eb="3">
      <t>カズ</t>
    </rPh>
    <phoneticPr fontId="8"/>
  </si>
  <si>
    <t>基</t>
    <rPh sb="0" eb="1">
      <t>キ</t>
    </rPh>
    <phoneticPr fontId="8"/>
  </si>
  <si>
    <t>建物の高さ</t>
    <rPh sb="0" eb="2">
      <t>タテモノ</t>
    </rPh>
    <rPh sb="3" eb="4">
      <t>タカ</t>
    </rPh>
    <phoneticPr fontId="8"/>
  </si>
  <si>
    <t>(導体ｍ)</t>
    <rPh sb="1" eb="3">
      <t>ドウタイ</t>
    </rPh>
    <phoneticPr fontId="8"/>
  </si>
  <si>
    <t>避雷
導体</t>
    <rPh sb="0" eb="2">
      <t>ヒライ</t>
    </rPh>
    <rPh sb="3" eb="5">
      <t>ドウタイ</t>
    </rPh>
    <phoneticPr fontId="8"/>
  </si>
  <si>
    <t>消火栓</t>
    <rPh sb="0" eb="3">
      <t>ショウカセン</t>
    </rPh>
    <phoneticPr fontId="8"/>
  </si>
  <si>
    <t>ﾄﾞﾚﾝﾁｬｰ</t>
    <phoneticPr fontId="8"/>
  </si>
  <si>
    <t>ヘッド数</t>
    <rPh sb="3" eb="4">
      <t>スウ</t>
    </rPh>
    <phoneticPr fontId="8"/>
  </si>
  <si>
    <t>(対象容積)</t>
    <rPh sb="1" eb="3">
      <t>タイショウ</t>
    </rPh>
    <rPh sb="3" eb="5">
      <t>ヨウセキ</t>
    </rPh>
    <phoneticPr fontId="8"/>
  </si>
  <si>
    <t>不 活 性
ガス消火</t>
    <rPh sb="0" eb="1">
      <t>フ</t>
    </rPh>
    <rPh sb="2" eb="3">
      <t>カツ</t>
    </rPh>
    <rPh sb="4" eb="5">
      <t>セイ</t>
    </rPh>
    <rPh sb="8" eb="10">
      <t>ショウカ</t>
    </rPh>
    <phoneticPr fontId="8"/>
  </si>
  <si>
    <t>泡 消 火</t>
    <rPh sb="0" eb="1">
      <t>アワ</t>
    </rPh>
    <rPh sb="2" eb="3">
      <t>ケ</t>
    </rPh>
    <rPh sb="4" eb="5">
      <t>ヒ</t>
    </rPh>
    <phoneticPr fontId="8"/>
  </si>
  <si>
    <t>㎡</t>
    <phoneticPr fontId="8"/>
  </si>
  <si>
    <t>ｽﾌﾟﾘﾝｸﾗｰ</t>
    <phoneticPr fontId="8"/>
  </si>
  <si>
    <t>(卓子数)</t>
    <rPh sb="1" eb="3">
      <t>タクコ</t>
    </rPh>
    <rPh sb="3" eb="4">
      <t>カズ</t>
    </rPh>
    <phoneticPr fontId="8"/>
  </si>
  <si>
    <t>気 送 管</t>
    <rPh sb="0" eb="1">
      <t>キ</t>
    </rPh>
    <rPh sb="2" eb="3">
      <t>ソウ</t>
    </rPh>
    <rPh sb="4" eb="5">
      <t>カン</t>
    </rPh>
    <phoneticPr fontId="8"/>
  </si>
  <si>
    <t>制御方式</t>
    <rPh sb="0" eb="2">
      <t>セイギョ</t>
    </rPh>
    <rPh sb="2" eb="4">
      <t>ホウシキ</t>
    </rPh>
    <phoneticPr fontId="8"/>
  </si>
  <si>
    <t>卓子</t>
    <rPh sb="0" eb="2">
      <t>タクコ</t>
    </rPh>
    <phoneticPr fontId="8"/>
  </si>
  <si>
    <t>気送管径</t>
    <rPh sb="0" eb="3">
      <t>キソウカン</t>
    </rPh>
    <rPh sb="3" eb="4">
      <t>ケイ</t>
    </rPh>
    <phoneticPr fontId="8"/>
  </si>
  <si>
    <t>乗用規格
型
ｴﾚﾍﾞｰﾀｰ</t>
    <rPh sb="0" eb="1">
      <t>ジョウ</t>
    </rPh>
    <rPh sb="1" eb="2">
      <t>ヨウ</t>
    </rPh>
    <rPh sb="2" eb="3">
      <t>タダシ</t>
    </rPh>
    <rPh sb="3" eb="4">
      <t>カク</t>
    </rPh>
    <rPh sb="5" eb="6">
      <t>ガタ</t>
    </rPh>
    <phoneticPr fontId="8"/>
  </si>
  <si>
    <t>積載量</t>
    <rPh sb="0" eb="3">
      <t>セキサイリョウ</t>
    </rPh>
    <phoneticPr fontId="8"/>
  </si>
  <si>
    <t>着床数</t>
    <rPh sb="0" eb="2">
      <t>チャクショウ</t>
    </rPh>
    <rPh sb="2" eb="3">
      <t>スウ</t>
    </rPh>
    <phoneticPr fontId="8"/>
  </si>
  <si>
    <t>速度</t>
    <rPh sb="0" eb="2">
      <t>ソクド</t>
    </rPh>
    <phoneticPr fontId="8"/>
  </si>
  <si>
    <t>並列運転数</t>
    <rPh sb="0" eb="2">
      <t>ヘイレツ</t>
    </rPh>
    <rPh sb="2" eb="4">
      <t>ウンテン</t>
    </rPh>
    <rPh sb="4" eb="5">
      <t>スウ</t>
    </rPh>
    <phoneticPr fontId="8"/>
  </si>
  <si>
    <t>乗用中速
特注型
ｴﾚﾍﾞｰﾀｰ</t>
    <rPh sb="0" eb="1">
      <t>ジョウ</t>
    </rPh>
    <rPh sb="1" eb="2">
      <t>ヨウ</t>
    </rPh>
    <rPh sb="2" eb="3">
      <t>チュウ</t>
    </rPh>
    <rPh sb="3" eb="4">
      <t>ソク</t>
    </rPh>
    <rPh sb="5" eb="6">
      <t>トク</t>
    </rPh>
    <rPh sb="6" eb="7">
      <t>チュウ</t>
    </rPh>
    <rPh sb="7" eb="8">
      <t>ガタ</t>
    </rPh>
    <phoneticPr fontId="8"/>
  </si>
  <si>
    <t>非常用仕様</t>
    <rPh sb="0" eb="3">
      <t>ヒジョウヨウ</t>
    </rPh>
    <rPh sb="3" eb="5">
      <t>シヨウ</t>
    </rPh>
    <phoneticPr fontId="8"/>
  </si>
  <si>
    <t>乗　　用
高速特注
ｲﾝﾊﾞｰﾀ型
ｴﾚﾍﾞｰﾀｰ</t>
    <rPh sb="0" eb="1">
      <t>ジョウ</t>
    </rPh>
    <rPh sb="3" eb="4">
      <t>ヨウ</t>
    </rPh>
    <rPh sb="5" eb="7">
      <t>コウソク</t>
    </rPh>
    <rPh sb="7" eb="9">
      <t>トクチュウ</t>
    </rPh>
    <rPh sb="16" eb="17">
      <t>ガタ</t>
    </rPh>
    <phoneticPr fontId="8"/>
  </si>
  <si>
    <t>寝 台 用
ｴﾚﾍﾞｰﾀｰ</t>
    <rPh sb="0" eb="1">
      <t>ネ</t>
    </rPh>
    <rPh sb="2" eb="3">
      <t>ダイ</t>
    </rPh>
    <rPh sb="4" eb="5">
      <t>ヨウ</t>
    </rPh>
    <phoneticPr fontId="8"/>
  </si>
  <si>
    <t>人 荷 用
ｴﾚﾍﾞｰﾀｰ</t>
    <rPh sb="0" eb="1">
      <t>ニン</t>
    </rPh>
    <rPh sb="2" eb="3">
      <t>ニ</t>
    </rPh>
    <rPh sb="4" eb="5">
      <t>ヨウ</t>
    </rPh>
    <phoneticPr fontId="8"/>
  </si>
  <si>
    <t>自動車用
電 動 式
ｴﾚﾍﾞｰﾀｰ</t>
    <rPh sb="0" eb="1">
      <t>ジ</t>
    </rPh>
    <rPh sb="1" eb="2">
      <t>ドウ</t>
    </rPh>
    <rPh sb="2" eb="3">
      <t>クルマ</t>
    </rPh>
    <rPh sb="3" eb="4">
      <t>ヨウ</t>
    </rPh>
    <rPh sb="5" eb="6">
      <t>デン</t>
    </rPh>
    <rPh sb="7" eb="8">
      <t>ドウ</t>
    </rPh>
    <rPh sb="9" eb="10">
      <t>シキ</t>
    </rPh>
    <phoneticPr fontId="8"/>
  </si>
  <si>
    <t>自動車用
油 圧 式
ｴﾚﾍﾞｰﾀｰ</t>
    <rPh sb="0" eb="1">
      <t>ジ</t>
    </rPh>
    <rPh sb="1" eb="2">
      <t>ドウ</t>
    </rPh>
    <rPh sb="2" eb="3">
      <t>クルマ</t>
    </rPh>
    <rPh sb="3" eb="4">
      <t>ヨウ</t>
    </rPh>
    <rPh sb="5" eb="6">
      <t>アブラ</t>
    </rPh>
    <rPh sb="7" eb="8">
      <t>アツ</t>
    </rPh>
    <rPh sb="9" eb="10">
      <t>シキ</t>
    </rPh>
    <phoneticPr fontId="8"/>
  </si>
  <si>
    <t>ホーム
ｴﾚﾍﾞｰﾀｰ</t>
    <phoneticPr fontId="8"/>
  </si>
  <si>
    <t>小荷物専用昇降機</t>
    <rPh sb="0" eb="3">
      <t>コニモツ</t>
    </rPh>
    <rPh sb="3" eb="5">
      <t>センヨウ</t>
    </rPh>
    <rPh sb="5" eb="8">
      <t>ショウコウキ</t>
    </rPh>
    <phoneticPr fontId="8"/>
  </si>
  <si>
    <t>エスカレーター</t>
    <phoneticPr fontId="8"/>
  </si>
  <si>
    <t>仕上仕様</t>
    <rPh sb="0" eb="2">
      <t>シア</t>
    </rPh>
    <rPh sb="2" eb="4">
      <t>シヨウ</t>
    </rPh>
    <phoneticPr fontId="8"/>
  </si>
  <si>
    <t>階高</t>
    <rPh sb="0" eb="1">
      <t>カイ</t>
    </rPh>
    <rPh sb="1" eb="2">
      <t>タカ</t>
    </rPh>
    <phoneticPr fontId="8"/>
  </si>
  <si>
    <t>清掃設備</t>
    <rPh sb="0" eb="2">
      <t>セイソウ</t>
    </rPh>
    <rPh sb="2" eb="4">
      <t>セツビ</t>
    </rPh>
    <phoneticPr fontId="8"/>
  </si>
  <si>
    <t>窓ふき用
ゴンドラ</t>
    <rPh sb="0" eb="1">
      <t>マド</t>
    </rPh>
    <rPh sb="3" eb="4">
      <t>ヨウ</t>
    </rPh>
    <phoneticPr fontId="8"/>
  </si>
  <si>
    <t>軒高</t>
    <rPh sb="0" eb="1">
      <t>ノキ</t>
    </rPh>
    <rPh sb="1" eb="2">
      <t>タカ</t>
    </rPh>
    <phoneticPr fontId="8"/>
  </si>
  <si>
    <t>アーム形式</t>
    <rPh sb="3" eb="5">
      <t>ケイシキ</t>
    </rPh>
    <phoneticPr fontId="8"/>
  </si>
  <si>
    <t>吊ワイヤ
ロープ数</t>
    <rPh sb="0" eb="1">
      <t>ツ</t>
    </rPh>
    <rPh sb="8" eb="9">
      <t>スウ</t>
    </rPh>
    <phoneticPr fontId="8"/>
  </si>
  <si>
    <t>走行レール</t>
    <rPh sb="0" eb="2">
      <t>ソウコウ</t>
    </rPh>
    <phoneticPr fontId="8"/>
  </si>
  <si>
    <t>計算単位</t>
  </si>
  <si>
    <t>補　正　幅</t>
  </si>
  <si>
    <t>電気</t>
    <rPh sb="0" eb="2">
      <t>デンキ</t>
    </rPh>
    <phoneticPr fontId="17"/>
  </si>
  <si>
    <t>ガス</t>
    <phoneticPr fontId="17"/>
  </si>
  <si>
    <t>給水</t>
    <rPh sb="0" eb="2">
      <t>キュウスイ</t>
    </rPh>
    <phoneticPr fontId="17"/>
  </si>
  <si>
    <t>排水</t>
    <rPh sb="0" eb="2">
      <t>ハイスイ</t>
    </rPh>
    <phoneticPr fontId="17"/>
  </si>
  <si>
    <t>㎡</t>
    <phoneticPr fontId="17"/>
  </si>
  <si>
    <t>ガスの有無</t>
    <rPh sb="3" eb="5">
      <t>ウム</t>
    </rPh>
    <phoneticPr fontId="17"/>
  </si>
  <si>
    <t>有</t>
    <rPh sb="0" eb="1">
      <t>ア</t>
    </rPh>
    <phoneticPr fontId="17"/>
  </si>
  <si>
    <t>無</t>
    <rPh sb="0" eb="1">
      <t>ナ</t>
    </rPh>
    <phoneticPr fontId="17"/>
  </si>
  <si>
    <t>－</t>
    <phoneticPr fontId="17"/>
  </si>
  <si>
    <t>－</t>
    <phoneticPr fontId="17"/>
  </si>
  <si>
    <t>㎡</t>
    <phoneticPr fontId="17"/>
  </si>
  <si>
    <t>施工量多少</t>
    <rPh sb="0" eb="3">
      <t>セコウリョウ</t>
    </rPh>
    <rPh sb="3" eb="5">
      <t>タショウ</t>
    </rPh>
    <phoneticPr fontId="17"/>
  </si>
  <si>
    <t>㎡</t>
    <phoneticPr fontId="17"/>
  </si>
  <si>
    <t>項目別評点方式</t>
    <rPh sb="0" eb="3">
      <t>コウモクベツ</t>
    </rPh>
    <rPh sb="3" eb="5">
      <t>ヒョウテン</t>
    </rPh>
    <rPh sb="5" eb="7">
      <t>ホウシキ</t>
    </rPh>
    <phoneticPr fontId="17"/>
  </si>
  <si>
    <t>水銀灯</t>
  </si>
  <si>
    <t>口</t>
    <rPh sb="0" eb="1">
      <t>クチ</t>
    </rPh>
    <phoneticPr fontId="17"/>
  </si>
  <si>
    <t>加　算　評　点　項　目</t>
    <rPh sb="0" eb="1">
      <t>カ</t>
    </rPh>
    <rPh sb="2" eb="3">
      <t>ザン</t>
    </rPh>
    <rPh sb="4" eb="5">
      <t>ヒョウ</t>
    </rPh>
    <rPh sb="6" eb="7">
      <t>テン</t>
    </rPh>
    <rPh sb="8" eb="9">
      <t>コウ</t>
    </rPh>
    <rPh sb="10" eb="11">
      <t>メ</t>
    </rPh>
    <phoneticPr fontId="17"/>
  </si>
  <si>
    <t>通話型</t>
  </si>
  <si>
    <t>式</t>
  </si>
  <si>
    <t>大きさ(cm)</t>
  </si>
  <si>
    <t>号数</t>
    <rPh sb="0" eb="2">
      <t>ゴウスウ</t>
    </rPh>
    <phoneticPr fontId="17"/>
  </si>
  <si>
    <t>給湯器（貯湯式）</t>
    <rPh sb="0" eb="3">
      <t>キュウトウキ</t>
    </rPh>
    <rPh sb="4" eb="5">
      <t>チョ</t>
    </rPh>
    <rPh sb="5" eb="6">
      <t>ユ</t>
    </rPh>
    <rPh sb="6" eb="7">
      <t>シキ</t>
    </rPh>
    <phoneticPr fontId="17"/>
  </si>
  <si>
    <t>容量（Ｌ）</t>
    <rPh sb="0" eb="2">
      <t>ヨウリョウ</t>
    </rPh>
    <phoneticPr fontId="17"/>
  </si>
  <si>
    <t xml:space="preserve"> 和　式</t>
  </si>
  <si>
    <t xml:space="preserve"> 非水洗</t>
    <phoneticPr fontId="17"/>
  </si>
  <si>
    <t xml:space="preserve"> 水洗式</t>
    <phoneticPr fontId="17"/>
  </si>
  <si>
    <t xml:space="preserve"> 小便器</t>
  </si>
  <si>
    <t xml:space="preserve"> 洋　式</t>
  </si>
  <si>
    <t>上</t>
    <phoneticPr fontId="17"/>
  </si>
  <si>
    <t>大きい</t>
    <phoneticPr fontId="17"/>
  </si>
  <si>
    <t>120*75*60cm</t>
    <phoneticPr fontId="17"/>
  </si>
  <si>
    <t>小さい</t>
    <phoneticPr fontId="17"/>
  </si>
  <si>
    <t>並</t>
    <phoneticPr fontId="17"/>
  </si>
  <si>
    <t>型　　式</t>
  </si>
  <si>
    <t>ｼｬﾜｰ洗面便器付</t>
  </si>
  <si>
    <t>ｼｬﾜｰ付</t>
  </si>
  <si>
    <t>大きさ
（cm*cm）</t>
  </si>
  <si>
    <t>*</t>
  </si>
  <si>
    <t>200*160</t>
  </si>
  <si>
    <t>180*140</t>
  </si>
  <si>
    <t>160*120</t>
    <phoneticPr fontId="17"/>
  </si>
  <si>
    <t>160*160</t>
  </si>
  <si>
    <t>浴室換気乾燥機</t>
    <rPh sb="0" eb="2">
      <t>ヨクシツ</t>
    </rPh>
    <rPh sb="2" eb="4">
      <t>カンキ</t>
    </rPh>
    <rPh sb="4" eb="7">
      <t>カンソウキ</t>
    </rPh>
    <phoneticPr fontId="17"/>
  </si>
  <si>
    <t>160*80</t>
  </si>
  <si>
    <t>120*80</t>
  </si>
  <si>
    <t>80*80</t>
  </si>
  <si>
    <t>対象
床㎡</t>
    <rPh sb="0" eb="2">
      <t>タイショウ</t>
    </rPh>
    <rPh sb="3" eb="4">
      <t>ユカ</t>
    </rPh>
    <phoneticPr fontId="17"/>
  </si>
  <si>
    <t>個</t>
    <phoneticPr fontId="17"/>
  </si>
  <si>
    <t>機　　能</t>
  </si>
  <si>
    <t>積載量</t>
  </si>
  <si>
    <t>200kg(3人乗)</t>
  </si>
  <si>
    <t>150kg(2人乗)</t>
  </si>
  <si>
    <t>台</t>
  </si>
  <si>
    <t>着床数</t>
  </si>
  <si>
    <t>３箇所</t>
  </si>
  <si>
    <t>２箇所</t>
  </si>
  <si>
    <t>※青字は「名前の定義」です</t>
    <rPh sb="1" eb="2">
      <t>アオ</t>
    </rPh>
    <rPh sb="2" eb="3">
      <t>ジ</t>
    </rPh>
    <rPh sb="5" eb="7">
      <t>ナマエ</t>
    </rPh>
    <rPh sb="8" eb="10">
      <t>テイギ</t>
    </rPh>
    <phoneticPr fontId="8"/>
  </si>
  <si>
    <t>［設備ＤＢ］</t>
    <rPh sb="1" eb="3">
      <t>セツビ</t>
    </rPh>
    <phoneticPr fontId="8"/>
  </si>
  <si>
    <t>適　用　基　準</t>
  </si>
  <si>
    <t>動力・操作方式及び監視方式</t>
    <rPh sb="0" eb="2">
      <t>ドウリョク</t>
    </rPh>
    <rPh sb="3" eb="5">
      <t>ソウサ</t>
    </rPh>
    <rPh sb="5" eb="7">
      <t>ホウシキ</t>
    </rPh>
    <rPh sb="7" eb="8">
      <t>オヨ</t>
    </rPh>
    <rPh sb="9" eb="11">
      <t>カンシ</t>
    </rPh>
    <rPh sb="11" eb="13">
      <t>ホウシキ</t>
    </rPh>
    <phoneticPr fontId="8"/>
  </si>
  <si>
    <t>動力・容量</t>
    <rPh sb="0" eb="2">
      <t>ドウリョク</t>
    </rPh>
    <rPh sb="3" eb="5">
      <t>ヨウリョウ</t>
    </rPh>
    <phoneticPr fontId="8"/>
  </si>
  <si>
    <t>動力・程度</t>
    <rPh sb="0" eb="2">
      <t>ドウリョク</t>
    </rPh>
    <rPh sb="3" eb="5">
      <t>テイド</t>
    </rPh>
    <phoneticPr fontId="8"/>
  </si>
  <si>
    <t>動力・動力負荷</t>
    <rPh sb="0" eb="2">
      <t>ドウリョク</t>
    </rPh>
    <rPh sb="3" eb="5">
      <t>ドウリョク</t>
    </rPh>
    <rPh sb="5" eb="7">
      <t>フカ</t>
    </rPh>
    <phoneticPr fontId="8"/>
  </si>
  <si>
    <t>動力・建物の規模</t>
    <rPh sb="0" eb="2">
      <t>ドウリョク</t>
    </rPh>
    <rPh sb="3" eb="5">
      <t>タテモノ</t>
    </rPh>
    <rPh sb="6" eb="8">
      <t>キボ</t>
    </rPh>
    <phoneticPr fontId="8"/>
  </si>
  <si>
    <t>［動力］</t>
    <rPh sb="1" eb="3">
      <t>ドウリョク</t>
    </rPh>
    <phoneticPr fontId="8"/>
  </si>
  <si>
    <t>増点補正率</t>
    <rPh sb="0" eb="1">
      <t>ゾウ</t>
    </rPh>
    <rPh sb="1" eb="2">
      <t>テン</t>
    </rPh>
    <rPh sb="2" eb="4">
      <t>ホセイ</t>
    </rPh>
    <rPh sb="4" eb="5">
      <t>リツ</t>
    </rPh>
    <phoneticPr fontId="8"/>
  </si>
  <si>
    <t>標　　準</t>
    <rPh sb="0" eb="4">
      <t>ヒョウジュン</t>
    </rPh>
    <phoneticPr fontId="8"/>
  </si>
  <si>
    <t>減点補正率</t>
    <rPh sb="0" eb="2">
      <t>ゲンテン</t>
    </rPh>
    <rPh sb="2" eb="4">
      <t>ホセイ</t>
    </rPh>
    <rPh sb="4" eb="5">
      <t>リツ</t>
    </rPh>
    <phoneticPr fontId="8"/>
  </si>
  <si>
    <t>中央監視自動</t>
    <rPh sb="0" eb="2">
      <t>チュウオウ</t>
    </rPh>
    <rPh sb="2" eb="4">
      <t>カンシ</t>
    </rPh>
    <rPh sb="4" eb="6">
      <t>ジドウ</t>
    </rPh>
    <phoneticPr fontId="8"/>
  </si>
  <si>
    <t>なし手動</t>
    <rPh sb="2" eb="4">
      <t>シュドウ</t>
    </rPh>
    <phoneticPr fontId="8"/>
  </si>
  <si>
    <t>多い</t>
    <rPh sb="0" eb="1">
      <t>オオ</t>
    </rPh>
    <phoneticPr fontId="8"/>
  </si>
  <si>
    <t>普通</t>
    <rPh sb="0" eb="2">
      <t>フツウ</t>
    </rPh>
    <phoneticPr fontId="8"/>
  </si>
  <si>
    <t>少ない</t>
    <rPh sb="0" eb="1">
      <t>スク</t>
    </rPh>
    <phoneticPr fontId="8"/>
  </si>
  <si>
    <t>5kw程度</t>
    <rPh sb="3" eb="5">
      <t>テイド</t>
    </rPh>
    <phoneticPr fontId="8"/>
  </si>
  <si>
    <t>25kw程度</t>
    <rPh sb="4" eb="6">
      <t>テイド</t>
    </rPh>
    <phoneticPr fontId="8"/>
  </si>
  <si>
    <t>50kw程度</t>
    <rPh sb="4" eb="6">
      <t>テイド</t>
    </rPh>
    <phoneticPr fontId="8"/>
  </si>
  <si>
    <t>上等</t>
    <rPh sb="0" eb="2">
      <t>ジョウトウ</t>
    </rPh>
    <phoneticPr fontId="8"/>
  </si>
  <si>
    <t>以下</t>
    <rPh sb="0" eb="2">
      <t>イカ</t>
    </rPh>
    <phoneticPr fontId="8"/>
  </si>
  <si>
    <t>＜　凡　例　＞</t>
    <rPh sb="2" eb="3">
      <t>ボン</t>
    </rPh>
    <rPh sb="4" eb="5">
      <t>レイ</t>
    </rPh>
    <phoneticPr fontId="8"/>
  </si>
  <si>
    <t>病院・ホテル</t>
  </si>
  <si>
    <t>必要であれば適宜入力</t>
  </si>
  <si>
    <t>木造評点数を準用</t>
    <rPh sb="0" eb="2">
      <t>モクゾウ</t>
    </rPh>
    <rPh sb="2" eb="4">
      <t>ヒョウテン</t>
    </rPh>
    <rPh sb="4" eb="5">
      <t>カズ</t>
    </rPh>
    <rPh sb="6" eb="8">
      <t>ジュンヨウ</t>
    </rPh>
    <phoneticPr fontId="8"/>
  </si>
  <si>
    <t>高い</t>
    <rPh sb="0" eb="1">
      <t>タカ</t>
    </rPh>
    <phoneticPr fontId="8"/>
  </si>
  <si>
    <t>低い</t>
    <rPh sb="0" eb="1">
      <t>ヒク</t>
    </rPh>
    <phoneticPr fontId="8"/>
  </si>
  <si>
    <t>高い</t>
  </si>
  <si>
    <t>低い</t>
  </si>
  <si>
    <t>◇</t>
    <phoneticPr fontId="8"/>
  </si>
  <si>
    <t>以下</t>
  </si>
  <si>
    <t>電話配線・配置</t>
    <rPh sb="0" eb="2">
      <t>デンワ</t>
    </rPh>
    <rPh sb="2" eb="4">
      <t>ハイセン</t>
    </rPh>
    <rPh sb="5" eb="7">
      <t>ハイチ</t>
    </rPh>
    <phoneticPr fontId="8"/>
  </si>
  <si>
    <t>［電話］</t>
    <rPh sb="1" eb="3">
      <t>デンワ</t>
    </rPh>
    <phoneticPr fontId="8"/>
  </si>
  <si>
    <t>［呼出］</t>
    <rPh sb="1" eb="2">
      <t>ヨ</t>
    </rPh>
    <rPh sb="2" eb="3">
      <t>ダ</t>
    </rPh>
    <phoneticPr fontId="8"/>
  </si>
  <si>
    <t>自動車管制</t>
    <rPh sb="0" eb="3">
      <t>ジドウシャ</t>
    </rPh>
    <rPh sb="3" eb="5">
      <t>カンセイ</t>
    </rPh>
    <phoneticPr fontId="8"/>
  </si>
  <si>
    <t>自動車管制・規模</t>
    <rPh sb="0" eb="3">
      <t>ジドウシャ</t>
    </rPh>
    <rPh sb="3" eb="5">
      <t>カンセイ</t>
    </rPh>
    <rPh sb="6" eb="8">
      <t>キボ</t>
    </rPh>
    <phoneticPr fontId="8"/>
  </si>
  <si>
    <t>自動車管制・程度</t>
    <rPh sb="0" eb="3">
      <t>ジドウシャ</t>
    </rPh>
    <rPh sb="3" eb="5">
      <t>カンセイ</t>
    </rPh>
    <rPh sb="6" eb="8">
      <t>テイド</t>
    </rPh>
    <phoneticPr fontId="8"/>
  </si>
  <si>
    <t>［自動車］</t>
    <rPh sb="1" eb="4">
      <t>ジドウシャ</t>
    </rPh>
    <phoneticPr fontId="8"/>
  </si>
  <si>
    <t>上等(自動表示)</t>
  </si>
  <si>
    <t>普通(600㎡/ｾｯﾄ)</t>
  </si>
  <si>
    <t>以下(1000㎡/ｾｯﾄ)</t>
  </si>
  <si>
    <t>上等(金属ダクト)</t>
  </si>
  <si>
    <t>普通(金属管)</t>
  </si>
  <si>
    <t>以下(ＣＤ管)</t>
  </si>
  <si>
    <t>インターホン</t>
  </si>
  <si>
    <t>［拡声器］</t>
    <rPh sb="1" eb="4">
      <t>カクセイキ</t>
    </rPh>
    <phoneticPr fontId="8"/>
  </si>
  <si>
    <t>テレビ共聴（総体）</t>
    <rPh sb="3" eb="4">
      <t>キョウドウ</t>
    </rPh>
    <rPh sb="4" eb="5">
      <t>チョウシ</t>
    </rPh>
    <rPh sb="6" eb="8">
      <t>ソウタイ</t>
    </rPh>
    <phoneticPr fontId="8"/>
  </si>
  <si>
    <t>テレビジョン共同聴視（総体的）・器具数</t>
    <rPh sb="6" eb="8">
      <t>キョウドウ</t>
    </rPh>
    <rPh sb="8" eb="10">
      <t>チョウシ</t>
    </rPh>
    <rPh sb="11" eb="14">
      <t>ソウタイテキ</t>
    </rPh>
    <rPh sb="16" eb="18">
      <t>キグ</t>
    </rPh>
    <rPh sb="18" eb="19">
      <t>スウ</t>
    </rPh>
    <phoneticPr fontId="8"/>
  </si>
  <si>
    <t>テレビジョン共同聴視（総体的）・方式</t>
    <rPh sb="6" eb="8">
      <t>キョウドウ</t>
    </rPh>
    <rPh sb="8" eb="10">
      <t>チョウシ</t>
    </rPh>
    <rPh sb="11" eb="14">
      <t>ソウタイテキ</t>
    </rPh>
    <rPh sb="16" eb="18">
      <t>ホウシキ</t>
    </rPh>
    <phoneticPr fontId="8"/>
  </si>
  <si>
    <t>テレビジョン共同聴視（総体）・建物の規模</t>
    <rPh sb="6" eb="8">
      <t>キョウドウ</t>
    </rPh>
    <rPh sb="8" eb="10">
      <t>チョウシ</t>
    </rPh>
    <rPh sb="11" eb="13">
      <t>ソウタイ</t>
    </rPh>
    <rPh sb="15" eb="17">
      <t>タテモノ</t>
    </rPh>
    <rPh sb="18" eb="20">
      <t>キボ</t>
    </rPh>
    <phoneticPr fontId="8"/>
  </si>
  <si>
    <t>［ＴＶ総体］</t>
    <rPh sb="3" eb="5">
      <t>ソウタイ</t>
    </rPh>
    <phoneticPr fontId="8"/>
  </si>
  <si>
    <t>ＣＡＴＶ</t>
  </si>
  <si>
    <t>補正無</t>
    <rPh sb="0" eb="2">
      <t>ホセイ</t>
    </rPh>
    <rPh sb="2" eb="3">
      <t>ナ</t>
    </rPh>
    <phoneticPr fontId="8"/>
  </si>
  <si>
    <t>補正無</t>
  </si>
  <si>
    <t>テレビ共聴（局所）</t>
    <rPh sb="3" eb="4">
      <t>キョウドウ</t>
    </rPh>
    <rPh sb="4" eb="5">
      <t>チョウシ</t>
    </rPh>
    <rPh sb="6" eb="8">
      <t>キョクショ</t>
    </rPh>
    <phoneticPr fontId="8"/>
  </si>
  <si>
    <t>テレビジョン共同聴視（局所的）・器具数</t>
    <rPh sb="6" eb="8">
      <t>キョウドウ</t>
    </rPh>
    <rPh sb="8" eb="10">
      <t>チョウシ</t>
    </rPh>
    <rPh sb="11" eb="13">
      <t>キョクショ</t>
    </rPh>
    <rPh sb="13" eb="14">
      <t>ソウタイテキ</t>
    </rPh>
    <rPh sb="16" eb="18">
      <t>キグ</t>
    </rPh>
    <rPh sb="18" eb="19">
      <t>スウ</t>
    </rPh>
    <phoneticPr fontId="8"/>
  </si>
  <si>
    <t>テレビジョン共同聴視（局所的）・方式</t>
    <rPh sb="6" eb="8">
      <t>キョウドウ</t>
    </rPh>
    <rPh sb="8" eb="10">
      <t>チョウシ</t>
    </rPh>
    <rPh sb="11" eb="13">
      <t>キョクショ</t>
    </rPh>
    <rPh sb="13" eb="14">
      <t>テキ</t>
    </rPh>
    <rPh sb="16" eb="18">
      <t>ホウシキ</t>
    </rPh>
    <phoneticPr fontId="8"/>
  </si>
  <si>
    <t>［ＴＶ局所］</t>
    <rPh sb="3" eb="5">
      <t>キョクショ</t>
    </rPh>
    <phoneticPr fontId="8"/>
  </si>
  <si>
    <t>10台1組程度</t>
    <rPh sb="2" eb="3">
      <t>ダイ</t>
    </rPh>
    <rPh sb="4" eb="5">
      <t>クミ</t>
    </rPh>
    <rPh sb="5" eb="7">
      <t>テイド</t>
    </rPh>
    <phoneticPr fontId="8"/>
  </si>
  <si>
    <t>5台1組程度</t>
    <rPh sb="1" eb="2">
      <t>ダイ</t>
    </rPh>
    <rPh sb="3" eb="4">
      <t>クミ</t>
    </rPh>
    <rPh sb="4" eb="6">
      <t>テイド</t>
    </rPh>
    <phoneticPr fontId="8"/>
  </si>
  <si>
    <t>3台1組程度</t>
    <rPh sb="1" eb="2">
      <t>ダイ</t>
    </rPh>
    <rPh sb="3" eb="4">
      <t>クミ</t>
    </rPh>
    <rPh sb="4" eb="6">
      <t>テイド</t>
    </rPh>
    <phoneticPr fontId="8"/>
  </si>
  <si>
    <t>［浴槽上］</t>
    <rPh sb="1" eb="3">
      <t>ヨクソウ</t>
    </rPh>
    <rPh sb="3" eb="4">
      <t>ジョウ</t>
    </rPh>
    <phoneticPr fontId="8"/>
  </si>
  <si>
    <t>140*80＊60</t>
  </si>
  <si>
    <t>120*75*60</t>
  </si>
  <si>
    <t>100*70*60</t>
  </si>
  <si>
    <t>良い</t>
    <rPh sb="0" eb="1">
      <t>ヨ</t>
    </rPh>
    <phoneticPr fontId="8"/>
  </si>
  <si>
    <t>悪い</t>
    <rPh sb="0" eb="1">
      <t>ワル</t>
    </rPh>
    <phoneticPr fontId="8"/>
  </si>
  <si>
    <t>［浴槽並］</t>
    <rPh sb="1" eb="3">
      <t>ヨクソウ</t>
    </rPh>
    <rPh sb="3" eb="4">
      <t>ナミ</t>
    </rPh>
    <phoneticPr fontId="8"/>
  </si>
  <si>
    <t>ユニットバス</t>
  </si>
  <si>
    <t>ユニットバス・型式</t>
    <rPh sb="7" eb="9">
      <t>カタシキ</t>
    </rPh>
    <phoneticPr fontId="8"/>
  </si>
  <si>
    <t>ユニットバス・程度</t>
    <rPh sb="7" eb="9">
      <t>テイド</t>
    </rPh>
    <phoneticPr fontId="8"/>
  </si>
  <si>
    <t>ユニットバス・大きさ</t>
    <rPh sb="7" eb="8">
      <t>オオ</t>
    </rPh>
    <phoneticPr fontId="8"/>
  </si>
  <si>
    <t>洗面・便器付</t>
  </si>
  <si>
    <t>シャワー付</t>
  </si>
  <si>
    <t>200cm*160cm</t>
  </si>
  <si>
    <t>180cm*140cm</t>
  </si>
  <si>
    <r>
      <t>160cm*1</t>
    </r>
    <r>
      <rPr>
        <sz val="9"/>
        <rFont val="ＭＳ Ｐゴシック"/>
        <family val="3"/>
        <charset val="128"/>
      </rPr>
      <t>2</t>
    </r>
    <r>
      <rPr>
        <sz val="9"/>
        <rFont val="ＭＳ Ｐゴシック"/>
        <family val="3"/>
        <charset val="128"/>
      </rPr>
      <t>0cm</t>
    </r>
    <phoneticPr fontId="8"/>
  </si>
  <si>
    <t>ﾊｰﾌﾕﾆｯﾄﾊﾞｽ</t>
  </si>
  <si>
    <t>ﾊｰﾌユニットバス・程度</t>
    <rPh sb="10" eb="12">
      <t>テイド</t>
    </rPh>
    <phoneticPr fontId="8"/>
  </si>
  <si>
    <t>ﾊｰﾌユニットバス・大きさ</t>
    <rPh sb="10" eb="11">
      <t>オオ</t>
    </rPh>
    <phoneticPr fontId="8"/>
  </si>
  <si>
    <t>160cm*160cm</t>
  </si>
  <si>
    <t>浴室換気乾燥機・程度</t>
    <rPh sb="0" eb="2">
      <t>ヨクシツ</t>
    </rPh>
    <rPh sb="2" eb="4">
      <t>カンキ</t>
    </rPh>
    <rPh sb="4" eb="7">
      <t>カンソウキ</t>
    </rPh>
    <rPh sb="8" eb="10">
      <t>テイド</t>
    </rPh>
    <phoneticPr fontId="8"/>
  </si>
  <si>
    <t>　</t>
    <phoneticPr fontId="8"/>
  </si>
  <si>
    <t>［浴室換気乾燥機］</t>
    <rPh sb="1" eb="3">
      <t>ヨクシツ</t>
    </rPh>
    <rPh sb="3" eb="5">
      <t>カンキ</t>
    </rPh>
    <rPh sb="5" eb="8">
      <t>カンソウキ</t>
    </rPh>
    <phoneticPr fontId="8"/>
  </si>
  <si>
    <t>ﾕﾆｯﾄｼｬﾜｰ</t>
  </si>
  <si>
    <t>ユニットシャワー・程度</t>
    <rPh sb="9" eb="11">
      <t>テイド</t>
    </rPh>
    <phoneticPr fontId="8"/>
  </si>
  <si>
    <t>給湯器（貯湯式）</t>
    <rPh sb="0" eb="3">
      <t>キュウトウキ</t>
    </rPh>
    <rPh sb="4" eb="5">
      <t>チョ</t>
    </rPh>
    <rPh sb="5" eb="6">
      <t>ユ</t>
    </rPh>
    <rPh sb="6" eb="7">
      <t>シキ</t>
    </rPh>
    <phoneticPr fontId="8"/>
  </si>
  <si>
    <t>給湯器（貯湯式）容量</t>
    <rPh sb="0" eb="3">
      <t>キュウトウキ</t>
    </rPh>
    <rPh sb="4" eb="5">
      <t>チョ</t>
    </rPh>
    <rPh sb="5" eb="6">
      <t>ユ</t>
    </rPh>
    <rPh sb="6" eb="7">
      <t>シキ</t>
    </rPh>
    <rPh sb="8" eb="10">
      <t>ヨウリョウ</t>
    </rPh>
    <phoneticPr fontId="8"/>
  </si>
  <si>
    <t>給湯器（貯湯式）施工程度</t>
    <rPh sb="0" eb="3">
      <t>キュウトウキ</t>
    </rPh>
    <rPh sb="4" eb="5">
      <t>チョ</t>
    </rPh>
    <rPh sb="5" eb="6">
      <t>ユ</t>
    </rPh>
    <rPh sb="6" eb="7">
      <t>シキ</t>
    </rPh>
    <rPh sb="8" eb="10">
      <t>セコウ</t>
    </rPh>
    <rPh sb="10" eb="12">
      <t>テイド</t>
    </rPh>
    <phoneticPr fontId="8"/>
  </si>
  <si>
    <t>［給湯貯湯式］</t>
    <rPh sb="1" eb="3">
      <t>キュウトウ</t>
    </rPh>
    <rPh sb="3" eb="4">
      <t>チョ</t>
    </rPh>
    <rPh sb="4" eb="5">
      <t>ユ</t>
    </rPh>
    <rPh sb="5" eb="6">
      <t>シキ</t>
    </rPh>
    <phoneticPr fontId="8"/>
  </si>
  <si>
    <t>ミニシステムキッチン・開口寸法</t>
    <rPh sb="11" eb="13">
      <t>カイコウ</t>
    </rPh>
    <rPh sb="13" eb="15">
      <t>スンポウ</t>
    </rPh>
    <phoneticPr fontId="8"/>
  </si>
  <si>
    <t>ミニシステムキッチン・程度</t>
    <rPh sb="11" eb="13">
      <t>テイド</t>
    </rPh>
    <phoneticPr fontId="8"/>
  </si>
  <si>
    <t>［ミニＳＫ］</t>
    <phoneticPr fontId="8"/>
  </si>
  <si>
    <t>システムキッチン</t>
    <phoneticPr fontId="8"/>
  </si>
  <si>
    <t>システムキッチン・開口寸法</t>
    <rPh sb="9" eb="11">
      <t>カイコウ</t>
    </rPh>
    <rPh sb="11" eb="13">
      <t>スンポウ</t>
    </rPh>
    <phoneticPr fontId="8"/>
  </si>
  <si>
    <t>システムキッチン・程度</t>
    <rPh sb="9" eb="11">
      <t>テイド</t>
    </rPh>
    <phoneticPr fontId="8"/>
  </si>
  <si>
    <t>[ＳＫ]</t>
    <phoneticPr fontId="8"/>
  </si>
  <si>
    <t>[ガス]</t>
    <phoneticPr fontId="8"/>
  </si>
  <si>
    <t>都市ガス</t>
    <rPh sb="0" eb="2">
      <t>トシ</t>
    </rPh>
    <phoneticPr fontId="8"/>
  </si>
  <si>
    <t>ＬＰＧ</t>
  </si>
  <si>
    <t>※黄色をクリックすると入力画面（調書シートの杭）へジャンプします。</t>
    <rPh sb="1" eb="3">
      <t>キイロ</t>
    </rPh>
    <rPh sb="11" eb="13">
      <t>ニュウリョク</t>
    </rPh>
    <rPh sb="13" eb="15">
      <t>ガメン</t>
    </rPh>
    <rPh sb="16" eb="18">
      <t>チョウショ</t>
    </rPh>
    <rPh sb="22" eb="23">
      <t>クイ</t>
    </rPh>
    <phoneticPr fontId="17"/>
  </si>
  <si>
    <t>合　計</t>
    <rPh sb="0" eb="1">
      <t>ゴウ</t>
    </rPh>
    <rPh sb="2" eb="3">
      <t>ケイ</t>
    </rPh>
    <phoneticPr fontId="17"/>
  </si>
  <si>
    <t>－</t>
    <phoneticPr fontId="17"/>
  </si>
  <si>
    <t>屋根構造</t>
    <rPh sb="0" eb="1">
      <t>ヤ</t>
    </rPh>
    <rPh sb="1" eb="2">
      <t>ネ</t>
    </rPh>
    <rPh sb="2" eb="3">
      <t>カマエ</t>
    </rPh>
    <rPh sb="3" eb="4">
      <t>ヅクリ</t>
    </rPh>
    <phoneticPr fontId="17"/>
  </si>
  <si>
    <t>構造合計</t>
    <rPh sb="0" eb="2">
      <t>コウゾウ</t>
    </rPh>
    <rPh sb="2" eb="3">
      <t>ゴウ</t>
    </rPh>
    <rPh sb="3" eb="4">
      <t>ケイ</t>
    </rPh>
    <phoneticPr fontId="17"/>
  </si>
  <si>
    <t>床 構 造</t>
    <rPh sb="0" eb="1">
      <t>ユカ</t>
    </rPh>
    <rPh sb="2" eb="3">
      <t>カマエ</t>
    </rPh>
    <rPh sb="4" eb="5">
      <t>ヅクリ</t>
    </rPh>
    <phoneticPr fontId="17"/>
  </si>
  <si>
    <t>外 周 壁
骨　　組</t>
    <rPh sb="0" eb="1">
      <t>ソト</t>
    </rPh>
    <rPh sb="2" eb="3">
      <t>シュウ</t>
    </rPh>
    <rPh sb="4" eb="5">
      <t>ヘキ</t>
    </rPh>
    <rPh sb="6" eb="7">
      <t>ホネ</t>
    </rPh>
    <rPh sb="9" eb="10">
      <t>クミ</t>
    </rPh>
    <phoneticPr fontId="17"/>
  </si>
  <si>
    <t>間 仕 切
骨　　組</t>
    <rPh sb="0" eb="1">
      <t>アイダ</t>
    </rPh>
    <rPh sb="2" eb="3">
      <t>ツコウ</t>
    </rPh>
    <rPh sb="4" eb="5">
      <t>キリ</t>
    </rPh>
    <rPh sb="6" eb="7">
      <t>ホネ</t>
    </rPh>
    <rPh sb="9" eb="10">
      <t>クミ</t>
    </rPh>
    <phoneticPr fontId="17"/>
  </si>
  <si>
    <t>断熱</t>
    <phoneticPr fontId="17"/>
  </si>
  <si>
    <t>仕上合計</t>
    <rPh sb="0" eb="2">
      <t>シア</t>
    </rPh>
    <rPh sb="2" eb="3">
      <t>ゴウ</t>
    </rPh>
    <rPh sb="3" eb="4">
      <t>ケイ</t>
    </rPh>
    <phoneticPr fontId="17"/>
  </si>
  <si>
    <t>床 仕 上</t>
    <rPh sb="0" eb="1">
      <t>ユカ</t>
    </rPh>
    <rPh sb="2" eb="3">
      <t>ツコウ</t>
    </rPh>
    <rPh sb="4" eb="5">
      <t>ウエ</t>
    </rPh>
    <phoneticPr fontId="17"/>
  </si>
  <si>
    <t>天井仕上</t>
    <rPh sb="0" eb="1">
      <t>テン</t>
    </rPh>
    <rPh sb="1" eb="2">
      <t>セイ</t>
    </rPh>
    <rPh sb="2" eb="3">
      <t>ツコウ</t>
    </rPh>
    <rPh sb="3" eb="4">
      <t>ジョウ</t>
    </rPh>
    <phoneticPr fontId="17"/>
  </si>
  <si>
    <t>屋根仕上</t>
    <rPh sb="0" eb="1">
      <t>ヤ</t>
    </rPh>
    <rPh sb="1" eb="2">
      <t>ネ</t>
    </rPh>
    <rPh sb="2" eb="3">
      <t>ツコウ</t>
    </rPh>
    <rPh sb="3" eb="4">
      <t>ウエ</t>
    </rPh>
    <phoneticPr fontId="17"/>
  </si>
  <si>
    <t>天窓</t>
    <rPh sb="0" eb="2">
      <t>テンマド</t>
    </rPh>
    <phoneticPr fontId="17"/>
  </si>
  <si>
    <t>※黄色をクリックすると入力画面（調書シートの屋根仕上の天窓）へジャンプします。</t>
    <rPh sb="1" eb="3">
      <t>キイロ</t>
    </rPh>
    <rPh sb="11" eb="13">
      <t>ニュウリョク</t>
    </rPh>
    <rPh sb="13" eb="15">
      <t>ガメン</t>
    </rPh>
    <rPh sb="22" eb="24">
      <t>ヤネ</t>
    </rPh>
    <rPh sb="24" eb="26">
      <t>シア</t>
    </rPh>
    <phoneticPr fontId="17"/>
  </si>
  <si>
    <t>●補助票＜屋根及び外部仕上面積計算書＞</t>
    <rPh sb="1" eb="3">
      <t>ホジョ</t>
    </rPh>
    <rPh sb="3" eb="4">
      <t>ヒョウ</t>
    </rPh>
    <rPh sb="5" eb="7">
      <t>ヤネ</t>
    </rPh>
    <rPh sb="7" eb="8">
      <t>オヨ</t>
    </rPh>
    <rPh sb="9" eb="11">
      <t>ガイブ</t>
    </rPh>
    <rPh sb="11" eb="13">
      <t>シア</t>
    </rPh>
    <phoneticPr fontId="0"/>
  </si>
  <si>
    <t>辺　　　　　　長</t>
    <rPh sb="0" eb="1">
      <t>ヘン</t>
    </rPh>
    <rPh sb="7" eb="8">
      <t>ナガ</t>
    </rPh>
    <phoneticPr fontId="8"/>
  </si>
  <si>
    <t>基礎延長合計</t>
    <rPh sb="0" eb="2">
      <t>キソ</t>
    </rPh>
    <rPh sb="2" eb="4">
      <t>エンチョウ</t>
    </rPh>
    <rPh sb="4" eb="5">
      <t>ゴウ</t>
    </rPh>
    <rPh sb="5" eb="6">
      <t>ケイ</t>
    </rPh>
    <phoneticPr fontId="8"/>
  </si>
  <si>
    <t>＋</t>
    <phoneticPr fontId="8"/>
  </si>
  <si>
    <t>＝</t>
    <phoneticPr fontId="8"/>
  </si>
  <si>
    <t>空調・中央熱源方式・冷房能力の大小</t>
    <rPh sb="0" eb="2">
      <t>クウチョウ</t>
    </rPh>
    <rPh sb="3" eb="5">
      <t>チュウオウ</t>
    </rPh>
    <rPh sb="5" eb="7">
      <t>ネツゲン</t>
    </rPh>
    <rPh sb="7" eb="9">
      <t>ホウシキ</t>
    </rPh>
    <rPh sb="10" eb="12">
      <t>レイボウ</t>
    </rPh>
    <rPh sb="12" eb="14">
      <t>ノウリョク</t>
    </rPh>
    <rPh sb="15" eb="17">
      <t>ダイショウ</t>
    </rPh>
    <phoneticPr fontId="8"/>
  </si>
  <si>
    <t>空調・中央熱源方式・空調機ゾーニングの大小</t>
    <rPh sb="0" eb="2">
      <t>クウチョウ</t>
    </rPh>
    <rPh sb="3" eb="5">
      <t>チュウオウ</t>
    </rPh>
    <rPh sb="5" eb="7">
      <t>ネツゲン</t>
    </rPh>
    <rPh sb="7" eb="9">
      <t>ホウシキ</t>
    </rPh>
    <rPh sb="10" eb="13">
      <t>クウチョウキ</t>
    </rPh>
    <rPh sb="19" eb="21">
      <t>ダイショウ</t>
    </rPh>
    <phoneticPr fontId="8"/>
  </si>
  <si>
    <t>空調・中央熱源方式・配管方式</t>
    <rPh sb="0" eb="2">
      <t>クウチョウ</t>
    </rPh>
    <rPh sb="3" eb="5">
      <t>チュウオウ</t>
    </rPh>
    <rPh sb="5" eb="7">
      <t>ネツゲン</t>
    </rPh>
    <rPh sb="7" eb="9">
      <t>ホウシキ</t>
    </rPh>
    <rPh sb="10" eb="12">
      <t>ハイカン</t>
    </rPh>
    <rPh sb="12" eb="14">
      <t>ホウシキ</t>
    </rPh>
    <phoneticPr fontId="8"/>
  </si>
  <si>
    <t>空調・中央熱源方式・ダクト方式</t>
    <rPh sb="0" eb="2">
      <t>クウチョウ</t>
    </rPh>
    <rPh sb="3" eb="5">
      <t>チュウオウ</t>
    </rPh>
    <rPh sb="5" eb="7">
      <t>ネツゲン</t>
    </rPh>
    <rPh sb="7" eb="9">
      <t>ホウシキ</t>
    </rPh>
    <rPh sb="13" eb="15">
      <t>ホウシキ</t>
    </rPh>
    <phoneticPr fontId="8"/>
  </si>
  <si>
    <t>空調・中央熱源方式・制御方式の程度</t>
    <rPh sb="0" eb="2">
      <t>クウチョウ</t>
    </rPh>
    <rPh sb="3" eb="5">
      <t>チュウオウ</t>
    </rPh>
    <rPh sb="5" eb="7">
      <t>ネツゲン</t>
    </rPh>
    <rPh sb="7" eb="9">
      <t>ホウシキ</t>
    </rPh>
    <rPh sb="10" eb="12">
      <t>セイギョ</t>
    </rPh>
    <rPh sb="12" eb="14">
      <t>ホウシキ</t>
    </rPh>
    <rPh sb="15" eb="17">
      <t>テイド</t>
    </rPh>
    <phoneticPr fontId="8"/>
  </si>
  <si>
    <t>空調・中央熱源方式・建物の規模</t>
    <rPh sb="0" eb="2">
      <t>クウチョウ</t>
    </rPh>
    <rPh sb="3" eb="5">
      <t>チュウオウ</t>
    </rPh>
    <rPh sb="5" eb="7">
      <t>ネツゲン</t>
    </rPh>
    <rPh sb="7" eb="9">
      <t>ホウシキ</t>
    </rPh>
    <rPh sb="10" eb="12">
      <t>タテモノ</t>
    </rPh>
    <rPh sb="13" eb="15">
      <t>キボ</t>
    </rPh>
    <phoneticPr fontId="8"/>
  </si>
  <si>
    <t>［熱源方式］</t>
    <rPh sb="1" eb="3">
      <t>ネツゲン</t>
    </rPh>
    <rPh sb="3" eb="5">
      <t>ホウシキ</t>
    </rPh>
    <phoneticPr fontId="8"/>
  </si>
  <si>
    <t>あり</t>
  </si>
  <si>
    <t>0.17kw程度</t>
    <rPh sb="6" eb="8">
      <t>テイド</t>
    </rPh>
    <phoneticPr fontId="8"/>
  </si>
  <si>
    <t>0.14kw程度</t>
    <rPh sb="6" eb="8">
      <t>テイド</t>
    </rPh>
    <phoneticPr fontId="8"/>
  </si>
  <si>
    <t>0.08kw程度</t>
    <rPh sb="6" eb="8">
      <t>テイド</t>
    </rPh>
    <phoneticPr fontId="8"/>
  </si>
  <si>
    <t>200㎡程度</t>
    <rPh sb="4" eb="6">
      <t>テイド</t>
    </rPh>
    <phoneticPr fontId="8"/>
  </si>
  <si>
    <t>500㎡程度</t>
    <rPh sb="4" eb="6">
      <t>テイド</t>
    </rPh>
    <phoneticPr fontId="8"/>
  </si>
  <si>
    <t>４パイプ</t>
  </si>
  <si>
    <t>２パイプ</t>
  </si>
  <si>
    <t>ＶＡＶ</t>
  </si>
  <si>
    <t>ＣＡＶ</t>
  </si>
  <si>
    <t>中央監視</t>
    <rPh sb="0" eb="2">
      <t>チュウオウ</t>
    </rPh>
    <rPh sb="2" eb="4">
      <t>カンシ</t>
    </rPh>
    <phoneticPr fontId="8"/>
  </si>
  <si>
    <t>ローカル</t>
  </si>
  <si>
    <t>空調・個別空調・冷房能力の大小</t>
    <rPh sb="0" eb="2">
      <t>クウチョウ</t>
    </rPh>
    <rPh sb="3" eb="5">
      <t>コベツ</t>
    </rPh>
    <rPh sb="5" eb="7">
      <t>クウチョウ</t>
    </rPh>
    <rPh sb="8" eb="10">
      <t>レイボウ</t>
    </rPh>
    <rPh sb="10" eb="12">
      <t>ノウリョク</t>
    </rPh>
    <rPh sb="13" eb="15">
      <t>ダイショウ</t>
    </rPh>
    <phoneticPr fontId="8"/>
  </si>
  <si>
    <t>空調・個別空調・ダクトの有無</t>
    <rPh sb="0" eb="2">
      <t>クウチョウ</t>
    </rPh>
    <rPh sb="3" eb="5">
      <t>コベツ</t>
    </rPh>
    <rPh sb="5" eb="7">
      <t>クウチョウ</t>
    </rPh>
    <rPh sb="12" eb="14">
      <t>ウム</t>
    </rPh>
    <phoneticPr fontId="8"/>
  </si>
  <si>
    <t>空調・個別空調・換気の程度</t>
    <rPh sb="0" eb="2">
      <t>クウチョウ</t>
    </rPh>
    <rPh sb="3" eb="5">
      <t>コベツ</t>
    </rPh>
    <rPh sb="5" eb="7">
      <t>クウチョウ</t>
    </rPh>
    <rPh sb="8" eb="10">
      <t>カンキ</t>
    </rPh>
    <rPh sb="11" eb="13">
      <t>テイド</t>
    </rPh>
    <phoneticPr fontId="8"/>
  </si>
  <si>
    <t>［個別］</t>
    <rPh sb="1" eb="3">
      <t>コベツ</t>
    </rPh>
    <phoneticPr fontId="8"/>
  </si>
  <si>
    <t>全熱交換器</t>
    <rPh sb="0" eb="1">
      <t>ゼン</t>
    </rPh>
    <rPh sb="1" eb="2">
      <t>ネツ</t>
    </rPh>
    <rPh sb="2" eb="4">
      <t>コウカン</t>
    </rPh>
    <rPh sb="4" eb="5">
      <t>キ</t>
    </rPh>
    <phoneticPr fontId="8"/>
  </si>
  <si>
    <t>建　築　設　備</t>
    <rPh sb="0" eb="1">
      <t>ケン</t>
    </rPh>
    <rPh sb="2" eb="3">
      <t>チク</t>
    </rPh>
    <rPh sb="4" eb="5">
      <t>セツ</t>
    </rPh>
    <rPh sb="6" eb="7">
      <t>ソナエ</t>
    </rPh>
    <phoneticPr fontId="8"/>
  </si>
  <si>
    <t>仮設・その他工事</t>
    <rPh sb="0" eb="1">
      <t>カリ</t>
    </rPh>
    <rPh sb="1" eb="2">
      <t>セツ</t>
    </rPh>
    <rPh sb="5" eb="6">
      <t>タ</t>
    </rPh>
    <rPh sb="6" eb="7">
      <t>コウ</t>
    </rPh>
    <rPh sb="7" eb="8">
      <t>コト</t>
    </rPh>
    <phoneticPr fontId="8"/>
  </si>
  <si>
    <t>仮設・その他工事</t>
    <rPh sb="0" eb="2">
      <t>カセツ</t>
    </rPh>
    <rPh sb="5" eb="6">
      <t>タ</t>
    </rPh>
    <rPh sb="6" eb="8">
      <t>コウジ</t>
    </rPh>
    <phoneticPr fontId="8"/>
  </si>
  <si>
    <t>標準評点数</t>
    <rPh sb="0" eb="2">
      <t>ヒョウジュン</t>
    </rPh>
    <rPh sb="2" eb="4">
      <t>ヒョウテン</t>
    </rPh>
    <rPh sb="4" eb="5">
      <t>スウ</t>
    </rPh>
    <phoneticPr fontId="8"/>
  </si>
  <si>
    <t>補正係数</t>
    <rPh sb="0" eb="2">
      <t>ホセイ</t>
    </rPh>
    <rPh sb="2" eb="4">
      <t>ケイスウ</t>
    </rPh>
    <phoneticPr fontId="8"/>
  </si>
  <si>
    <r>
      <t>評 点</t>
    </r>
    <r>
      <rPr>
        <sz val="9"/>
        <rFont val="ＭＳ Ｐゴシック"/>
        <family val="3"/>
        <charset val="128"/>
      </rPr>
      <t xml:space="preserve"> </t>
    </r>
    <r>
      <rPr>
        <sz val="9"/>
        <rFont val="ＭＳ Ｐゴシック"/>
        <family val="3"/>
        <charset val="128"/>
      </rPr>
      <t>数</t>
    </r>
    <rPh sb="0" eb="1">
      <t>ヒョウ</t>
    </rPh>
    <rPh sb="2" eb="3">
      <t>テン</t>
    </rPh>
    <rPh sb="4" eb="5">
      <t>カズ</t>
    </rPh>
    <phoneticPr fontId="8"/>
  </si>
  <si>
    <t>延床面積</t>
    <rPh sb="0" eb="1">
      <t>ノベ</t>
    </rPh>
    <rPh sb="1" eb="2">
      <t>ユカ</t>
    </rPh>
    <rPh sb="2" eb="4">
      <t>メンセキ</t>
    </rPh>
    <phoneticPr fontId="8"/>
  </si>
  <si>
    <t>部分別評点数</t>
    <rPh sb="0" eb="2">
      <t>ブブン</t>
    </rPh>
    <rPh sb="2" eb="3">
      <t>ベツ</t>
    </rPh>
    <rPh sb="3" eb="5">
      <t>ヒョウテン</t>
    </rPh>
    <rPh sb="5" eb="6">
      <t>スウ</t>
    </rPh>
    <phoneticPr fontId="8"/>
  </si>
  <si>
    <t>仮設工事</t>
    <rPh sb="0" eb="1">
      <t>カリ</t>
    </rPh>
    <rPh sb="1" eb="2">
      <t>セツ</t>
    </rPh>
    <rPh sb="2" eb="3">
      <t>コウ</t>
    </rPh>
    <rPh sb="3" eb="4">
      <t>コト</t>
    </rPh>
    <phoneticPr fontId="8"/>
  </si>
  <si>
    <t>－</t>
    <phoneticPr fontId="8"/>
  </si>
  <si>
    <t>その他工事</t>
    <rPh sb="2" eb="3">
      <t>タ</t>
    </rPh>
    <rPh sb="3" eb="5">
      <t>コウジ</t>
    </rPh>
    <phoneticPr fontId="8"/>
  </si>
  <si>
    <t>多い</t>
    <rPh sb="0" eb="1">
      <t>オオ</t>
    </rPh>
    <phoneticPr fontId="17"/>
  </si>
  <si>
    <t>少ない</t>
    <rPh sb="0" eb="1">
      <t>スク</t>
    </rPh>
    <phoneticPr fontId="17"/>
  </si>
  <si>
    <t xml:space="preserve"> 再建築費評点数</t>
    <rPh sb="1" eb="4">
      <t>サイケンチク</t>
    </rPh>
    <rPh sb="4" eb="5">
      <t>ヒ</t>
    </rPh>
    <rPh sb="5" eb="7">
      <t>ヒョウテン</t>
    </rPh>
    <rPh sb="7" eb="8">
      <t>カズ</t>
    </rPh>
    <phoneticPr fontId="17"/>
  </si>
  <si>
    <t>点</t>
    <rPh sb="0" eb="1">
      <t>テン</t>
    </rPh>
    <phoneticPr fontId="17"/>
  </si>
  <si>
    <t xml:space="preserve"> 基準年調整 ÷</t>
    <rPh sb="1" eb="3">
      <t>キジュン</t>
    </rPh>
    <rPh sb="3" eb="4">
      <t>ネン</t>
    </rPh>
    <rPh sb="4" eb="6">
      <t>チョウセイ</t>
    </rPh>
    <phoneticPr fontId="17"/>
  </si>
  <si>
    <t>円</t>
    <rPh sb="0" eb="1">
      <t>エン</t>
    </rPh>
    <phoneticPr fontId="17"/>
  </si>
  <si>
    <t xml:space="preserve"> 評価額 ×</t>
    <rPh sb="1" eb="4">
      <t>ヒョウカガク</t>
    </rPh>
    <phoneticPr fontId="17"/>
  </si>
  <si>
    <t xml:space="preserve"> １㎡当たり単価</t>
    <rPh sb="3" eb="4">
      <t>ア</t>
    </rPh>
    <rPh sb="6" eb="8">
      <t>タンカ</t>
    </rPh>
    <phoneticPr fontId="17"/>
  </si>
  <si>
    <t>構　造　・　仕　上　・　断　熱　材</t>
    <rPh sb="0" eb="1">
      <t>カマエ</t>
    </rPh>
    <rPh sb="2" eb="3">
      <t>ヅクリ</t>
    </rPh>
    <rPh sb="6" eb="7">
      <t>ツコウ</t>
    </rPh>
    <rPh sb="8" eb="9">
      <t>ウエ</t>
    </rPh>
    <rPh sb="12" eb="13">
      <t>ダン</t>
    </rPh>
    <rPh sb="14" eb="15">
      <t>ネツ</t>
    </rPh>
    <rPh sb="16" eb="17">
      <t>ザイ</t>
    </rPh>
    <phoneticPr fontId="17"/>
  </si>
  <si>
    <t>横辺</t>
    <rPh sb="0" eb="1">
      <t>ヨコ</t>
    </rPh>
    <rPh sb="1" eb="2">
      <t>ヘン</t>
    </rPh>
    <phoneticPr fontId="17"/>
  </si>
  <si>
    <t>縦辺</t>
    <rPh sb="0" eb="1">
      <t>タテ</t>
    </rPh>
    <rPh sb="1" eb="2">
      <t>ヘン</t>
    </rPh>
    <phoneticPr fontId="17"/>
  </si>
  <si>
    <t>合計（㎡）</t>
    <rPh sb="0" eb="2">
      <t>ゴウケイ</t>
    </rPh>
    <phoneticPr fontId="17"/>
  </si>
  <si>
    <t>拡声器</t>
    <rPh sb="0" eb="3">
      <t>カクセイキ</t>
    </rPh>
    <phoneticPr fontId="17"/>
  </si>
  <si>
    <t>空調</t>
    <rPh sb="0" eb="2">
      <t>クウチョウ</t>
    </rPh>
    <phoneticPr fontId="17"/>
  </si>
  <si>
    <t>換気設備</t>
    <rPh sb="0" eb="2">
      <t>カンキ</t>
    </rPh>
    <rPh sb="2" eb="4">
      <t>セツビ</t>
    </rPh>
    <phoneticPr fontId="17"/>
  </si>
  <si>
    <t>ｽﾌﾟﾘﾝｸﾗ</t>
    <phoneticPr fontId="17"/>
  </si>
  <si>
    <t>床構造</t>
    <rPh sb="0" eb="1">
      <t>ユカ</t>
    </rPh>
    <rPh sb="1" eb="3">
      <t>コウゾウ</t>
    </rPh>
    <phoneticPr fontId="17"/>
  </si>
  <si>
    <t>床仕上</t>
    <rPh sb="0" eb="1">
      <t>ユカ</t>
    </rPh>
    <rPh sb="1" eb="3">
      <t>シア</t>
    </rPh>
    <phoneticPr fontId="17"/>
  </si>
  <si>
    <t>天井仕上</t>
    <rPh sb="0" eb="2">
      <t>テンジョウ</t>
    </rPh>
    <rPh sb="2" eb="4">
      <t>シア</t>
    </rPh>
    <phoneticPr fontId="17"/>
  </si>
  <si>
    <t>１Ｆ</t>
    <phoneticPr fontId="17"/>
  </si>
  <si>
    <t>＝</t>
    <phoneticPr fontId="17"/>
  </si>
  <si>
    <t>×</t>
    <phoneticPr fontId="17"/>
  </si>
  <si>
    <t>（端数処理）</t>
    <rPh sb="1" eb="3">
      <t>ハスウ</t>
    </rPh>
    <rPh sb="3" eb="5">
      <t>ショリ</t>
    </rPh>
    <phoneticPr fontId="17"/>
  </si>
  <si>
    <t>－</t>
    <phoneticPr fontId="17"/>
  </si>
  <si>
    <t>２Ｆ</t>
    <phoneticPr fontId="17"/>
  </si>
  <si>
    <t>３Ｆ</t>
    <phoneticPr fontId="17"/>
  </si>
  <si>
    <t>４Ｆ</t>
    <phoneticPr fontId="17"/>
  </si>
  <si>
    <t>１１Ｆ</t>
  </si>
  <si>
    <t>１２Ｆ</t>
  </si>
  <si>
    <t>１３Ｆ</t>
  </si>
  <si>
    <t>１４Ｆ</t>
  </si>
  <si>
    <t>１５Ｆ</t>
  </si>
  <si>
    <t>１６Ｆ</t>
    <phoneticPr fontId="17"/>
  </si>
  <si>
    <t>合計</t>
    <rPh sb="0" eb="2">
      <t>ゴウケイ</t>
    </rPh>
    <phoneticPr fontId="17"/>
  </si>
  <si>
    <t>仕上等面積合計</t>
    <rPh sb="0" eb="2">
      <t>シア</t>
    </rPh>
    <rPh sb="2" eb="3">
      <t>ナド</t>
    </rPh>
    <rPh sb="3" eb="5">
      <t>メンセキ</t>
    </rPh>
    <rPh sb="5" eb="7">
      <t>ゴウケイ</t>
    </rPh>
    <phoneticPr fontId="17"/>
  </si>
  <si>
    <t>建具の評価計算</t>
  </si>
  <si>
    <t>評　点　項　目</t>
    <phoneticPr fontId="8"/>
  </si>
  <si>
    <t>種類</t>
    <rPh sb="0" eb="2">
      <t>シュルイ</t>
    </rPh>
    <phoneticPr fontId="8"/>
  </si>
  <si>
    <t>［建具名称］</t>
    <rPh sb="3" eb="5">
      <t>メイショウ</t>
    </rPh>
    <phoneticPr fontId="8"/>
  </si>
  <si>
    <t>.</t>
  </si>
  <si>
    <t>窓</t>
    <rPh sb="0" eb="1">
      <t>マド</t>
    </rPh>
    <phoneticPr fontId="8"/>
  </si>
  <si>
    <t>火災報知・建物の規模</t>
    <rPh sb="0" eb="2">
      <t>カサイ</t>
    </rPh>
    <rPh sb="2" eb="4">
      <t>ホウチ</t>
    </rPh>
    <rPh sb="5" eb="7">
      <t>タテモノ</t>
    </rPh>
    <rPh sb="8" eb="10">
      <t>キボ</t>
    </rPh>
    <phoneticPr fontId="8"/>
  </si>
  <si>
    <t>［火災報知］</t>
    <rPh sb="1" eb="3">
      <t>カサイ</t>
    </rPh>
    <rPh sb="3" eb="5">
      <t>ホウチ</t>
    </rPh>
    <phoneticPr fontId="8"/>
  </si>
  <si>
    <t>煙感知</t>
    <rPh sb="0" eb="1">
      <t>ケムリ</t>
    </rPh>
    <rPh sb="1" eb="3">
      <t>カンチ</t>
    </rPh>
    <phoneticPr fontId="8"/>
  </si>
  <si>
    <t>スポット</t>
  </si>
  <si>
    <t>空気管</t>
    <rPh sb="0" eb="2">
      <t>クウキ</t>
    </rPh>
    <rPh sb="2" eb="3">
      <t>カン</t>
    </rPh>
    <phoneticPr fontId="8"/>
  </si>
  <si>
    <t>上等(R､P-1自立)</t>
  </si>
  <si>
    <t>普通(Ｐ－１壁)</t>
  </si>
  <si>
    <t>以下(Ｐ－２)</t>
  </si>
  <si>
    <t>避雷突針</t>
    <rPh sb="0" eb="2">
      <t>ヒライ</t>
    </rPh>
    <rPh sb="2" eb="3">
      <t>トツ</t>
    </rPh>
    <rPh sb="3" eb="4">
      <t>ハリ</t>
    </rPh>
    <phoneticPr fontId="8"/>
  </si>
  <si>
    <t>避雷突針・突針数</t>
    <rPh sb="0" eb="2">
      <t>ヒライ</t>
    </rPh>
    <rPh sb="2" eb="3">
      <t>トツ</t>
    </rPh>
    <rPh sb="3" eb="4">
      <t>ハリ</t>
    </rPh>
    <rPh sb="5" eb="6">
      <t>トツ</t>
    </rPh>
    <rPh sb="6" eb="7">
      <t>ハリ</t>
    </rPh>
    <rPh sb="7" eb="8">
      <t>カズ</t>
    </rPh>
    <phoneticPr fontId="8"/>
  </si>
  <si>
    <t>避雷突針・建物の高さ</t>
    <rPh sb="0" eb="2">
      <t>ヒライ</t>
    </rPh>
    <rPh sb="2" eb="3">
      <t>トツ</t>
    </rPh>
    <rPh sb="3" eb="4">
      <t>ハリ</t>
    </rPh>
    <rPh sb="5" eb="7">
      <t>タテモノ</t>
    </rPh>
    <rPh sb="8" eb="9">
      <t>タカ</t>
    </rPh>
    <phoneticPr fontId="8"/>
  </si>
  <si>
    <t>［避雷突針］</t>
    <rPh sb="1" eb="3">
      <t>ヒライ</t>
    </rPh>
    <rPh sb="3" eb="4">
      <t>トツ</t>
    </rPh>
    <rPh sb="4" eb="5">
      <t>ハリ</t>
    </rPh>
    <phoneticPr fontId="8"/>
  </si>
  <si>
    <t>単独</t>
  </si>
  <si>
    <t>複数</t>
  </si>
  <si>
    <t>避雷導体</t>
    <rPh sb="0" eb="2">
      <t>ヒライ</t>
    </rPh>
    <rPh sb="2" eb="4">
      <t>ドウタイ</t>
    </rPh>
    <phoneticPr fontId="8"/>
  </si>
  <si>
    <t>［避雷導体］</t>
    <rPh sb="1" eb="3">
      <t>ヒライ</t>
    </rPh>
    <rPh sb="3" eb="5">
      <t>ドウタイ</t>
    </rPh>
    <phoneticPr fontId="8"/>
  </si>
  <si>
    <t>消火栓・型式</t>
    <rPh sb="0" eb="3">
      <t>ショウカセン</t>
    </rPh>
    <rPh sb="4" eb="6">
      <t>カタシキ</t>
    </rPh>
    <phoneticPr fontId="8"/>
  </si>
  <si>
    <t>［消火栓］</t>
    <rPh sb="1" eb="4">
      <t>ショウカセン</t>
    </rPh>
    <phoneticPr fontId="8"/>
  </si>
  <si>
    <t>専用栓のみ</t>
    <rPh sb="0" eb="3">
      <t>センヨウセン</t>
    </rPh>
    <phoneticPr fontId="8"/>
  </si>
  <si>
    <t>専用栓付屋内消火栓</t>
  </si>
  <si>
    <t>屋内消火栓のみ</t>
  </si>
  <si>
    <t>ドレンチャー</t>
  </si>
  <si>
    <t>ドレンチャー・ヘッド数</t>
    <rPh sb="10" eb="11">
      <t>スウ</t>
    </rPh>
    <phoneticPr fontId="8"/>
  </si>
  <si>
    <t>ドレンチャー・程度</t>
    <rPh sb="7" eb="9">
      <t>テイド</t>
    </rPh>
    <phoneticPr fontId="8"/>
  </si>
  <si>
    <t>不活性ガス消火</t>
    <rPh sb="0" eb="3">
      <t>フカッセイ</t>
    </rPh>
    <rPh sb="5" eb="7">
      <t>ショウカ</t>
    </rPh>
    <phoneticPr fontId="8"/>
  </si>
  <si>
    <t>不活性ガス消火・規模</t>
    <rPh sb="0" eb="3">
      <t>フカッセイ</t>
    </rPh>
    <rPh sb="5" eb="7">
      <t>ショウカ</t>
    </rPh>
    <rPh sb="8" eb="10">
      <t>キボ</t>
    </rPh>
    <phoneticPr fontId="8"/>
  </si>
  <si>
    <t>［不活性ガス］</t>
    <rPh sb="1" eb="4">
      <t>フカッセイ</t>
    </rPh>
    <phoneticPr fontId="8"/>
  </si>
  <si>
    <t>泡消火</t>
    <rPh sb="0" eb="1">
      <t>アワ</t>
    </rPh>
    <rPh sb="1" eb="3">
      <t>ショウカ</t>
    </rPh>
    <phoneticPr fontId="8"/>
  </si>
  <si>
    <t>泡消火・規模</t>
    <rPh sb="0" eb="1">
      <t>アワ</t>
    </rPh>
    <rPh sb="1" eb="3">
      <t>ショウカ</t>
    </rPh>
    <rPh sb="4" eb="6">
      <t>キボ</t>
    </rPh>
    <phoneticPr fontId="8"/>
  </si>
  <si>
    <r>
      <t>建具</t>
    </r>
    <r>
      <rPr>
        <sz val="9"/>
        <rFont val="ＭＳ Ｐゴシック"/>
        <family val="3"/>
        <charset val="128"/>
      </rPr>
      <t xml:space="preserve"> </t>
    </r>
    <r>
      <rPr>
        <sz val="9"/>
        <rFont val="ＭＳ Ｐゴシック"/>
        <family val="3"/>
        <charset val="128"/>
      </rPr>
      <t>・</t>
    </r>
    <r>
      <rPr>
        <sz val="9"/>
        <rFont val="ＭＳ Ｐゴシック"/>
        <family val="3"/>
        <charset val="128"/>
      </rPr>
      <t xml:space="preserve"> </t>
    </r>
    <r>
      <rPr>
        <sz val="9"/>
        <rFont val="ＭＳ Ｐゴシック"/>
        <family val="3"/>
        <charset val="128"/>
      </rPr>
      <t>開口</t>
    </r>
    <rPh sb="0" eb="2">
      <t>タテグ</t>
    </rPh>
    <rPh sb="5" eb="7">
      <t>カイコウ</t>
    </rPh>
    <phoneticPr fontId="6"/>
  </si>
  <si>
    <r>
      <t xml:space="preserve">小　　　　 </t>
    </r>
    <r>
      <rPr>
        <sz val="9"/>
        <rFont val="ＭＳ Ｐゴシック"/>
        <family val="3"/>
        <charset val="128"/>
      </rPr>
      <t>計</t>
    </r>
    <rPh sb="0" eb="1">
      <t>ショウ</t>
    </rPh>
    <rPh sb="6" eb="7">
      <t>ケイ</t>
    </rPh>
    <phoneticPr fontId="6"/>
  </si>
  <si>
    <r>
      <t xml:space="preserve">戸　　　 </t>
    </r>
    <r>
      <rPr>
        <sz val="9"/>
        <rFont val="ＭＳ Ｐゴシック"/>
        <family val="3"/>
        <charset val="128"/>
      </rPr>
      <t xml:space="preserve">  </t>
    </r>
    <r>
      <rPr>
        <sz val="9"/>
        <rFont val="ＭＳ Ｐゴシック"/>
        <family val="3"/>
        <charset val="128"/>
      </rPr>
      <t>数</t>
    </r>
    <rPh sb="0" eb="1">
      <t>ト</t>
    </rPh>
    <rPh sb="7" eb="8">
      <t>カズ</t>
    </rPh>
    <phoneticPr fontId="6"/>
  </si>
  <si>
    <t>合 計 面 積</t>
    <rPh sb="0" eb="1">
      <t>ゴウ</t>
    </rPh>
    <rPh sb="2" eb="3">
      <t>ケイ</t>
    </rPh>
    <rPh sb="4" eb="5">
      <t>メン</t>
    </rPh>
    <rPh sb="6" eb="7">
      <t>セキ</t>
    </rPh>
    <phoneticPr fontId="6"/>
  </si>
  <si>
    <t>部屋名</t>
    <rPh sb="0" eb="2">
      <t>ヘヤ</t>
    </rPh>
    <rPh sb="2" eb="3">
      <t>メイ</t>
    </rPh>
    <phoneticPr fontId="6"/>
  </si>
  <si>
    <t>仕　上</t>
    <rPh sb="0" eb="1">
      <t>ツコウ</t>
    </rPh>
    <rPh sb="2" eb="3">
      <t>ジョウ</t>
    </rPh>
    <phoneticPr fontId="6"/>
  </si>
  <si>
    <t>辺　長</t>
    <rPh sb="0" eb="1">
      <t>ヘン</t>
    </rPh>
    <rPh sb="2" eb="3">
      <t>チョウ</t>
    </rPh>
    <phoneticPr fontId="6"/>
  </si>
  <si>
    <t>●補助票＜床・天井及び建築設備設置面積計算書＞</t>
    <rPh sb="1" eb="3">
      <t>ホジョ</t>
    </rPh>
    <rPh sb="3" eb="4">
      <t>ヒョウ</t>
    </rPh>
    <rPh sb="5" eb="6">
      <t>ユカ</t>
    </rPh>
    <rPh sb="7" eb="9">
      <t>テンジョウ</t>
    </rPh>
    <rPh sb="9" eb="10">
      <t>オヨ</t>
    </rPh>
    <phoneticPr fontId="17"/>
  </si>
  <si>
    <t>階数</t>
    <rPh sb="0" eb="2">
      <t>カイスウ</t>
    </rPh>
    <phoneticPr fontId="17"/>
  </si>
  <si>
    <t>室　　名</t>
    <rPh sb="0" eb="1">
      <t>シツ</t>
    </rPh>
    <rPh sb="3" eb="4">
      <t>メイ</t>
    </rPh>
    <phoneticPr fontId="17"/>
  </si>
  <si>
    <t>気送管</t>
    <rPh sb="0" eb="1">
      <t>キ</t>
    </rPh>
    <rPh sb="1" eb="2">
      <t>ソウ</t>
    </rPh>
    <rPh sb="2" eb="3">
      <t>カン</t>
    </rPh>
    <phoneticPr fontId="8"/>
  </si>
  <si>
    <t>気送管・制御方式</t>
    <rPh sb="0" eb="1">
      <t>キ</t>
    </rPh>
    <rPh sb="1" eb="2">
      <t>ソウ</t>
    </rPh>
    <rPh sb="2" eb="3">
      <t>カン</t>
    </rPh>
    <rPh sb="4" eb="6">
      <t>セイギョ</t>
    </rPh>
    <rPh sb="6" eb="8">
      <t>ホウシキ</t>
    </rPh>
    <phoneticPr fontId="8"/>
  </si>
  <si>
    <t>気送管・方式</t>
    <rPh sb="0" eb="3">
      <t>キソウカン</t>
    </rPh>
    <rPh sb="4" eb="6">
      <t>ホウシキ</t>
    </rPh>
    <phoneticPr fontId="8"/>
  </si>
  <si>
    <t>気送管・型式</t>
    <rPh sb="0" eb="3">
      <t>キソウカン</t>
    </rPh>
    <rPh sb="4" eb="6">
      <t>カタシキ</t>
    </rPh>
    <phoneticPr fontId="8"/>
  </si>
  <si>
    <t>気送管・気送管径</t>
    <rPh sb="0" eb="3">
      <t>キソウカン</t>
    </rPh>
    <rPh sb="4" eb="6">
      <t>キソウ</t>
    </rPh>
    <rPh sb="6" eb="7">
      <t>カン</t>
    </rPh>
    <rPh sb="7" eb="8">
      <t>ケイ</t>
    </rPh>
    <phoneticPr fontId="8"/>
  </si>
  <si>
    <t>［気送管］</t>
    <rPh sb="1" eb="4">
      <t>キソウカン</t>
    </rPh>
    <phoneticPr fontId="8"/>
  </si>
  <si>
    <t>選択方式</t>
    <rPh sb="0" eb="2">
      <t>センタク</t>
    </rPh>
    <rPh sb="2" eb="4">
      <t>ホウシキ</t>
    </rPh>
    <phoneticPr fontId="8"/>
  </si>
  <si>
    <t>無選択方式</t>
    <rPh sb="0" eb="1">
      <t>ム</t>
    </rPh>
    <rPh sb="1" eb="3">
      <t>センタク</t>
    </rPh>
    <rPh sb="3" eb="5">
      <t>ホウシキ</t>
    </rPh>
    <phoneticPr fontId="8"/>
  </si>
  <si>
    <t>自動出発</t>
    <rPh sb="0" eb="2">
      <t>ジドウ</t>
    </rPh>
    <rPh sb="2" eb="4">
      <t>シュッパツ</t>
    </rPh>
    <phoneticPr fontId="8"/>
  </si>
  <si>
    <t>２重投入防止</t>
    <rPh sb="1" eb="2">
      <t>ジュウ</t>
    </rPh>
    <rPh sb="2" eb="4">
      <t>トウニュウ</t>
    </rPh>
    <rPh sb="4" eb="6">
      <t>ボウシ</t>
    </rPh>
    <phoneticPr fontId="8"/>
  </si>
  <si>
    <t>ﾗﾝﾌﾟ表示</t>
    <rPh sb="4" eb="6">
      <t>ヒョウジ</t>
    </rPh>
    <phoneticPr fontId="8"/>
  </si>
  <si>
    <t>水平</t>
    <rPh sb="0" eb="2">
      <t>スイヘイ</t>
    </rPh>
    <phoneticPr fontId="8"/>
  </si>
  <si>
    <t>直上下</t>
    <rPh sb="0" eb="1">
      <t>チョク</t>
    </rPh>
    <rPh sb="1" eb="3">
      <t>ジョウゲ</t>
    </rPh>
    <phoneticPr fontId="8"/>
  </si>
  <si>
    <t>規格型</t>
    <rPh sb="0" eb="2">
      <t>キカク</t>
    </rPh>
    <rPh sb="2" eb="3">
      <t>カタ</t>
    </rPh>
    <phoneticPr fontId="8"/>
  </si>
  <si>
    <t>エレベーター・規格インバータ型・積載量</t>
    <rPh sb="7" eb="9">
      <t>キカク</t>
    </rPh>
    <rPh sb="14" eb="15">
      <t>カタ</t>
    </rPh>
    <rPh sb="16" eb="19">
      <t>セキサイリョウ</t>
    </rPh>
    <phoneticPr fontId="8"/>
  </si>
  <si>
    <t>エレベーター・規格インバータ型・着床数</t>
    <rPh sb="7" eb="9">
      <t>キカク</t>
    </rPh>
    <rPh sb="14" eb="15">
      <t>カタ</t>
    </rPh>
    <rPh sb="16" eb="18">
      <t>チャクショウ</t>
    </rPh>
    <rPh sb="18" eb="19">
      <t>スウ</t>
    </rPh>
    <phoneticPr fontId="8"/>
  </si>
  <si>
    <t>エレベーター・規格インバータ型・速度</t>
    <rPh sb="7" eb="9">
      <t>キカク</t>
    </rPh>
    <rPh sb="14" eb="15">
      <t>カタ</t>
    </rPh>
    <rPh sb="16" eb="18">
      <t>ソクド</t>
    </rPh>
    <phoneticPr fontId="8"/>
  </si>
  <si>
    <t>エレベーター・規格インバータ型・程度</t>
    <rPh sb="7" eb="9">
      <t>キカク</t>
    </rPh>
    <rPh sb="14" eb="15">
      <t>カタ</t>
    </rPh>
    <rPh sb="16" eb="18">
      <t>テイド</t>
    </rPh>
    <phoneticPr fontId="8"/>
  </si>
  <si>
    <t>エレベーター・規格インバータ型・並列運転数</t>
    <rPh sb="7" eb="9">
      <t>キカク</t>
    </rPh>
    <rPh sb="14" eb="15">
      <t>カタ</t>
    </rPh>
    <rPh sb="16" eb="18">
      <t>ヘイレツ</t>
    </rPh>
    <rPh sb="18" eb="20">
      <t>ウンテン</t>
    </rPh>
    <rPh sb="20" eb="21">
      <t>スウ</t>
    </rPh>
    <phoneticPr fontId="8"/>
  </si>
  <si>
    <t>［ＥＶ規格］</t>
    <rPh sb="3" eb="5">
      <t>キカク</t>
    </rPh>
    <phoneticPr fontId="8"/>
  </si>
  <si>
    <t>上等(ｽﾃﾝﾚｽ)</t>
    <rPh sb="0" eb="2">
      <t>ジョウトウ</t>
    </rPh>
    <phoneticPr fontId="8"/>
  </si>
  <si>
    <t>普通（鋼板）</t>
    <rPh sb="0" eb="2">
      <t>フツウ</t>
    </rPh>
    <rPh sb="3" eb="5">
      <t>コウバン</t>
    </rPh>
    <phoneticPr fontId="8"/>
  </si>
  <si>
    <t>３台以上</t>
  </si>
  <si>
    <t>２台</t>
  </si>
  <si>
    <t>中速特注型</t>
    <rPh sb="0" eb="1">
      <t>チュウ</t>
    </rPh>
    <rPh sb="1" eb="2">
      <t>ソク</t>
    </rPh>
    <rPh sb="2" eb="4">
      <t>トクチュウ</t>
    </rPh>
    <rPh sb="4" eb="5">
      <t>カタ</t>
    </rPh>
    <phoneticPr fontId="8"/>
  </si>
  <si>
    <t>エレベーター・特注インバータ型・積載量</t>
    <rPh sb="7" eb="9">
      <t>トクチュウ</t>
    </rPh>
    <rPh sb="14" eb="15">
      <t>カタ</t>
    </rPh>
    <rPh sb="16" eb="19">
      <t>セキサイリョウ</t>
    </rPh>
    <phoneticPr fontId="8"/>
  </si>
  <si>
    <t>エレベーター・特注インバータ型・着床数</t>
    <rPh sb="7" eb="9">
      <t>トクチュウ</t>
    </rPh>
    <rPh sb="14" eb="15">
      <t>カタ</t>
    </rPh>
    <rPh sb="16" eb="18">
      <t>チャクショウ</t>
    </rPh>
    <rPh sb="18" eb="19">
      <t>スウ</t>
    </rPh>
    <phoneticPr fontId="8"/>
  </si>
  <si>
    <t>エレベーター・特注インバータ型・速度</t>
    <rPh sb="7" eb="9">
      <t>トクチュウ</t>
    </rPh>
    <rPh sb="14" eb="15">
      <t>カタ</t>
    </rPh>
    <rPh sb="16" eb="18">
      <t>ソクド</t>
    </rPh>
    <phoneticPr fontId="8"/>
  </si>
  <si>
    <t>エレベーター・特注インバータ型・程度</t>
    <rPh sb="7" eb="9">
      <t>トクチュウ</t>
    </rPh>
    <rPh sb="14" eb="15">
      <t>カタ</t>
    </rPh>
    <rPh sb="16" eb="18">
      <t>テイド</t>
    </rPh>
    <phoneticPr fontId="8"/>
  </si>
  <si>
    <t>エレベーター・特注インバータ型・並列運転数</t>
    <rPh sb="7" eb="9">
      <t>トクチュウ</t>
    </rPh>
    <rPh sb="14" eb="15">
      <t>カタ</t>
    </rPh>
    <rPh sb="16" eb="18">
      <t>ヘイレツ</t>
    </rPh>
    <rPh sb="18" eb="20">
      <t>ウンテン</t>
    </rPh>
    <rPh sb="20" eb="21">
      <t>スウ</t>
    </rPh>
    <phoneticPr fontId="8"/>
  </si>
  <si>
    <t>［ＥＶ特注］</t>
    <rPh sb="3" eb="5">
      <t>トクチュウ</t>
    </rPh>
    <phoneticPr fontId="8"/>
  </si>
  <si>
    <t>上等(ｽﾃﾝﾚｽ)</t>
  </si>
  <si>
    <t>普通（鋼板）</t>
  </si>
  <si>
    <t>エレベーター・高速特注インバータ型・並列運転数</t>
    <rPh sb="7" eb="9">
      <t>コウソク</t>
    </rPh>
    <rPh sb="9" eb="11">
      <t>トクチュウ</t>
    </rPh>
    <rPh sb="16" eb="17">
      <t>カタ</t>
    </rPh>
    <rPh sb="18" eb="20">
      <t>ヘイレツ</t>
    </rPh>
    <rPh sb="20" eb="22">
      <t>ウンテン</t>
    </rPh>
    <rPh sb="22" eb="23">
      <t>スウ</t>
    </rPh>
    <phoneticPr fontId="8"/>
  </si>
  <si>
    <t>［ＥＶ高速特注］</t>
    <rPh sb="3" eb="5">
      <t>コウソク</t>
    </rPh>
    <rPh sb="5" eb="7">
      <t>トクチュウ</t>
    </rPh>
    <phoneticPr fontId="8"/>
  </si>
  <si>
    <t>ﾎｰﾑｴﾚﾍﾞｰﾀｰ</t>
  </si>
  <si>
    <t>ホームエレベーター・積載量</t>
    <rPh sb="10" eb="13">
      <t>セキサイリョウ</t>
    </rPh>
    <phoneticPr fontId="8"/>
  </si>
  <si>
    <t>ホームエレベーター・着床数</t>
    <rPh sb="10" eb="12">
      <t>チャクショウ</t>
    </rPh>
    <rPh sb="12" eb="13">
      <t>スウ</t>
    </rPh>
    <phoneticPr fontId="8"/>
  </si>
  <si>
    <t>ホームエレベーター・程度</t>
    <rPh sb="10" eb="12">
      <t>テイド</t>
    </rPh>
    <phoneticPr fontId="8"/>
  </si>
  <si>
    <t>［ホームＥＶ］</t>
    <phoneticPr fontId="8"/>
  </si>
  <si>
    <t>寝台用ｴﾚﾍﾞｰﾀｰ</t>
    <rPh sb="0" eb="2">
      <t>シンダイ</t>
    </rPh>
    <rPh sb="2" eb="3">
      <t>ヨウ</t>
    </rPh>
    <phoneticPr fontId="8"/>
  </si>
  <si>
    <t>寝台用エレベーター・積載量</t>
    <rPh sb="0" eb="2">
      <t>シンダイ</t>
    </rPh>
    <rPh sb="2" eb="3">
      <t>ヨウ</t>
    </rPh>
    <rPh sb="10" eb="13">
      <t>セキサイリョウ</t>
    </rPh>
    <phoneticPr fontId="8"/>
  </si>
  <si>
    <t>寝台用エレベーター・着床数</t>
    <rPh sb="0" eb="2">
      <t>シンダイ</t>
    </rPh>
    <rPh sb="2" eb="3">
      <t>ヨウ</t>
    </rPh>
    <rPh sb="10" eb="12">
      <t>チャクショウ</t>
    </rPh>
    <rPh sb="12" eb="13">
      <t>スウ</t>
    </rPh>
    <phoneticPr fontId="8"/>
  </si>
  <si>
    <t>寝台用エレベーター・速度</t>
    <rPh sb="0" eb="2">
      <t>シンダイ</t>
    </rPh>
    <rPh sb="2" eb="3">
      <t>ヨウ</t>
    </rPh>
    <rPh sb="10" eb="12">
      <t>ソクド</t>
    </rPh>
    <phoneticPr fontId="8"/>
  </si>
  <si>
    <t>寝台用エレベーター・程度</t>
    <rPh sb="0" eb="2">
      <t>シンダイ</t>
    </rPh>
    <rPh sb="2" eb="3">
      <t>ヨウ</t>
    </rPh>
    <rPh sb="10" eb="12">
      <t>テイド</t>
    </rPh>
    <phoneticPr fontId="8"/>
  </si>
  <si>
    <t>寝台用エレベーター・並列運転数</t>
    <rPh sb="0" eb="2">
      <t>シンダイ</t>
    </rPh>
    <rPh sb="2" eb="3">
      <t>ヨウ</t>
    </rPh>
    <rPh sb="10" eb="12">
      <t>ヘイレツ</t>
    </rPh>
    <rPh sb="12" eb="14">
      <t>ウンテン</t>
    </rPh>
    <rPh sb="14" eb="15">
      <t>スウ</t>
    </rPh>
    <phoneticPr fontId="8"/>
  </si>
  <si>
    <t>［寝台ＥＶ］</t>
    <rPh sb="1" eb="3">
      <t>シンダイ</t>
    </rPh>
    <phoneticPr fontId="8"/>
  </si>
  <si>
    <t>人荷用エレベーター</t>
    <rPh sb="0" eb="2">
      <t>ヒトニ</t>
    </rPh>
    <rPh sb="2" eb="3">
      <t>ヨウ</t>
    </rPh>
    <phoneticPr fontId="8"/>
  </si>
  <si>
    <t>人荷用エレベーター・積載量</t>
    <rPh sb="0" eb="2">
      <t>ヒトニ</t>
    </rPh>
    <rPh sb="2" eb="3">
      <t>ヨウ</t>
    </rPh>
    <rPh sb="10" eb="13">
      <t>セキサイリョウ</t>
    </rPh>
    <phoneticPr fontId="8"/>
  </si>
  <si>
    <t>人荷用エレベーター・着床数</t>
    <rPh sb="0" eb="2">
      <t>ヒトニ</t>
    </rPh>
    <rPh sb="2" eb="3">
      <t>ヨウ</t>
    </rPh>
    <rPh sb="10" eb="12">
      <t>チャクショウ</t>
    </rPh>
    <rPh sb="12" eb="13">
      <t>スウ</t>
    </rPh>
    <phoneticPr fontId="8"/>
  </si>
  <si>
    <t>人荷用エレベーター・速度</t>
    <rPh sb="0" eb="2">
      <t>ヒトニ</t>
    </rPh>
    <rPh sb="2" eb="3">
      <t>ヨウ</t>
    </rPh>
    <rPh sb="10" eb="12">
      <t>ソクド</t>
    </rPh>
    <phoneticPr fontId="8"/>
  </si>
  <si>
    <t>人荷用エレベーター・程度</t>
    <rPh sb="0" eb="2">
      <t>ヒトニ</t>
    </rPh>
    <rPh sb="2" eb="3">
      <t>ヨウ</t>
    </rPh>
    <rPh sb="10" eb="12">
      <t>テイド</t>
    </rPh>
    <phoneticPr fontId="8"/>
  </si>
  <si>
    <t>［人荷ＥＶ］</t>
    <rPh sb="1" eb="2">
      <t>ヒト</t>
    </rPh>
    <rPh sb="2" eb="3">
      <t>ニ</t>
    </rPh>
    <phoneticPr fontId="8"/>
  </si>
  <si>
    <t>上等(ステンレス)</t>
  </si>
  <si>
    <t>自動車用電動</t>
    <rPh sb="0" eb="3">
      <t>ジドウシャ</t>
    </rPh>
    <rPh sb="3" eb="6">
      <t>ヨウデンドウ</t>
    </rPh>
    <phoneticPr fontId="8"/>
  </si>
  <si>
    <t>自動車用エレベーター・電動式・積載量</t>
    <rPh sb="0" eb="3">
      <t>ジドウシャ</t>
    </rPh>
    <rPh sb="3" eb="4">
      <t>ヨウ</t>
    </rPh>
    <rPh sb="11" eb="14">
      <t>デンドウシキ</t>
    </rPh>
    <rPh sb="15" eb="18">
      <t>セキサイリョウ</t>
    </rPh>
    <phoneticPr fontId="8"/>
  </si>
  <si>
    <t>自動車用エレベーター・電動式・着床数</t>
    <rPh sb="0" eb="3">
      <t>ジドウシャ</t>
    </rPh>
    <rPh sb="3" eb="4">
      <t>ヨウ</t>
    </rPh>
    <rPh sb="11" eb="14">
      <t>デンドウシキ</t>
    </rPh>
    <rPh sb="15" eb="17">
      <t>チャクショウ</t>
    </rPh>
    <rPh sb="17" eb="18">
      <t>スウ</t>
    </rPh>
    <phoneticPr fontId="8"/>
  </si>
  <si>
    <t>自動車用エレベーター・電動式・速度</t>
    <rPh sb="0" eb="3">
      <t>ジドウシャ</t>
    </rPh>
    <rPh sb="3" eb="4">
      <t>ヨウ</t>
    </rPh>
    <rPh sb="11" eb="14">
      <t>デンドウシキ</t>
    </rPh>
    <rPh sb="15" eb="17">
      <t>ソクド</t>
    </rPh>
    <phoneticPr fontId="8"/>
  </si>
  <si>
    <t>自動車用エレベーター・電動式・型別</t>
    <rPh sb="0" eb="3">
      <t>ジドウシャ</t>
    </rPh>
    <rPh sb="3" eb="4">
      <t>ヨウ</t>
    </rPh>
    <rPh sb="11" eb="14">
      <t>デンドウシキ</t>
    </rPh>
    <rPh sb="15" eb="16">
      <t>カタ</t>
    </rPh>
    <rPh sb="16" eb="17">
      <t>ベツ</t>
    </rPh>
    <phoneticPr fontId="8"/>
  </si>
  <si>
    <t>自動車用エレベーター・電動式・程度</t>
    <rPh sb="0" eb="3">
      <t>ジドウシャ</t>
    </rPh>
    <rPh sb="3" eb="4">
      <t>ヨウ</t>
    </rPh>
    <rPh sb="11" eb="14">
      <t>デンドウシキ</t>
    </rPh>
    <rPh sb="15" eb="17">
      <t>テイド</t>
    </rPh>
    <phoneticPr fontId="8"/>
  </si>
  <si>
    <t>［自動車電動ＥＶ］</t>
    <rPh sb="1" eb="4">
      <t>ジドウシャ</t>
    </rPh>
    <rPh sb="4" eb="6">
      <t>デンドウ</t>
    </rPh>
    <phoneticPr fontId="8"/>
  </si>
  <si>
    <t>全自動,直流</t>
    <rPh sb="0" eb="3">
      <t>ゼンジドウ</t>
    </rPh>
    <rPh sb="4" eb="6">
      <t>チョクリュウ</t>
    </rPh>
    <phoneticPr fontId="8"/>
  </si>
  <si>
    <t>全自動,交流</t>
    <rPh sb="0" eb="3">
      <t>ゼンジドウ</t>
    </rPh>
    <rPh sb="4" eb="6">
      <t>コウリュウ</t>
    </rPh>
    <phoneticPr fontId="8"/>
  </si>
  <si>
    <t>手動,交流</t>
    <rPh sb="0" eb="2">
      <t>シュドウ</t>
    </rPh>
    <rPh sb="3" eb="5">
      <t>コウリュウ</t>
    </rPh>
    <phoneticPr fontId="8"/>
  </si>
  <si>
    <t>自動車用油圧</t>
    <rPh sb="0" eb="3">
      <t>ジドウシャ</t>
    </rPh>
    <rPh sb="3" eb="4">
      <t>ヨウ</t>
    </rPh>
    <rPh sb="4" eb="6">
      <t>ユアツ</t>
    </rPh>
    <phoneticPr fontId="8"/>
  </si>
  <si>
    <t>自動車用エレベーター・油圧式・積載量</t>
    <rPh sb="0" eb="3">
      <t>ジドウシャ</t>
    </rPh>
    <rPh sb="3" eb="4">
      <t>ヨウ</t>
    </rPh>
    <rPh sb="11" eb="13">
      <t>ユアツ</t>
    </rPh>
    <rPh sb="13" eb="14">
      <t>デンドウシキ</t>
    </rPh>
    <rPh sb="15" eb="18">
      <t>セキサイリョウ</t>
    </rPh>
    <phoneticPr fontId="8"/>
  </si>
  <si>
    <t>自動車用エレベーター・油圧式・速度</t>
    <rPh sb="0" eb="3">
      <t>ジドウシャ</t>
    </rPh>
    <rPh sb="3" eb="4">
      <t>ヨウ</t>
    </rPh>
    <rPh sb="11" eb="13">
      <t>ユアツ</t>
    </rPh>
    <rPh sb="13" eb="14">
      <t>デンドウシキ</t>
    </rPh>
    <rPh sb="15" eb="17">
      <t>ソクド</t>
    </rPh>
    <phoneticPr fontId="8"/>
  </si>
  <si>
    <t>自動車用エレベーター・油圧式・程度</t>
    <rPh sb="0" eb="3">
      <t>ジドウシャ</t>
    </rPh>
    <rPh sb="3" eb="4">
      <t>ヨウ</t>
    </rPh>
    <rPh sb="11" eb="13">
      <t>ユアツ</t>
    </rPh>
    <rPh sb="13" eb="14">
      <t>デンドウシキ</t>
    </rPh>
    <rPh sb="15" eb="17">
      <t>テイド</t>
    </rPh>
    <phoneticPr fontId="8"/>
  </si>
  <si>
    <t>［自動車油圧ＥＶ］</t>
    <rPh sb="1" eb="4">
      <t>ジドウシャ</t>
    </rPh>
    <rPh sb="4" eb="6">
      <t>ユアツ</t>
    </rPh>
    <phoneticPr fontId="8"/>
  </si>
  <si>
    <t>小荷物専用昇降機・積載量</t>
    <rPh sb="0" eb="3">
      <t>コニモツ</t>
    </rPh>
    <rPh sb="3" eb="5">
      <t>センヨウ</t>
    </rPh>
    <rPh sb="5" eb="8">
      <t>ショウコウキ</t>
    </rPh>
    <rPh sb="9" eb="12">
      <t>セキサイリョウ</t>
    </rPh>
    <phoneticPr fontId="8"/>
  </si>
  <si>
    <t>小荷物専用昇降機・着床数</t>
    <rPh sb="0" eb="3">
      <t>コニモツ</t>
    </rPh>
    <rPh sb="3" eb="5">
      <t>センヨウ</t>
    </rPh>
    <rPh sb="5" eb="8">
      <t>ショウコウキ</t>
    </rPh>
    <rPh sb="9" eb="11">
      <t>チャクショウ</t>
    </rPh>
    <rPh sb="11" eb="12">
      <t>スウ</t>
    </rPh>
    <phoneticPr fontId="8"/>
  </si>
  <si>
    <t>小荷物専用昇降機・速度</t>
    <rPh sb="0" eb="3">
      <t>コニモツ</t>
    </rPh>
    <rPh sb="3" eb="5">
      <t>センヨウ</t>
    </rPh>
    <rPh sb="5" eb="8">
      <t>ショウコウキ</t>
    </rPh>
    <rPh sb="9" eb="11">
      <t>ソクド</t>
    </rPh>
    <phoneticPr fontId="8"/>
  </si>
  <si>
    <t>小荷物専用昇降機・程度</t>
    <rPh sb="0" eb="3">
      <t>コニモツ</t>
    </rPh>
    <rPh sb="3" eb="5">
      <t>センヨウ</t>
    </rPh>
    <rPh sb="5" eb="8">
      <t>ショウコウキ</t>
    </rPh>
    <rPh sb="9" eb="11">
      <t>テイド</t>
    </rPh>
    <phoneticPr fontId="8"/>
  </si>
  <si>
    <t>［小荷物専用昇降機］</t>
    <rPh sb="1" eb="4">
      <t>コニモツ</t>
    </rPh>
    <rPh sb="4" eb="6">
      <t>センヨウ</t>
    </rPh>
    <rPh sb="6" eb="9">
      <t>ショウコウキ</t>
    </rPh>
    <phoneticPr fontId="8"/>
  </si>
  <si>
    <t>ｽﾃﾝﾚｽ製</t>
    <rPh sb="5" eb="6">
      <t>セイ</t>
    </rPh>
    <phoneticPr fontId="22"/>
  </si>
  <si>
    <t>鉄板製</t>
    <rPh sb="0" eb="2">
      <t>テッパン</t>
    </rPh>
    <rPh sb="2" eb="3">
      <t>セイ</t>
    </rPh>
    <phoneticPr fontId="22"/>
  </si>
  <si>
    <t>内部木製</t>
    <rPh sb="0" eb="2">
      <t>ナイブ</t>
    </rPh>
    <rPh sb="2" eb="4">
      <t>モクセイ</t>
    </rPh>
    <phoneticPr fontId="22"/>
  </si>
  <si>
    <t>欄干透明</t>
    <rPh sb="0" eb="2">
      <t>ランカン</t>
    </rPh>
    <rPh sb="2" eb="4">
      <t>トウメイ</t>
    </rPh>
    <phoneticPr fontId="8"/>
  </si>
  <si>
    <t>欄干ｽﾃﾝﾚｽ</t>
    <rPh sb="0" eb="2">
      <t>ランカン</t>
    </rPh>
    <phoneticPr fontId="22"/>
  </si>
  <si>
    <t>家屋所在地</t>
  </si>
  <si>
    <t>家屋番号等</t>
  </si>
  <si>
    <t>主体</t>
    <rPh sb="0" eb="1">
      <t>シュ</t>
    </rPh>
    <rPh sb="1" eb="2">
      <t>カラダ</t>
    </rPh>
    <phoneticPr fontId="8"/>
  </si>
  <si>
    <t>屋根</t>
    <rPh sb="0" eb="1">
      <t>ヤ</t>
    </rPh>
    <rPh sb="1" eb="2">
      <t>ネ</t>
    </rPh>
    <phoneticPr fontId="8"/>
  </si>
  <si>
    <t>階数</t>
    <rPh sb="0" eb="1">
      <t>カイ</t>
    </rPh>
    <rPh sb="1" eb="2">
      <t>スウ</t>
    </rPh>
    <phoneticPr fontId="8"/>
  </si>
  <si>
    <t>地階</t>
    <rPh sb="0" eb="2">
      <t>チカイ</t>
    </rPh>
    <phoneticPr fontId="8"/>
  </si>
  <si>
    <t>取得者住所</t>
  </si>
  <si>
    <t>取得年月日</t>
  </si>
  <si>
    <t>構造</t>
  </si>
  <si>
    <t>Ｓ</t>
  </si>
  <si>
    <t>・</t>
  </si>
  <si>
    <t>３Ｆ</t>
  </si>
  <si>
    <t>なし</t>
  </si>
  <si>
    <t>取得者氏名</t>
  </si>
  <si>
    <t>調査年月日</t>
  </si>
  <si>
    <t>床面積</t>
  </si>
  <si>
    <t>延床面積</t>
  </si>
  <si>
    <t>建床面積</t>
  </si>
  <si>
    <t>１Ｆ</t>
  </si>
  <si>
    <t>２Ｆ</t>
  </si>
  <si>
    <t>４Ｆ</t>
  </si>
  <si>
    <t>５Ｆ</t>
  </si>
  <si>
    <t>６Ｆ</t>
  </si>
  <si>
    <t>７Ｆ</t>
  </si>
  <si>
    <t>８Ｆ</t>
  </si>
  <si>
    <t>９Ｆ</t>
  </si>
  <si>
    <t>１０Ｆ</t>
  </si>
  <si>
    <t>住宅部面積</t>
  </si>
  <si>
    <t>11Ｆ</t>
  </si>
  <si>
    <t>12Ｆ</t>
  </si>
  <si>
    <t>13Ｆ</t>
  </si>
  <si>
    <t>14Ｆ</t>
  </si>
  <si>
    <t>15Ｆ</t>
  </si>
  <si>
    <t>16Ｆ</t>
  </si>
  <si>
    <t>[Ｂ１Ｆ]</t>
    <phoneticPr fontId="8"/>
  </si>
  <si>
    <t>[Ｂ２Ｆ]</t>
  </si>
  <si>
    <t>[Ｂ３Ｆ]</t>
  </si>
  <si>
    <t>[Ｂ４Ｆ]</t>
  </si>
  <si>
    <t>印刷方法について</t>
    <rPh sb="0" eb="2">
      <t>インサツ</t>
    </rPh>
    <rPh sb="2" eb="4">
      <t>ホウホウ</t>
    </rPh>
    <phoneticPr fontId="8"/>
  </si>
  <si>
    <t>評　点　項　目</t>
  </si>
  <si>
    <t>標準評点数</t>
  </si>
  <si>
    <t>数量（単位）</t>
  </si>
  <si>
    <t>合計評点数</t>
  </si>
  <si>
    <t>規模</t>
    <rPh sb="0" eb="2">
      <t>キボ</t>
    </rPh>
    <phoneticPr fontId="8"/>
  </si>
  <si>
    <t>工事形態</t>
  </si>
  <si>
    <t>補正係数</t>
  </si>
  <si>
    <t>鉄骨等評点数</t>
    <rPh sb="0" eb="2">
      <t>テッコツ</t>
    </rPh>
    <rPh sb="2" eb="3">
      <t>ナド</t>
    </rPh>
    <phoneticPr fontId="8"/>
  </si>
  <si>
    <t>鉄骨</t>
    <rPh sb="0" eb="2">
      <t>テッコツ</t>
    </rPh>
    <phoneticPr fontId="8"/>
  </si>
  <si>
    <t>ｔ</t>
  </si>
  <si>
    <t>計算値</t>
  </si>
  <si>
    <t>軽量鉄骨評点数</t>
    <rPh sb="0" eb="2">
      <t>ケイリョウ</t>
    </rPh>
    <rPh sb="2" eb="4">
      <t>テッコツ</t>
    </rPh>
    <phoneticPr fontId="8"/>
  </si>
  <si>
    <t>軽量鉄骨</t>
    <rPh sb="0" eb="2">
      <t>ケイリョウ</t>
    </rPh>
    <rPh sb="2" eb="4">
      <t>テッコツ</t>
    </rPh>
    <phoneticPr fontId="8"/>
  </si>
  <si>
    <t>複雑</t>
  </si>
  <si>
    <t>軽量鉄骨 ［亜鉛めっき］（ｔ）</t>
    <phoneticPr fontId="8"/>
  </si>
  <si>
    <t>評 点 数</t>
    <phoneticPr fontId="8"/>
  </si>
  <si>
    <t>－</t>
  </si>
  <si>
    <t>鉄筋等評点数</t>
    <rPh sb="0" eb="2">
      <t>テッキン</t>
    </rPh>
    <rPh sb="2" eb="3">
      <t>ナド</t>
    </rPh>
    <phoneticPr fontId="8"/>
  </si>
  <si>
    <t>部分別評点数</t>
    <rPh sb="0" eb="2">
      <t>ブブン</t>
    </rPh>
    <rPh sb="2" eb="3">
      <t>ベツ</t>
    </rPh>
    <rPh sb="3" eb="4">
      <t>ヒョウ</t>
    </rPh>
    <rPh sb="4" eb="6">
      <t>テンスウ</t>
    </rPh>
    <phoneticPr fontId="8"/>
  </si>
  <si>
    <t>－</t>
    <phoneticPr fontId="8"/>
  </si>
  <si>
    <t>評 点 数</t>
    <phoneticPr fontId="8"/>
  </si>
  <si>
    <t>部分別評点数</t>
  </si>
  <si>
    <t>(延床㎡)</t>
    <rPh sb="1" eb="2">
      <t>ノベ</t>
    </rPh>
    <rPh sb="2" eb="3">
      <t>ユカ</t>
    </rPh>
    <phoneticPr fontId="8"/>
  </si>
  <si>
    <t>合計評点数</t>
    <rPh sb="0" eb="2">
      <t>ゴウケイ</t>
    </rPh>
    <rPh sb="2" eb="3">
      <t>ヒョウ</t>
    </rPh>
    <rPh sb="3" eb="5">
      <t>テンスウ</t>
    </rPh>
    <phoneticPr fontId="9"/>
  </si>
  <si>
    <t>動力配線</t>
    <rPh sb="0" eb="2">
      <t>ドウリョク</t>
    </rPh>
    <rPh sb="2" eb="4">
      <t>ハイセン</t>
    </rPh>
    <phoneticPr fontId="8"/>
  </si>
  <si>
    <t>操作方式</t>
    <rPh sb="0" eb="2">
      <t>ソウサ</t>
    </rPh>
    <rPh sb="2" eb="4">
      <t>ホウシキ</t>
    </rPh>
    <phoneticPr fontId="8"/>
  </si>
  <si>
    <t>程度</t>
    <rPh sb="0" eb="2">
      <t>テイド</t>
    </rPh>
    <phoneticPr fontId="8"/>
  </si>
  <si>
    <t>動力負荷</t>
    <rPh sb="0" eb="2">
      <t>ドウリョク</t>
    </rPh>
    <rPh sb="2" eb="4">
      <t>フカ</t>
    </rPh>
    <phoneticPr fontId="8"/>
  </si>
  <si>
    <t>多い</t>
  </si>
  <si>
    <t>動力合計</t>
    <rPh sb="0" eb="2">
      <t>ドウリョク</t>
    </rPh>
    <rPh sb="2" eb="4">
      <t>ゴウケイ</t>
    </rPh>
    <phoneticPr fontId="8"/>
  </si>
  <si>
    <t>ＥＶ</t>
    <phoneticPr fontId="8"/>
  </si>
  <si>
    <t>軽量鉄骨 （ｔ）</t>
    <phoneticPr fontId="8"/>
  </si>
  <si>
    <t>鉄骨 ［耐火被覆有/塗装無］</t>
  </si>
  <si>
    <t>鉄骨 ［耐火被覆有/塗装有］</t>
  </si>
  <si>
    <t>鉄骨 ［耐火被覆無/塗装無］</t>
  </si>
  <si>
    <t>鉄骨 ［耐火被覆無/塗装有］</t>
    <phoneticPr fontId="8"/>
  </si>
  <si>
    <t>鉄骨 ［耐火被覆無/亜鉛めっき］</t>
  </si>
  <si>
    <t>鉄筋コンクリート</t>
  </si>
  <si>
    <t>軽量鉄骨 ［亜鉛めっき］</t>
  </si>
  <si>
    <t>階層数</t>
  </si>
  <si>
    <t>階　高</t>
    <phoneticPr fontId="8"/>
  </si>
  <si>
    <t>柱　間</t>
    <phoneticPr fontId="8"/>
  </si>
  <si>
    <t>装　備</t>
    <phoneticPr fontId="8"/>
  </si>
  <si>
    <t>壁面積大小</t>
  </si>
  <si>
    <t>地　階</t>
    <phoneticPr fontId="8"/>
  </si>
  <si>
    <t>程　度</t>
    <rPh sb="0" eb="1">
      <t>ホド</t>
    </rPh>
    <rPh sb="2" eb="3">
      <t>ド</t>
    </rPh>
    <phoneticPr fontId="8"/>
  </si>
  <si>
    <t>F</t>
    <phoneticPr fontId="8"/>
  </si>
  <si>
    <t>m</t>
    <phoneticPr fontId="8"/>
  </si>
  <si>
    <t>ｔ</t>
    <phoneticPr fontId="8"/>
  </si>
  <si>
    <t>普通</t>
  </si>
  <si>
    <t>基 礎</t>
    <phoneticPr fontId="8"/>
  </si>
  <si>
    <t>評点項目</t>
  </si>
  <si>
    <t>地階の有無</t>
    <rPh sb="0" eb="1">
      <t>チ</t>
    </rPh>
    <rPh sb="1" eb="2">
      <t>カイ</t>
    </rPh>
    <rPh sb="3" eb="5">
      <t>ウム</t>
    </rPh>
    <phoneticPr fontId="8"/>
  </si>
  <si>
    <t>根切土量</t>
  </si>
  <si>
    <t>地　　階</t>
    <phoneticPr fontId="8"/>
  </si>
  <si>
    <t>地　　盤</t>
    <phoneticPr fontId="8"/>
  </si>
  <si>
    <t>敷　　地</t>
    <phoneticPr fontId="8"/>
  </si>
  <si>
    <t>評 点 数</t>
    <phoneticPr fontId="8"/>
  </si>
  <si>
    <t>根伐評点数</t>
    <rPh sb="0" eb="1">
      <t>ネ</t>
    </rPh>
    <rPh sb="1" eb="2">
      <t>バツ</t>
    </rPh>
    <rPh sb="2" eb="4">
      <t>ヒョウテン</t>
    </rPh>
    <rPh sb="4" eb="5">
      <t>カズ</t>
    </rPh>
    <phoneticPr fontId="8"/>
  </si>
  <si>
    <t>根 伐</t>
    <rPh sb="2" eb="3">
      <t>キ</t>
    </rPh>
    <phoneticPr fontId="8"/>
  </si>
  <si>
    <t>根伐工事</t>
    <rPh sb="0" eb="1">
      <t>ネ</t>
    </rPh>
    <rPh sb="1" eb="2">
      <t>キ</t>
    </rPh>
    <rPh sb="2" eb="4">
      <t>コウジ</t>
    </rPh>
    <phoneticPr fontId="8"/>
  </si>
  <si>
    <t>㎡</t>
  </si>
  <si>
    <t>あり</t>
    <phoneticPr fontId="8"/>
  </si>
  <si>
    <t>深い</t>
  </si>
  <si>
    <t>軟弱</t>
  </si>
  <si>
    <t>密集</t>
  </si>
  <si>
    <t>なし</t>
    <phoneticPr fontId="8"/>
  </si>
  <si>
    <t>B1F</t>
  </si>
  <si>
    <t>浅い</t>
  </si>
  <si>
    <t>堅牢</t>
  </si>
  <si>
    <t>根伐土量（m3）</t>
    <rPh sb="0" eb="1">
      <t>ネ</t>
    </rPh>
    <rPh sb="1" eb="2">
      <t>バツ</t>
    </rPh>
    <rPh sb="2" eb="3">
      <t>ツチ</t>
    </rPh>
    <rPh sb="3" eb="4">
      <t>リョウ</t>
    </rPh>
    <phoneticPr fontId="8"/>
  </si>
  <si>
    <t>建床面積</t>
    <rPh sb="0" eb="1">
      <t>タ</t>
    </rPh>
    <rPh sb="1" eb="2">
      <t>ユカ</t>
    </rPh>
    <rPh sb="2" eb="4">
      <t>メンセキ</t>
    </rPh>
    <phoneticPr fontId="8"/>
  </si>
  <si>
    <t>←</t>
    <phoneticPr fontId="8"/>
  </si>
  <si>
    <t>計算値</t>
    <rPh sb="0" eb="3">
      <t>ケイサンチ</t>
    </rPh>
    <phoneticPr fontId="8"/>
  </si>
  <si>
    <t>施工量多少</t>
    <phoneticPr fontId="8"/>
  </si>
  <si>
    <t>施工の程度</t>
  </si>
  <si>
    <t>階　　数</t>
    <phoneticPr fontId="8"/>
  </si>
  <si>
    <t>－</t>
    <phoneticPr fontId="8"/>
  </si>
  <si>
    <t>良い</t>
  </si>
  <si>
    <t>3階</t>
    <rPh sb="1" eb="2">
      <t>カイ</t>
    </rPh>
    <phoneticPr fontId="8"/>
  </si>
  <si>
    <t>悪い</t>
  </si>
  <si>
    <t>基礎延長（m）</t>
    <rPh sb="0" eb="2">
      <t>キソ</t>
    </rPh>
    <rPh sb="2" eb="4">
      <t>エンチョウ</t>
    </rPh>
    <phoneticPr fontId="8"/>
  </si>
  <si>
    <t>m</t>
    <phoneticPr fontId="8"/>
  </si>
  <si>
    <t>ｍ</t>
    <phoneticPr fontId="8"/>
  </si>
  <si>
    <t>施工の程度</t>
    <rPh sb="0" eb="2">
      <t>セコウ</t>
    </rPh>
    <rPh sb="3" eb="4">
      <t>ホド</t>
    </rPh>
    <rPh sb="4" eb="5">
      <t>ド</t>
    </rPh>
    <phoneticPr fontId="8"/>
  </si>
  <si>
    <t>個　　数</t>
    <rPh sb="0" eb="1">
      <t>コ</t>
    </rPh>
    <rPh sb="3" eb="4">
      <t>カズ</t>
    </rPh>
    <phoneticPr fontId="8"/>
  </si>
  <si>
    <t>独立基礎評点数</t>
    <rPh sb="0" eb="2">
      <t>ドクリツ</t>
    </rPh>
    <rPh sb="2" eb="4">
      <t>キソ</t>
    </rPh>
    <rPh sb="4" eb="6">
      <t>ヒョウテン</t>
    </rPh>
    <rPh sb="6" eb="7">
      <t>スウ</t>
    </rPh>
    <phoneticPr fontId="8"/>
  </si>
  <si>
    <t>個</t>
  </si>
  <si>
    <t>良い</t>
    <rPh sb="0" eb="1">
      <t>ヨ</t>
    </rPh>
    <phoneticPr fontId="17"/>
  </si>
  <si>
    <t>普通</t>
    <rPh sb="0" eb="2">
      <t>フツウ</t>
    </rPh>
    <phoneticPr fontId="17"/>
  </si>
  <si>
    <t>悪い</t>
    <rPh sb="0" eb="1">
      <t>ワル</t>
    </rPh>
    <phoneticPr fontId="17"/>
  </si>
  <si>
    <t>基 礎</t>
    <rPh sb="0" eb="1">
      <t>モト</t>
    </rPh>
    <rPh sb="2" eb="3">
      <t>イシズエ</t>
    </rPh>
    <phoneticPr fontId="8"/>
  </si>
  <si>
    <t>評点項目</t>
    <rPh sb="0" eb="2">
      <t>ヒョウテン</t>
    </rPh>
    <rPh sb="2" eb="4">
      <t>コウモク</t>
    </rPh>
    <phoneticPr fontId="8"/>
  </si>
  <si>
    <t>本数</t>
    <rPh sb="0" eb="1">
      <t>ホン</t>
    </rPh>
    <rPh sb="1" eb="2">
      <t>カズ</t>
    </rPh>
    <phoneticPr fontId="8"/>
  </si>
  <si>
    <t>直径(cm)</t>
    <rPh sb="0" eb="2">
      <t>チョッケイ</t>
    </rPh>
    <phoneticPr fontId="8"/>
  </si>
  <si>
    <t>杭長(m)</t>
    <rPh sb="0" eb="1">
      <t>クイ</t>
    </rPh>
    <rPh sb="1" eb="2">
      <t>ナガ</t>
    </rPh>
    <phoneticPr fontId="8"/>
  </si>
  <si>
    <r>
      <t>直径</t>
    </r>
    <r>
      <rPr>
        <vertAlign val="superscript"/>
        <sz val="9"/>
        <rFont val="ＭＳ Ｐゴシック"/>
        <family val="3"/>
        <charset val="128"/>
      </rPr>
      <t>２</t>
    </r>
    <r>
      <rPr>
        <sz val="9"/>
        <rFont val="ＭＳ Ｐゴシック"/>
        <family val="3"/>
        <charset val="128"/>
      </rPr>
      <t>×杭長</t>
    </r>
    <rPh sb="0" eb="2">
      <t>チョッケイ</t>
    </rPh>
    <rPh sb="4" eb="5">
      <t>クイ</t>
    </rPh>
    <rPh sb="5" eb="6">
      <t>ナガ</t>
    </rPh>
    <phoneticPr fontId="8"/>
  </si>
  <si>
    <t>評 点 数</t>
    <phoneticPr fontId="8"/>
  </si>
  <si>
    <t>本　　数</t>
    <rPh sb="0" eb="1">
      <t>ホン</t>
    </rPh>
    <rPh sb="3" eb="4">
      <t>カズ</t>
    </rPh>
    <phoneticPr fontId="8"/>
  </si>
  <si>
    <t>合計評点数</t>
    <rPh sb="0" eb="2">
      <t>ゴウケイ</t>
    </rPh>
    <rPh sb="2" eb="4">
      <t>ヒョウテン</t>
    </rPh>
    <rPh sb="4" eb="5">
      <t>スウ</t>
    </rPh>
    <phoneticPr fontId="8"/>
  </si>
  <si>
    <t>杭 打</t>
    <rPh sb="0" eb="1">
      <t>クイ</t>
    </rPh>
    <rPh sb="2" eb="3">
      <t>ウチ</t>
    </rPh>
    <phoneticPr fontId="8"/>
  </si>
  <si>
    <t>cm</t>
    <phoneticPr fontId="8"/>
  </si>
  <si>
    <t>ｍ</t>
    <phoneticPr fontId="8"/>
  </si>
  <si>
    <t>増点</t>
    <rPh sb="0" eb="1">
      <t>ゾウ</t>
    </rPh>
    <rPh sb="1" eb="2">
      <t>テン</t>
    </rPh>
    <phoneticPr fontId="8"/>
  </si>
  <si>
    <t>cm</t>
    <phoneticPr fontId="8"/>
  </si>
  <si>
    <t>ｍ</t>
    <phoneticPr fontId="8"/>
  </si>
  <si>
    <t>資材費</t>
    <rPh sb="0" eb="3">
      <t>シザイヒ</t>
    </rPh>
    <phoneticPr fontId="8"/>
  </si>
  <si>
    <t>労務費</t>
    <rPh sb="0" eb="3">
      <t>ロウムヒ</t>
    </rPh>
    <phoneticPr fontId="8"/>
  </si>
  <si>
    <t>下地等</t>
    <rPh sb="0" eb="2">
      <t>シタジ</t>
    </rPh>
    <rPh sb="2" eb="3">
      <t>ナド</t>
    </rPh>
    <phoneticPr fontId="8"/>
  </si>
  <si>
    <t>下地入替</t>
    <rPh sb="0" eb="2">
      <t>シタジ</t>
    </rPh>
    <rPh sb="2" eb="4">
      <t>イレカエ</t>
    </rPh>
    <phoneticPr fontId="8"/>
  </si>
  <si>
    <t>標準評点</t>
  </si>
  <si>
    <r>
      <t>評 点</t>
    </r>
    <r>
      <rPr>
        <sz val="9"/>
        <rFont val="ＭＳ Ｐゴシック"/>
        <family val="3"/>
        <charset val="128"/>
      </rPr>
      <t xml:space="preserve"> </t>
    </r>
    <r>
      <rPr>
        <sz val="9"/>
        <rFont val="ＭＳ Ｐゴシック"/>
        <family val="3"/>
        <charset val="128"/>
      </rPr>
      <t>数</t>
    </r>
    <phoneticPr fontId="8"/>
  </si>
  <si>
    <t>面積（㎡）</t>
    <rPh sb="0" eb="2">
      <t>メンセキ</t>
    </rPh>
    <phoneticPr fontId="8"/>
  </si>
  <si>
    <t>屋根構造</t>
    <rPh sb="0" eb="1">
      <t>ヤ</t>
    </rPh>
    <rPh sb="1" eb="2">
      <t>ネ</t>
    </rPh>
    <rPh sb="2" eb="3">
      <t>カマエ</t>
    </rPh>
    <rPh sb="3" eb="4">
      <t>ヅクリ</t>
    </rPh>
    <phoneticPr fontId="8"/>
  </si>
  <si>
    <t>◆</t>
  </si>
  <si>
    <t>無し</t>
    <rPh sb="0" eb="1">
      <t>ナ</t>
    </rPh>
    <phoneticPr fontId="20"/>
  </si>
  <si>
    <t>+</t>
  </si>
  <si>
    <t>＋</t>
  </si>
  <si>
    <t>◇</t>
  </si>
  <si>
    <t>（自由作成）</t>
    <rPh sb="1" eb="3">
      <t>ジユウ</t>
    </rPh>
    <rPh sb="3" eb="5">
      <t>サクセイ</t>
    </rPh>
    <phoneticPr fontId="8"/>
  </si>
  <si>
    <t>床 構 造</t>
    <rPh sb="0" eb="1">
      <t>ユカ</t>
    </rPh>
    <rPh sb="2" eb="3">
      <t>カマエ</t>
    </rPh>
    <rPh sb="4" eb="5">
      <t>ヅクリ</t>
    </rPh>
    <phoneticPr fontId="8"/>
  </si>
  <si>
    <t>+</t>
    <phoneticPr fontId="17"/>
  </si>
  <si>
    <t>+</t>
    <phoneticPr fontId="17"/>
  </si>
  <si>
    <t>+</t>
    <phoneticPr fontId="17"/>
  </si>
  <si>
    <t>+</t>
    <phoneticPr fontId="17"/>
  </si>
  <si>
    <t>(金網含む)</t>
    <rPh sb="1" eb="3">
      <t>カナアミ</t>
    </rPh>
    <rPh sb="3" eb="4">
      <t>フク</t>
    </rPh>
    <phoneticPr fontId="8"/>
  </si>
  <si>
    <t>+</t>
    <phoneticPr fontId="17"/>
  </si>
  <si>
    <t>施工の程度</t>
    <rPh sb="0" eb="2">
      <t>セコウ</t>
    </rPh>
    <rPh sb="3" eb="5">
      <t>テイド</t>
    </rPh>
    <phoneticPr fontId="8"/>
  </si>
  <si>
    <t>ﾕﾆｯﾄﾊﾞｽ</t>
    <phoneticPr fontId="8"/>
  </si>
  <si>
    <t>型式</t>
    <rPh sb="0" eb="2">
      <t>カタシキ</t>
    </rPh>
    <phoneticPr fontId="8"/>
  </si>
  <si>
    <t>大きさ
計算値</t>
    <rPh sb="0" eb="1">
      <t>オオ</t>
    </rPh>
    <rPh sb="4" eb="7">
      <t>ケイサンチ</t>
    </rPh>
    <phoneticPr fontId="8"/>
  </si>
  <si>
    <t>外 周 壁
骨　　組</t>
    <rPh sb="0" eb="1">
      <t>ソト</t>
    </rPh>
    <rPh sb="2" eb="3">
      <t>シュウ</t>
    </rPh>
    <rPh sb="4" eb="5">
      <t>ヘキ</t>
    </rPh>
    <rPh sb="6" eb="7">
      <t>ホネ</t>
    </rPh>
    <rPh sb="9" eb="10">
      <t>クミ</t>
    </rPh>
    <phoneticPr fontId="8"/>
  </si>
  <si>
    <t>無し</t>
    <rPh sb="0" eb="1">
      <t>ナ</t>
    </rPh>
    <phoneticPr fontId="11"/>
  </si>
  <si>
    <t>+</t>
    <phoneticPr fontId="17"/>
  </si>
  <si>
    <t>+</t>
    <phoneticPr fontId="17"/>
  </si>
  <si>
    <t>◇</t>
    <phoneticPr fontId="8"/>
  </si>
  <si>
    <t>◇</t>
    <phoneticPr fontId="8"/>
  </si>
  <si>
    <t>間 仕 切
骨　　組</t>
    <rPh sb="0" eb="1">
      <t>アイダ</t>
    </rPh>
    <rPh sb="2" eb="3">
      <t>ツコウ</t>
    </rPh>
    <rPh sb="4" eb="5">
      <t>キリ</t>
    </rPh>
    <rPh sb="6" eb="7">
      <t>ホネ</t>
    </rPh>
    <rPh sb="9" eb="10">
      <t>クミ</t>
    </rPh>
    <phoneticPr fontId="8"/>
  </si>
  <si>
    <t>+</t>
    <phoneticPr fontId="17"/>
  </si>
  <si>
    <t>+</t>
    <phoneticPr fontId="17"/>
  </si>
  <si>
    <t>+</t>
    <phoneticPr fontId="17"/>
  </si>
  <si>
    <t>+</t>
    <phoneticPr fontId="17"/>
  </si>
  <si>
    <t>◇</t>
    <phoneticPr fontId="8"/>
  </si>
  <si>
    <t>+</t>
    <phoneticPr fontId="17"/>
  </si>
  <si>
    <t>◆</t>
    <phoneticPr fontId="8"/>
  </si>
  <si>
    <t>+</t>
    <phoneticPr fontId="17"/>
  </si>
  <si>
    <t>無し</t>
    <rPh sb="0" eb="1">
      <t>ナ</t>
    </rPh>
    <phoneticPr fontId="0"/>
  </si>
  <si>
    <t>+</t>
    <phoneticPr fontId="17"/>
  </si>
  <si>
    <t>+</t>
    <phoneticPr fontId="17"/>
  </si>
  <si>
    <t>+</t>
    <phoneticPr fontId="17"/>
  </si>
  <si>
    <t>+</t>
    <phoneticPr fontId="17"/>
  </si>
  <si>
    <t>補正項目</t>
  </si>
  <si>
    <t>補正率</t>
  </si>
  <si>
    <t>+</t>
    <phoneticPr fontId="17"/>
  </si>
  <si>
    <t>◇</t>
    <phoneticPr fontId="8"/>
  </si>
  <si>
    <t>断熱</t>
    <rPh sb="0" eb="2">
      <t>ダンネツ</t>
    </rPh>
    <phoneticPr fontId="8"/>
  </si>
  <si>
    <t>断熱材 上</t>
    <rPh sb="4" eb="5">
      <t>ウエ</t>
    </rPh>
    <phoneticPr fontId="20"/>
  </si>
  <si>
    <t>断熱材 中</t>
    <rPh sb="4" eb="5">
      <t>チュウ</t>
    </rPh>
    <phoneticPr fontId="20"/>
  </si>
  <si>
    <t>断熱材 並</t>
    <rPh sb="4" eb="5">
      <t>ナ</t>
    </rPh>
    <phoneticPr fontId="20"/>
  </si>
  <si>
    <t>無し</t>
    <rPh sb="0" eb="1">
      <t>ナ</t>
    </rPh>
    <phoneticPr fontId="8"/>
  </si>
  <si>
    <t>+</t>
    <phoneticPr fontId="17"/>
  </si>
  <si>
    <t>床　　仕　　上</t>
    <rPh sb="0" eb="1">
      <t>ユカ</t>
    </rPh>
    <rPh sb="3" eb="4">
      <t>ツコウ</t>
    </rPh>
    <rPh sb="6" eb="7">
      <t>ジョウ</t>
    </rPh>
    <phoneticPr fontId="8"/>
  </si>
  <si>
    <t>床 仕 上</t>
    <rPh sb="0" eb="1">
      <t>ユカ</t>
    </rPh>
    <rPh sb="2" eb="3">
      <t>ツコウ</t>
    </rPh>
    <rPh sb="4" eb="5">
      <t>ウエ</t>
    </rPh>
    <phoneticPr fontId="8"/>
  </si>
  <si>
    <t>無し</t>
    <rPh sb="0" eb="1">
      <t>ナ</t>
    </rPh>
    <phoneticPr fontId="16"/>
  </si>
  <si>
    <t>◇</t>
    <phoneticPr fontId="8"/>
  </si>
  <si>
    <t>天　井　仕　上</t>
    <rPh sb="0" eb="1">
      <t>テン</t>
    </rPh>
    <rPh sb="2" eb="3">
      <t>セイ</t>
    </rPh>
    <rPh sb="4" eb="5">
      <t>ツコウ</t>
    </rPh>
    <rPh sb="6" eb="7">
      <t>ジョウ</t>
    </rPh>
    <phoneticPr fontId="8"/>
  </si>
  <si>
    <t>天井仕上</t>
    <rPh sb="0" eb="1">
      <t>テン</t>
    </rPh>
    <rPh sb="1" eb="2">
      <t>イ</t>
    </rPh>
    <rPh sb="2" eb="3">
      <t>ツコウ</t>
    </rPh>
    <rPh sb="3" eb="4">
      <t>ジョウ</t>
    </rPh>
    <phoneticPr fontId="8"/>
  </si>
  <si>
    <t>+</t>
    <phoneticPr fontId="17"/>
  </si>
  <si>
    <t>インターホン・程度</t>
    <rPh sb="7" eb="9">
      <t>テイド</t>
    </rPh>
    <phoneticPr fontId="8"/>
  </si>
  <si>
    <t>［インターホン］</t>
    <phoneticPr fontId="8"/>
  </si>
  <si>
    <t>拡声器配線</t>
    <rPh sb="0" eb="3">
      <t>カクセイキ</t>
    </rPh>
    <rPh sb="3" eb="5">
      <t>ハイセン</t>
    </rPh>
    <phoneticPr fontId="8"/>
  </si>
  <si>
    <t>拡声器配線・器具数</t>
    <rPh sb="0" eb="3">
      <t>カクセイキ</t>
    </rPh>
    <rPh sb="3" eb="5">
      <t>ハイセン</t>
    </rPh>
    <rPh sb="6" eb="8">
      <t>キグ</t>
    </rPh>
    <rPh sb="8" eb="9">
      <t>スウ</t>
    </rPh>
    <phoneticPr fontId="8"/>
  </si>
  <si>
    <t>拡声器配線・程度</t>
    <rPh sb="0" eb="3">
      <t>カクセイキ</t>
    </rPh>
    <rPh sb="3" eb="5">
      <t>ハイセン</t>
    </rPh>
    <rPh sb="6" eb="8">
      <t>テイド</t>
    </rPh>
    <phoneticPr fontId="8"/>
  </si>
  <si>
    <t>+</t>
    <phoneticPr fontId="17"/>
  </si>
  <si>
    <t>屋　根　仕　上</t>
    <rPh sb="0" eb="1">
      <t>ヤ</t>
    </rPh>
    <rPh sb="2" eb="3">
      <t>ネ</t>
    </rPh>
    <rPh sb="4" eb="5">
      <t>ツコウ</t>
    </rPh>
    <rPh sb="6" eb="7">
      <t>ジョウ</t>
    </rPh>
    <phoneticPr fontId="8"/>
  </si>
  <si>
    <t>屋根仕上</t>
    <rPh sb="0" eb="1">
      <t>ヤ</t>
    </rPh>
    <rPh sb="1" eb="2">
      <t>ネ</t>
    </rPh>
    <rPh sb="2" eb="3">
      <t>ツコウ</t>
    </rPh>
    <rPh sb="3" eb="4">
      <t>ジョウ</t>
    </rPh>
    <phoneticPr fontId="8"/>
  </si>
  <si>
    <t>+</t>
    <phoneticPr fontId="17"/>
  </si>
  <si>
    <t>空調・中央熱源方式・ﾍﾟﾘﾒｰﾀｰにﾌｧﾝｺｲﾙの有無</t>
    <rPh sb="0" eb="2">
      <t>クウチョウ</t>
    </rPh>
    <rPh sb="3" eb="5">
      <t>チュウオウ</t>
    </rPh>
    <rPh sb="5" eb="7">
      <t>ネツゲン</t>
    </rPh>
    <rPh sb="7" eb="9">
      <t>ホウシキ</t>
    </rPh>
    <rPh sb="25" eb="27">
      <t>ウム</t>
    </rPh>
    <phoneticPr fontId="8"/>
  </si>
  <si>
    <t>中央式給湯</t>
    <rPh sb="0" eb="3">
      <t>チュウオウシキ</t>
    </rPh>
    <rPh sb="3" eb="5">
      <t>キュウトウ</t>
    </rPh>
    <phoneticPr fontId="8"/>
  </si>
  <si>
    <t>中央式給湯・配置</t>
    <rPh sb="0" eb="3">
      <t>チュウオウシキ</t>
    </rPh>
    <rPh sb="3" eb="5">
      <t>キュウトウ</t>
    </rPh>
    <rPh sb="6" eb="8">
      <t>ハイチ</t>
    </rPh>
    <phoneticPr fontId="8"/>
  </si>
  <si>
    <t>中央式給湯・管材</t>
    <rPh sb="0" eb="3">
      <t>チュウオウシキ</t>
    </rPh>
    <rPh sb="3" eb="5">
      <t>キュウトウ</t>
    </rPh>
    <rPh sb="6" eb="8">
      <t>カンザイ</t>
    </rPh>
    <phoneticPr fontId="8"/>
  </si>
  <si>
    <t>中央式給湯・程度</t>
    <rPh sb="0" eb="3">
      <t>チュウオウシキ</t>
    </rPh>
    <rPh sb="3" eb="5">
      <t>キュウトウ</t>
    </rPh>
    <rPh sb="6" eb="8">
      <t>テイド</t>
    </rPh>
    <phoneticPr fontId="8"/>
  </si>
  <si>
    <t>中央式給湯・建物の規模</t>
    <rPh sb="0" eb="3">
      <t>チュウオウシキ</t>
    </rPh>
    <rPh sb="3" eb="5">
      <t>キュウトウ</t>
    </rPh>
    <rPh sb="6" eb="8">
      <t>タテモノ</t>
    </rPh>
    <rPh sb="9" eb="11">
      <t>キボ</t>
    </rPh>
    <phoneticPr fontId="8"/>
  </si>
  <si>
    <t>［中央給湯］</t>
    <rPh sb="1" eb="3">
      <t>チュウオウ</t>
    </rPh>
    <rPh sb="3" eb="5">
      <t>キュウトウ</t>
    </rPh>
    <phoneticPr fontId="8"/>
  </si>
  <si>
    <t>ｽﾃﾝﾚｽ製槽</t>
    <rPh sb="5" eb="6">
      <t>セイ</t>
    </rPh>
    <rPh sb="6" eb="7">
      <t>ソウ</t>
    </rPh>
    <phoneticPr fontId="8"/>
  </si>
  <si>
    <t>ｽﾃﾝﾚｽ貼槽</t>
    <rPh sb="5" eb="6">
      <t>ハ</t>
    </rPh>
    <rPh sb="6" eb="7">
      <t>ソウ</t>
    </rPh>
    <phoneticPr fontId="8"/>
  </si>
  <si>
    <t>鉄製槽</t>
    <rPh sb="0" eb="2">
      <t>テツセイ</t>
    </rPh>
    <rPh sb="2" eb="3">
      <t>ソウ</t>
    </rPh>
    <phoneticPr fontId="8"/>
  </si>
  <si>
    <t>天窓</t>
  </si>
  <si>
    <t>方　　　式</t>
  </si>
  <si>
    <t>大きさ</t>
  </si>
  <si>
    <t>程　度</t>
  </si>
  <si>
    <t>評 点 数</t>
  </si>
  <si>
    <t>個　　数</t>
  </si>
  <si>
    <t>cm</t>
  </si>
  <si>
    <t>×</t>
  </si>
  <si>
    <t>＝</t>
  </si>
  <si>
    <t>固　　定　　式</t>
  </si>
  <si>
    <t>開　　閉　　式</t>
  </si>
  <si>
    <t>建　具・設　備</t>
    <rPh sb="0" eb="1">
      <t>ケン</t>
    </rPh>
    <rPh sb="2" eb="3">
      <t>グ</t>
    </rPh>
    <rPh sb="4" eb="5">
      <t>セツ</t>
    </rPh>
    <rPh sb="6" eb="7">
      <t>ソナエ</t>
    </rPh>
    <phoneticPr fontId="8"/>
  </si>
  <si>
    <t>建　　　　　具</t>
    <rPh sb="0" eb="1">
      <t>ケン</t>
    </rPh>
    <rPh sb="6" eb="7">
      <t>グ</t>
    </rPh>
    <phoneticPr fontId="8"/>
  </si>
  <si>
    <t>特　殊　設　備</t>
    <rPh sb="0" eb="1">
      <t>トク</t>
    </rPh>
    <rPh sb="2" eb="3">
      <t>コト</t>
    </rPh>
    <rPh sb="4" eb="5">
      <t>セツ</t>
    </rPh>
    <rPh sb="6" eb="7">
      <t>ソナエ</t>
    </rPh>
    <phoneticPr fontId="8"/>
  </si>
  <si>
    <t>160cm*80cm</t>
  </si>
  <si>
    <t>120cm*80cm</t>
  </si>
  <si>
    <t>80cm*80cm</t>
  </si>
  <si>
    <t>円/㎡</t>
    <rPh sb="0" eb="1">
      <t>エン</t>
    </rPh>
    <phoneticPr fontId="17"/>
  </si>
  <si>
    <t>　　◆見積拾補助表◆</t>
    <rPh sb="3" eb="5">
      <t>ミツ</t>
    </rPh>
    <rPh sb="5" eb="6">
      <t>ヒロ</t>
    </rPh>
    <rPh sb="6" eb="8">
      <t>ホジョ</t>
    </rPh>
    <rPh sb="8" eb="9">
      <t>ヒョウ</t>
    </rPh>
    <phoneticPr fontId="17"/>
  </si>
  <si>
    <t>主体基礎</t>
    <rPh sb="0" eb="1">
      <t>シュ</t>
    </rPh>
    <rPh sb="1" eb="2">
      <t>カラダ</t>
    </rPh>
    <rPh sb="2" eb="3">
      <t>モト</t>
    </rPh>
    <rPh sb="3" eb="4">
      <t>イシズエ</t>
    </rPh>
    <phoneticPr fontId="17"/>
  </si>
  <si>
    <t>鉄骨</t>
    <phoneticPr fontId="17"/>
  </si>
  <si>
    <t>見積</t>
    <rPh sb="0" eb="2">
      <t>ミツ</t>
    </rPh>
    <phoneticPr fontId="17"/>
  </si>
  <si>
    <t>＋</t>
    <phoneticPr fontId="17"/>
  </si>
  <si>
    <t>＝</t>
    <phoneticPr fontId="17"/>
  </si>
  <si>
    <t>軽量鉄骨</t>
    <phoneticPr fontId="17"/>
  </si>
  <si>
    <t>鉄筋コンクリート等</t>
    <rPh sb="0" eb="2">
      <t>テッキン</t>
    </rPh>
    <rPh sb="8" eb="9">
      <t>ナド</t>
    </rPh>
    <phoneticPr fontId="17"/>
  </si>
  <si>
    <t>根伐工事</t>
    <rPh sb="0" eb="1">
      <t>ネ</t>
    </rPh>
    <rPh sb="1" eb="2">
      <t>キ</t>
    </rPh>
    <rPh sb="2" eb="4">
      <t>コウジ</t>
    </rPh>
    <phoneticPr fontId="17"/>
  </si>
  <si>
    <t>杭打事業</t>
    <rPh sb="0" eb="2">
      <t>クイウ</t>
    </rPh>
    <rPh sb="2" eb="4">
      <t>ジギョウ</t>
    </rPh>
    <phoneticPr fontId="8"/>
  </si>
  <si>
    <t>１種換気</t>
    <rPh sb="1" eb="2">
      <t>シュ</t>
    </rPh>
    <rPh sb="2" eb="4">
      <t>カンキ</t>
    </rPh>
    <phoneticPr fontId="8"/>
  </si>
  <si>
    <t>2､3種換気</t>
    <rPh sb="3" eb="4">
      <t>シュ</t>
    </rPh>
    <rPh sb="4" eb="6">
      <t>カンキ</t>
    </rPh>
    <phoneticPr fontId="8"/>
  </si>
  <si>
    <t>ｼﾛｯｺﾌｧﾝ</t>
  </si>
  <si>
    <t>軸流ﾌｧﾝ</t>
    <rPh sb="0" eb="1">
      <t>ジク</t>
    </rPh>
    <rPh sb="1" eb="2">
      <t>リュウ</t>
    </rPh>
    <phoneticPr fontId="8"/>
  </si>
  <si>
    <t>×</t>
    <phoneticPr fontId="8"/>
  </si>
  <si>
    <t>簡素</t>
  </si>
  <si>
    <t>換気・程度</t>
    <rPh sb="0" eb="2">
      <t>カンキ</t>
    </rPh>
    <rPh sb="3" eb="5">
      <t>テイド</t>
    </rPh>
    <phoneticPr fontId="8"/>
  </si>
  <si>
    <t>×</t>
    <phoneticPr fontId="8"/>
  </si>
  <si>
    <t>換気扇・大きさ</t>
    <rPh sb="0" eb="3">
      <t>カンキセン</t>
    </rPh>
    <rPh sb="4" eb="5">
      <t>オオ</t>
    </rPh>
    <phoneticPr fontId="8"/>
  </si>
  <si>
    <t>［換気扇］</t>
    <rPh sb="1" eb="4">
      <t>カンキセン</t>
    </rPh>
    <phoneticPr fontId="8"/>
  </si>
  <si>
    <t>ﾚﾝｼﾞﾌｰﾄﾞﾌｧﾝ</t>
  </si>
  <si>
    <t>レンジフードファン・程度</t>
    <rPh sb="10" eb="12">
      <t>テイド</t>
    </rPh>
    <phoneticPr fontId="8"/>
  </si>
  <si>
    <t>［レンジフード］</t>
    <phoneticPr fontId="8"/>
  </si>
  <si>
    <t>一般機械排煙</t>
    <rPh sb="0" eb="2">
      <t>イッパン</t>
    </rPh>
    <rPh sb="2" eb="6">
      <t>キカイハイエン</t>
    </rPh>
    <phoneticPr fontId="8"/>
  </si>
  <si>
    <t>一般機械排煙・程度</t>
    <rPh sb="0" eb="2">
      <t>イッパン</t>
    </rPh>
    <rPh sb="2" eb="6">
      <t>キカイハイエン</t>
    </rPh>
    <rPh sb="7" eb="9">
      <t>テイド</t>
    </rPh>
    <phoneticPr fontId="8"/>
  </si>
  <si>
    <t>［一般機械排煙］</t>
    <rPh sb="1" eb="3">
      <t>イッパン</t>
    </rPh>
    <rPh sb="3" eb="5">
      <t>キカイ</t>
    </rPh>
    <rPh sb="5" eb="7">
      <t>ハイエン</t>
    </rPh>
    <phoneticPr fontId="8"/>
  </si>
  <si>
    <t>附室排煙</t>
    <rPh sb="0" eb="2">
      <t>フシツ</t>
    </rPh>
    <rPh sb="2" eb="4">
      <t>ハイエン</t>
    </rPh>
    <phoneticPr fontId="8"/>
  </si>
  <si>
    <t>附室排煙・程度</t>
    <rPh sb="0" eb="2">
      <t>フシツ</t>
    </rPh>
    <rPh sb="2" eb="4">
      <t>ハイエン</t>
    </rPh>
    <rPh sb="5" eb="7">
      <t>テイド</t>
    </rPh>
    <phoneticPr fontId="8"/>
  </si>
  <si>
    <t>［附室排煙］</t>
    <rPh sb="1" eb="2">
      <t>フ</t>
    </rPh>
    <rPh sb="2" eb="3">
      <t>シツ</t>
    </rPh>
    <rPh sb="3" eb="5">
      <t>ハイエン</t>
    </rPh>
    <phoneticPr fontId="8"/>
  </si>
  <si>
    <t>ベンチレーター</t>
  </si>
  <si>
    <t>ベンチレーター・換気口内径</t>
    <rPh sb="8" eb="11">
      <t>カンキコウ</t>
    </rPh>
    <rPh sb="11" eb="13">
      <t>ナイケイ</t>
    </rPh>
    <phoneticPr fontId="8"/>
  </si>
  <si>
    <t>ベンチレーター・換気方式</t>
    <rPh sb="8" eb="10">
      <t>カンキ</t>
    </rPh>
    <rPh sb="10" eb="12">
      <t>ホウシキ</t>
    </rPh>
    <phoneticPr fontId="8"/>
  </si>
  <si>
    <t>［ベンチレーター］</t>
    <phoneticPr fontId="8"/>
  </si>
  <si>
    <t>火災報知・感知方式</t>
    <rPh sb="0" eb="2">
      <t>カサイ</t>
    </rPh>
    <rPh sb="2" eb="4">
      <t>ホウチ</t>
    </rPh>
    <rPh sb="5" eb="7">
      <t>カンチ</t>
    </rPh>
    <rPh sb="7" eb="9">
      <t>ホウシキ</t>
    </rPh>
    <phoneticPr fontId="8"/>
  </si>
  <si>
    <t>火災報知・間仕切</t>
    <rPh sb="0" eb="2">
      <t>カサイ</t>
    </rPh>
    <rPh sb="2" eb="4">
      <t>ホウチ</t>
    </rPh>
    <rPh sb="5" eb="8">
      <t>マジキ</t>
    </rPh>
    <phoneticPr fontId="8"/>
  </si>
  <si>
    <t>火災報知・程度</t>
    <rPh sb="0" eb="2">
      <t>カサイ</t>
    </rPh>
    <rPh sb="2" eb="4">
      <t>ホウチ</t>
    </rPh>
    <rPh sb="5" eb="7">
      <t>テイド</t>
    </rPh>
    <phoneticPr fontId="8"/>
  </si>
  <si>
    <t>外周壁骨組</t>
    <rPh sb="0" eb="2">
      <t>ガイシュウ</t>
    </rPh>
    <rPh sb="2" eb="3">
      <t>ヘキ</t>
    </rPh>
    <rPh sb="3" eb="5">
      <t>ホネグ</t>
    </rPh>
    <phoneticPr fontId="8"/>
  </si>
  <si>
    <t>外周壁合計</t>
    <rPh sb="0" eb="2">
      <t>ガイシュウ</t>
    </rPh>
    <rPh sb="2" eb="3">
      <t>ヘキ</t>
    </rPh>
    <rPh sb="3" eb="5">
      <t>ゴウケイ</t>
    </rPh>
    <phoneticPr fontId="8"/>
  </si>
  <si>
    <t>外周壁骨組
（予備）</t>
    <rPh sb="0" eb="2">
      <t>ガイシュウ</t>
    </rPh>
    <rPh sb="2" eb="3">
      <t>ヘキ</t>
    </rPh>
    <rPh sb="3" eb="5">
      <t>ホネグ</t>
    </rPh>
    <rPh sb="7" eb="9">
      <t>ヨビ</t>
    </rPh>
    <phoneticPr fontId="8"/>
  </si>
  <si>
    <t>外部仕上合計</t>
    <rPh sb="0" eb="2">
      <t>ガイブ</t>
    </rPh>
    <rPh sb="2" eb="4">
      <t>シア</t>
    </rPh>
    <rPh sb="4" eb="6">
      <t>ゴウケイ</t>
    </rPh>
    <phoneticPr fontId="8"/>
  </si>
  <si>
    <t>間仕切合計面積</t>
    <rPh sb="0" eb="3">
      <t>マジキ</t>
    </rPh>
    <rPh sb="3" eb="5">
      <t>ゴウケイ</t>
    </rPh>
    <rPh sb="5" eb="6">
      <t>メン</t>
    </rPh>
    <rPh sb="6" eb="7">
      <t>セキ</t>
    </rPh>
    <phoneticPr fontId="6"/>
  </si>
  <si>
    <t>横</t>
    <rPh sb="0" eb="1">
      <t>ヨコ</t>
    </rPh>
    <phoneticPr fontId="17"/>
  </si>
  <si>
    <t>高さ</t>
    <rPh sb="0" eb="1">
      <t>タカ</t>
    </rPh>
    <phoneticPr fontId="17"/>
  </si>
  <si>
    <t>縦</t>
    <rPh sb="0" eb="1">
      <t>タテ</t>
    </rPh>
    <phoneticPr fontId="17"/>
  </si>
  <si>
    <t>評 点 項 目</t>
    <rPh sb="0" eb="1">
      <t>ヒョウ</t>
    </rPh>
    <rPh sb="2" eb="3">
      <t>テン</t>
    </rPh>
    <rPh sb="4" eb="5">
      <t>コウ</t>
    </rPh>
    <rPh sb="6" eb="7">
      <t>メ</t>
    </rPh>
    <phoneticPr fontId="17"/>
  </si>
  <si>
    <t>単位当面積</t>
    <rPh sb="0" eb="2">
      <t>タンイ</t>
    </rPh>
    <rPh sb="2" eb="3">
      <t>トウ</t>
    </rPh>
    <rPh sb="3" eb="5">
      <t>メンセキ</t>
    </rPh>
    <phoneticPr fontId="6"/>
  </si>
  <si>
    <t>独立基礎
（個）</t>
    <rPh sb="0" eb="2">
      <t>ドクリツ</t>
    </rPh>
    <rPh sb="2" eb="4">
      <t>キソ</t>
    </rPh>
    <rPh sb="6" eb="7">
      <t>コ</t>
    </rPh>
    <phoneticPr fontId="8"/>
  </si>
  <si>
    <t>個　　　　　　数</t>
    <rPh sb="0" eb="1">
      <t>コ</t>
    </rPh>
    <rPh sb="7" eb="8">
      <t>カズ</t>
    </rPh>
    <phoneticPr fontId="8"/>
  </si>
  <si>
    <t>独立基礎合計</t>
    <rPh sb="0" eb="2">
      <t>ドクリツ</t>
    </rPh>
    <rPh sb="2" eb="4">
      <t>キソ</t>
    </rPh>
    <rPh sb="4" eb="5">
      <t>ゴウ</t>
    </rPh>
    <rPh sb="5" eb="6">
      <t>ケイ</t>
    </rPh>
    <phoneticPr fontId="8"/>
  </si>
  <si>
    <t>＋</t>
    <phoneticPr fontId="8"/>
  </si>
  <si>
    <t>＝</t>
    <phoneticPr fontId="8"/>
  </si>
  <si>
    <t>屋根構造</t>
    <rPh sb="0" eb="2">
      <t>ヤネ</t>
    </rPh>
    <rPh sb="2" eb="4">
      <t>コウゾウ</t>
    </rPh>
    <phoneticPr fontId="8"/>
  </si>
  <si>
    <t>（名称自由入力）</t>
    <rPh sb="1" eb="3">
      <t>メイショウ</t>
    </rPh>
    <rPh sb="3" eb="5">
      <t>ジユウ</t>
    </rPh>
    <rPh sb="5" eb="7">
      <t>ニュウリョク</t>
    </rPh>
    <phoneticPr fontId="8"/>
  </si>
  <si>
    <t>横</t>
    <rPh sb="0" eb="1">
      <t>ヨコ</t>
    </rPh>
    <phoneticPr fontId="8"/>
  </si>
  <si>
    <t>縦</t>
    <rPh sb="0" eb="1">
      <t>タテ</t>
    </rPh>
    <phoneticPr fontId="8"/>
  </si>
  <si>
    <t>面積</t>
    <rPh sb="0" eb="2">
      <t>メンセキ</t>
    </rPh>
    <phoneticPr fontId="17"/>
  </si>
  <si>
    <t>構造名称</t>
    <rPh sb="0" eb="2">
      <t>コウゾウ</t>
    </rPh>
    <rPh sb="2" eb="4">
      <t>メイショウ</t>
    </rPh>
    <phoneticPr fontId="17"/>
  </si>
  <si>
    <t>面　　積</t>
    <rPh sb="0" eb="1">
      <t>メン</t>
    </rPh>
    <rPh sb="3" eb="4">
      <t>セキ</t>
    </rPh>
    <phoneticPr fontId="6"/>
  </si>
  <si>
    <t>建具開口</t>
    <rPh sb="0" eb="2">
      <t>タテグ</t>
    </rPh>
    <rPh sb="2" eb="4">
      <t>カイコウ</t>
    </rPh>
    <phoneticPr fontId="6"/>
  </si>
  <si>
    <t>屋根構造合計</t>
    <rPh sb="0" eb="2">
      <t>ヤネ</t>
    </rPh>
    <rPh sb="2" eb="4">
      <t>コウゾウ</t>
    </rPh>
    <rPh sb="4" eb="6">
      <t>ゴウケイ</t>
    </rPh>
    <phoneticPr fontId="8"/>
  </si>
  <si>
    <t>構造面積</t>
    <rPh sb="0" eb="2">
      <t>コウゾウ</t>
    </rPh>
    <rPh sb="2" eb="4">
      <t>メンセキ</t>
    </rPh>
    <phoneticPr fontId="6"/>
  </si>
  <si>
    <t>屋根構造
（予備）</t>
    <rPh sb="0" eb="2">
      <t>ヤネ</t>
    </rPh>
    <rPh sb="2" eb="4">
      <t>コウゾウ</t>
    </rPh>
    <rPh sb="6" eb="8">
      <t>ヨビ</t>
    </rPh>
    <phoneticPr fontId="8"/>
  </si>
  <si>
    <t>屋根仕上</t>
    <rPh sb="0" eb="2">
      <t>ヤネ</t>
    </rPh>
    <rPh sb="2" eb="4">
      <t>シアゲ</t>
    </rPh>
    <phoneticPr fontId="8"/>
  </si>
  <si>
    <t>仕上名称</t>
    <rPh sb="0" eb="2">
      <t>シア</t>
    </rPh>
    <rPh sb="2" eb="4">
      <t>メイショウ</t>
    </rPh>
    <phoneticPr fontId="17"/>
  </si>
  <si>
    <t>屋根仕上合計</t>
    <rPh sb="0" eb="2">
      <t>ヤネ</t>
    </rPh>
    <rPh sb="2" eb="4">
      <t>シアゲ</t>
    </rPh>
    <rPh sb="4" eb="6">
      <t>ゴウケイ</t>
    </rPh>
    <phoneticPr fontId="8"/>
  </si>
  <si>
    <t>仕上面積</t>
    <rPh sb="0" eb="2">
      <t>シア</t>
    </rPh>
    <rPh sb="2" eb="4">
      <t>メンセキ</t>
    </rPh>
    <phoneticPr fontId="6"/>
  </si>
  <si>
    <t>屋根仕上
（予備）</t>
    <rPh sb="0" eb="2">
      <t>ヤネ</t>
    </rPh>
    <rPh sb="2" eb="4">
      <t>シアゲ</t>
    </rPh>
    <rPh sb="6" eb="8">
      <t>ヨビ</t>
    </rPh>
    <phoneticPr fontId="8"/>
  </si>
  <si>
    <t>3種換気程度</t>
    <rPh sb="1" eb="2">
      <t>シュ</t>
    </rPh>
    <rPh sb="2" eb="4">
      <t>カンキ</t>
    </rPh>
    <rPh sb="4" eb="6">
      <t>テイド</t>
    </rPh>
    <phoneticPr fontId="8"/>
  </si>
  <si>
    <t>中央熱源冷房</t>
    <rPh sb="0" eb="2">
      <t>チュウオウ</t>
    </rPh>
    <rPh sb="2" eb="4">
      <t>ネツゲン</t>
    </rPh>
    <rPh sb="4" eb="6">
      <t>レイボウ</t>
    </rPh>
    <phoneticPr fontId="8"/>
  </si>
  <si>
    <t>中央熱源冷房・ﾍﾟﾘﾒｰﾀｰにﾌｧﾝｺｲﾙの有無</t>
    <rPh sb="0" eb="2">
      <t>チュウオウ</t>
    </rPh>
    <rPh sb="2" eb="4">
      <t>ネツゲン</t>
    </rPh>
    <rPh sb="4" eb="6">
      <t>レイボウ</t>
    </rPh>
    <rPh sb="22" eb="24">
      <t>ウム</t>
    </rPh>
    <phoneticPr fontId="8"/>
  </si>
  <si>
    <t>中央熱源冷房・冷房能力の大小</t>
    <rPh sb="0" eb="2">
      <t>チュウオウ</t>
    </rPh>
    <rPh sb="2" eb="4">
      <t>ネツゲン</t>
    </rPh>
    <rPh sb="4" eb="6">
      <t>レイボウ</t>
    </rPh>
    <rPh sb="7" eb="9">
      <t>レイボウ</t>
    </rPh>
    <rPh sb="9" eb="11">
      <t>ノウリョク</t>
    </rPh>
    <rPh sb="12" eb="14">
      <t>ダイショウ</t>
    </rPh>
    <phoneticPr fontId="8"/>
  </si>
  <si>
    <t>中央熱源冷房・ゾーニングの大小</t>
    <rPh sb="0" eb="2">
      <t>チュウオウ</t>
    </rPh>
    <rPh sb="2" eb="4">
      <t>ネツゲン</t>
    </rPh>
    <rPh sb="4" eb="6">
      <t>レイボウ</t>
    </rPh>
    <rPh sb="13" eb="15">
      <t>ダイショウ</t>
    </rPh>
    <phoneticPr fontId="8"/>
  </si>
  <si>
    <t>中央熱源冷房・ダクト方式</t>
    <rPh sb="0" eb="2">
      <t>チュウオウ</t>
    </rPh>
    <rPh sb="2" eb="4">
      <t>ネツゲン</t>
    </rPh>
    <rPh sb="4" eb="6">
      <t>レイボウ</t>
    </rPh>
    <rPh sb="10" eb="12">
      <t>ホウシキ</t>
    </rPh>
    <phoneticPr fontId="8"/>
  </si>
  <si>
    <t>中央熱源冷房・制御方式の程度</t>
    <rPh sb="0" eb="2">
      <t>チュウオウ</t>
    </rPh>
    <rPh sb="2" eb="4">
      <t>ネツゲン</t>
    </rPh>
    <rPh sb="4" eb="6">
      <t>レイボウ</t>
    </rPh>
    <rPh sb="7" eb="9">
      <t>セイギョ</t>
    </rPh>
    <rPh sb="9" eb="11">
      <t>ホウシキ</t>
    </rPh>
    <rPh sb="12" eb="14">
      <t>テイド</t>
    </rPh>
    <phoneticPr fontId="8"/>
  </si>
  <si>
    <t>中央熱源冷房・建物の規模</t>
    <rPh sb="0" eb="2">
      <t>チュウオウ</t>
    </rPh>
    <rPh sb="2" eb="4">
      <t>ネツゲン</t>
    </rPh>
    <rPh sb="4" eb="6">
      <t>レイボウ</t>
    </rPh>
    <rPh sb="7" eb="9">
      <t>タテモノ</t>
    </rPh>
    <rPh sb="10" eb="12">
      <t>キボ</t>
    </rPh>
    <phoneticPr fontId="8"/>
  </si>
  <si>
    <t>［熱源冷房］</t>
    <rPh sb="1" eb="3">
      <t>ネツゲン</t>
    </rPh>
    <rPh sb="3" eb="5">
      <t>レイボウ</t>
    </rPh>
    <phoneticPr fontId="8"/>
  </si>
  <si>
    <t>中央熱源直接暖房・形式</t>
    <rPh sb="0" eb="2">
      <t>チュウオウ</t>
    </rPh>
    <rPh sb="2" eb="4">
      <t>ネツゲン</t>
    </rPh>
    <rPh sb="4" eb="6">
      <t>チョクセツ</t>
    </rPh>
    <rPh sb="6" eb="8">
      <t>ダンボウ</t>
    </rPh>
    <rPh sb="9" eb="10">
      <t>カタチ</t>
    </rPh>
    <rPh sb="10" eb="11">
      <t>カタシキ</t>
    </rPh>
    <phoneticPr fontId="8"/>
  </si>
  <si>
    <t>中央熱源直接暖房・建物の規模</t>
    <rPh sb="0" eb="2">
      <t>チュウオウ</t>
    </rPh>
    <rPh sb="2" eb="4">
      <t>ネツゲン</t>
    </rPh>
    <rPh sb="4" eb="6">
      <t>チョクセツ</t>
    </rPh>
    <rPh sb="6" eb="8">
      <t>ダンボウ</t>
    </rPh>
    <rPh sb="9" eb="11">
      <t>タテモノ</t>
    </rPh>
    <rPh sb="12" eb="14">
      <t>キボ</t>
    </rPh>
    <phoneticPr fontId="8"/>
  </si>
  <si>
    <t>［直接暖房］</t>
    <rPh sb="1" eb="3">
      <t>チョクセツ</t>
    </rPh>
    <rPh sb="3" eb="5">
      <t>ダンボウ</t>
    </rPh>
    <phoneticPr fontId="8"/>
  </si>
  <si>
    <t>ﾌｧﾝｺｲﾙ</t>
  </si>
  <si>
    <t>ｺﾝﾍﾞｸﾀｰ</t>
  </si>
  <si>
    <t>放熱器</t>
    <rPh sb="0" eb="3">
      <t>ホウネツキ</t>
    </rPh>
    <phoneticPr fontId="8"/>
  </si>
  <si>
    <t>中央熱源温風暖房</t>
    <rPh sb="0" eb="2">
      <t>チュウオウ</t>
    </rPh>
    <rPh sb="2" eb="4">
      <t>ネツゲン</t>
    </rPh>
    <rPh sb="4" eb="6">
      <t>オンプウ</t>
    </rPh>
    <rPh sb="6" eb="8">
      <t>ダンボウ</t>
    </rPh>
    <phoneticPr fontId="8"/>
  </si>
  <si>
    <t>中央熱源温風暖房・ゾーニングの大小</t>
    <rPh sb="0" eb="2">
      <t>チュウオウ</t>
    </rPh>
    <rPh sb="2" eb="4">
      <t>ネツゲン</t>
    </rPh>
    <rPh sb="4" eb="6">
      <t>オンプウ</t>
    </rPh>
    <rPh sb="6" eb="8">
      <t>ダンボウ</t>
    </rPh>
    <rPh sb="15" eb="17">
      <t>ダイショウ</t>
    </rPh>
    <phoneticPr fontId="8"/>
  </si>
  <si>
    <t>中央熱源温風暖房・ダクトの有無</t>
    <rPh sb="0" eb="2">
      <t>チュウオウ</t>
    </rPh>
    <rPh sb="2" eb="4">
      <t>ネツゲン</t>
    </rPh>
    <rPh sb="4" eb="6">
      <t>オンプウ</t>
    </rPh>
    <rPh sb="6" eb="8">
      <t>ダンボウ</t>
    </rPh>
    <rPh sb="13" eb="15">
      <t>ウム</t>
    </rPh>
    <phoneticPr fontId="8"/>
  </si>
  <si>
    <t>中央熱源温風暖房・建物の規模</t>
    <rPh sb="0" eb="2">
      <t>チュウオウ</t>
    </rPh>
    <rPh sb="2" eb="4">
      <t>ネツゲン</t>
    </rPh>
    <rPh sb="4" eb="6">
      <t>オンプウ</t>
    </rPh>
    <rPh sb="6" eb="8">
      <t>ダンボウ</t>
    </rPh>
    <rPh sb="9" eb="11">
      <t>タテモノ</t>
    </rPh>
    <rPh sb="12" eb="14">
      <t>キボ</t>
    </rPh>
    <phoneticPr fontId="8"/>
  </si>
  <si>
    <t>［温風暖房］</t>
    <rPh sb="1" eb="3">
      <t>オンプウ</t>
    </rPh>
    <rPh sb="3" eb="5">
      <t>ダンボウ</t>
    </rPh>
    <phoneticPr fontId="8"/>
  </si>
  <si>
    <t>床暖房</t>
    <rPh sb="0" eb="3">
      <t>ユカダンボウ</t>
    </rPh>
    <phoneticPr fontId="8"/>
  </si>
  <si>
    <t>床暖房・程度</t>
    <rPh sb="0" eb="1">
      <t>ユカ</t>
    </rPh>
    <rPh sb="1" eb="3">
      <t>ダンボウ</t>
    </rPh>
    <rPh sb="4" eb="6">
      <t>テイド</t>
    </rPh>
    <phoneticPr fontId="8"/>
  </si>
  <si>
    <t>［床暖房］</t>
    <rPh sb="1" eb="2">
      <t>ユカ</t>
    </rPh>
    <rPh sb="2" eb="4">
      <t>ダンボウ</t>
    </rPh>
    <phoneticPr fontId="8"/>
  </si>
  <si>
    <t>換気・機能</t>
    <rPh sb="0" eb="2">
      <t>カンキ</t>
    </rPh>
    <rPh sb="3" eb="5">
      <t>キノウ</t>
    </rPh>
    <phoneticPr fontId="8"/>
  </si>
  <si>
    <t>換気・送風機の種類（程度）</t>
    <rPh sb="0" eb="2">
      <t>カンキ</t>
    </rPh>
    <rPh sb="3" eb="6">
      <t>ソウフウキ</t>
    </rPh>
    <rPh sb="7" eb="9">
      <t>シュルイ</t>
    </rPh>
    <rPh sb="10" eb="12">
      <t>テイド</t>
    </rPh>
    <phoneticPr fontId="8"/>
  </si>
  <si>
    <t>換気・ダクト</t>
    <rPh sb="0" eb="2">
      <t>カンキ</t>
    </rPh>
    <phoneticPr fontId="8"/>
  </si>
  <si>
    <t>［換気設備］</t>
    <rPh sb="1" eb="3">
      <t>カンキ</t>
    </rPh>
    <rPh sb="3" eb="5">
      <t>セツビ</t>
    </rPh>
    <phoneticPr fontId="8"/>
  </si>
  <si>
    <t>計　　算　　式</t>
    <rPh sb="0" eb="1">
      <t>ケイ</t>
    </rPh>
    <rPh sb="3" eb="4">
      <t>ザン</t>
    </rPh>
    <rPh sb="6" eb="7">
      <t>シキ</t>
    </rPh>
    <phoneticPr fontId="17"/>
  </si>
  <si>
    <t>室
数</t>
    <rPh sb="0" eb="1">
      <t>シツ</t>
    </rPh>
    <rPh sb="2" eb="3">
      <t>カズ</t>
    </rPh>
    <phoneticPr fontId="17"/>
  </si>
  <si>
    <t>床面積</t>
    <rPh sb="0" eb="1">
      <t>ユカ</t>
    </rPh>
    <rPh sb="1" eb="3">
      <t>メンセキ</t>
    </rPh>
    <phoneticPr fontId="17"/>
  </si>
  <si>
    <t>高速特注型</t>
    <rPh sb="0" eb="2">
      <t>コウソク</t>
    </rPh>
    <rPh sb="2" eb="4">
      <t>トクチュウ</t>
    </rPh>
    <rPh sb="4" eb="5">
      <t>カタ</t>
    </rPh>
    <phoneticPr fontId="8"/>
  </si>
  <si>
    <t>エレベーター・高速特注インバータ型・積載量</t>
    <rPh sb="7" eb="9">
      <t>コウソク</t>
    </rPh>
    <rPh sb="9" eb="11">
      <t>トクチュウ</t>
    </rPh>
    <rPh sb="16" eb="17">
      <t>カタ</t>
    </rPh>
    <rPh sb="18" eb="21">
      <t>セキサイリョウ</t>
    </rPh>
    <phoneticPr fontId="8"/>
  </si>
  <si>
    <t>エレベーター・高速特注インバータ型・着床数</t>
    <rPh sb="7" eb="9">
      <t>コウソク</t>
    </rPh>
    <rPh sb="9" eb="11">
      <t>トクチュウ</t>
    </rPh>
    <rPh sb="16" eb="17">
      <t>カタ</t>
    </rPh>
    <rPh sb="18" eb="20">
      <t>チャクショウ</t>
    </rPh>
    <rPh sb="20" eb="21">
      <t>スウ</t>
    </rPh>
    <phoneticPr fontId="8"/>
  </si>
  <si>
    <t>エレベーター・高速特注インバータ型・速度</t>
    <rPh sb="7" eb="9">
      <t>コウソク</t>
    </rPh>
    <rPh sb="9" eb="11">
      <t>トクチュウ</t>
    </rPh>
    <rPh sb="16" eb="17">
      <t>カタ</t>
    </rPh>
    <rPh sb="18" eb="20">
      <t>ソクド</t>
    </rPh>
    <phoneticPr fontId="8"/>
  </si>
  <si>
    <t>エレベーター・高速特注インバータ型・程度</t>
    <rPh sb="7" eb="9">
      <t>コウソク</t>
    </rPh>
    <rPh sb="9" eb="11">
      <t>トクチュウ</t>
    </rPh>
    <rPh sb="16" eb="17">
      <t>カタ</t>
    </rPh>
    <rPh sb="18" eb="20">
      <t>テイド</t>
    </rPh>
    <phoneticPr fontId="8"/>
  </si>
  <si>
    <t>［泡消火］</t>
    <rPh sb="1" eb="2">
      <t>アワ</t>
    </rPh>
    <rPh sb="2" eb="4">
      <t>ショウカ</t>
    </rPh>
    <phoneticPr fontId="8"/>
  </si>
  <si>
    <t>スプリンクラー</t>
  </si>
  <si>
    <t>スプリンクラー・建物の規模</t>
    <rPh sb="8" eb="10">
      <t>タテモノ</t>
    </rPh>
    <rPh sb="11" eb="13">
      <t>キボ</t>
    </rPh>
    <phoneticPr fontId="8"/>
  </si>
  <si>
    <t>［スプリンクラー］</t>
    <phoneticPr fontId="8"/>
  </si>
  <si>
    <t>建　具</t>
    <rPh sb="0" eb="1">
      <t>ケン</t>
    </rPh>
    <rPh sb="2" eb="3">
      <t>グ</t>
    </rPh>
    <phoneticPr fontId="8"/>
  </si>
  <si>
    <t>◆　建具自由作成　◆</t>
    <rPh sb="2" eb="4">
      <t>タテグ</t>
    </rPh>
    <rPh sb="4" eb="6">
      <t>ジユウ</t>
    </rPh>
    <rPh sb="6" eb="8">
      <t>サクセイ</t>
    </rPh>
    <phoneticPr fontId="8"/>
  </si>
  <si>
    <t>（建具自由作成１）</t>
    <rPh sb="1" eb="3">
      <t>タテグ</t>
    </rPh>
    <rPh sb="3" eb="5">
      <t>ジユウ</t>
    </rPh>
    <rPh sb="5" eb="7">
      <t>サクセイ</t>
    </rPh>
    <phoneticPr fontId="8"/>
  </si>
  <si>
    <t>（建具自由作成２）</t>
    <rPh sb="1" eb="3">
      <t>タテグ</t>
    </rPh>
    <rPh sb="3" eb="5">
      <t>ジユウ</t>
    </rPh>
    <rPh sb="5" eb="7">
      <t>サクセイ</t>
    </rPh>
    <phoneticPr fontId="8"/>
  </si>
  <si>
    <t>（建具自由作成３）</t>
    <rPh sb="1" eb="3">
      <t>タテグ</t>
    </rPh>
    <rPh sb="3" eb="5">
      <t>ジユウ</t>
    </rPh>
    <rPh sb="5" eb="7">
      <t>サクセイ</t>
    </rPh>
    <phoneticPr fontId="8"/>
  </si>
  <si>
    <t>（建具自由作成４）</t>
    <rPh sb="1" eb="3">
      <t>タテグ</t>
    </rPh>
    <rPh sb="3" eb="5">
      <t>ジユウ</t>
    </rPh>
    <rPh sb="5" eb="7">
      <t>サクセイ</t>
    </rPh>
    <phoneticPr fontId="8"/>
  </si>
  <si>
    <t>（建具自由作成５）</t>
    <rPh sb="1" eb="3">
      <t>タテグ</t>
    </rPh>
    <rPh sb="3" eb="5">
      <t>ジユウ</t>
    </rPh>
    <rPh sb="5" eb="7">
      <t>サクセイ</t>
    </rPh>
    <phoneticPr fontId="8"/>
  </si>
  <si>
    <t>［網戸名称］</t>
    <rPh sb="3" eb="5">
      <t>メイショウ</t>
    </rPh>
    <phoneticPr fontId="8"/>
  </si>
  <si>
    <t>標準評点数</t>
    <phoneticPr fontId="8"/>
  </si>
  <si>
    <t>評 点 数</t>
    <phoneticPr fontId="8"/>
  </si>
  <si>
    <t>備　　考</t>
    <phoneticPr fontId="8"/>
  </si>
  <si>
    <t>用途</t>
    <phoneticPr fontId="8"/>
  </si>
  <si>
    <t>区分</t>
    <phoneticPr fontId="8"/>
  </si>
  <si>
    <t>適用基準</t>
    <phoneticPr fontId="8"/>
  </si>
  <si>
    <t>あり</t>
    <phoneticPr fontId="17"/>
  </si>
  <si>
    <t>なし</t>
    <phoneticPr fontId="17"/>
  </si>
  <si>
    <t>組</t>
    <rPh sb="0" eb="1">
      <t>クミ</t>
    </rPh>
    <phoneticPr fontId="17"/>
  </si>
  <si>
    <t>計算単位</t>
    <rPh sb="0" eb="2">
      <t>ケイサン</t>
    </rPh>
    <rPh sb="2" eb="4">
      <t>タンイ</t>
    </rPh>
    <phoneticPr fontId="8"/>
  </si>
  <si>
    <t>階段手摺等特殊装飾</t>
  </si>
  <si>
    <t>舞台</t>
  </si>
  <si>
    <t>固定椅子 並</t>
  </si>
  <si>
    <t>金庫扉角型</t>
  </si>
  <si>
    <t>カウンター 黒みかげ石練付板</t>
  </si>
  <si>
    <t>カウンター デコラ</t>
  </si>
  <si>
    <t>カウンター 木製</t>
  </si>
  <si>
    <t>造り付け家具 デコラ</t>
  </si>
  <si>
    <t>※「固定椅子」は計算単位が「席数」のため、個数に席数(例：３連椅子１組⇒３席）を入力してください。（大きさは不要です）</t>
    <rPh sb="2" eb="4">
      <t>コテイ</t>
    </rPh>
    <rPh sb="4" eb="6">
      <t>イス</t>
    </rPh>
    <rPh sb="8" eb="10">
      <t>ケイサン</t>
    </rPh>
    <rPh sb="10" eb="12">
      <t>タンイ</t>
    </rPh>
    <rPh sb="14" eb="16">
      <t>セキスウ</t>
    </rPh>
    <rPh sb="21" eb="23">
      <t>コスウ</t>
    </rPh>
    <rPh sb="24" eb="26">
      <t>セキスウ</t>
    </rPh>
    <rPh sb="27" eb="28">
      <t>レイ</t>
    </rPh>
    <rPh sb="30" eb="31">
      <t>レン</t>
    </rPh>
    <rPh sb="31" eb="33">
      <t>イス</t>
    </rPh>
    <rPh sb="34" eb="35">
      <t>クミ</t>
    </rPh>
    <rPh sb="37" eb="38">
      <t>セキ</t>
    </rPh>
    <rPh sb="40" eb="42">
      <t>ニュウリョク</t>
    </rPh>
    <rPh sb="50" eb="51">
      <t>オオ</t>
    </rPh>
    <rPh sb="54" eb="56">
      <t>フヨウ</t>
    </rPh>
    <phoneticPr fontId="17"/>
  </si>
  <si>
    <t>計算単位</t>
    <rPh sb="0" eb="2">
      <t>ケイサン</t>
    </rPh>
    <rPh sb="2" eb="4">
      <t>タンイ</t>
    </rPh>
    <phoneticPr fontId="17"/>
  </si>
  <si>
    <t>扉厚</t>
    <rPh sb="0" eb="1">
      <t>トビラ</t>
    </rPh>
    <rPh sb="1" eb="2">
      <t>アツ</t>
    </rPh>
    <phoneticPr fontId="8"/>
  </si>
  <si>
    <t>開閉装置等</t>
    <rPh sb="0" eb="2">
      <t>カイヘイ</t>
    </rPh>
    <rPh sb="2" eb="4">
      <t>ソウチ</t>
    </rPh>
    <rPh sb="4" eb="5">
      <t>トウ</t>
    </rPh>
    <phoneticPr fontId="17"/>
  </si>
  <si>
    <t>［加算名称］</t>
    <rPh sb="1" eb="3">
      <t>カサン</t>
    </rPh>
    <rPh sb="3" eb="5">
      <t>メイショウ</t>
    </rPh>
    <phoneticPr fontId="8"/>
  </si>
  <si>
    <t>(加算自由作成１）</t>
    <rPh sb="1" eb="3">
      <t>カサン</t>
    </rPh>
    <rPh sb="3" eb="5">
      <t>ジユウ</t>
    </rPh>
    <rPh sb="5" eb="7">
      <t>サクセイ</t>
    </rPh>
    <phoneticPr fontId="8"/>
  </si>
  <si>
    <t>(加算自由作成２）</t>
    <phoneticPr fontId="8"/>
  </si>
  <si>
    <t>ｶﾒﾗ付</t>
    <rPh sb="3" eb="4">
      <t>ツキ</t>
    </rPh>
    <phoneticPr fontId="17"/>
  </si>
  <si>
    <t>上限</t>
    <rPh sb="0" eb="2">
      <t>ジョウゲン</t>
    </rPh>
    <phoneticPr fontId="8"/>
  </si>
  <si>
    <t>下限</t>
    <rPh sb="0" eb="2">
      <t>カゲン</t>
    </rPh>
    <phoneticPr fontId="8"/>
  </si>
  <si>
    <t>コンクリートブロック ［臥梁共］（㎡）</t>
    <rPh sb="14" eb="15">
      <t>トモ</t>
    </rPh>
    <phoneticPr fontId="8"/>
  </si>
  <si>
    <t>古材</t>
  </si>
  <si>
    <r>
      <t>m</t>
    </r>
    <r>
      <rPr>
        <vertAlign val="superscript"/>
        <sz val="9"/>
        <rFont val="ＭＳ Ｐ明朝"/>
        <family val="1"/>
        <charset val="128"/>
      </rPr>
      <t>3</t>
    </r>
    <phoneticPr fontId="8"/>
  </si>
  <si>
    <r>
      <t>コンクリート ［無筋用］（m</t>
    </r>
    <r>
      <rPr>
        <vertAlign val="superscript"/>
        <sz val="9"/>
        <rFont val="ＭＳ Ｐ明朝"/>
        <family val="1"/>
        <charset val="128"/>
      </rPr>
      <t>3</t>
    </r>
    <r>
      <rPr>
        <sz val="9"/>
        <rFont val="ＭＳ Ｐ明朝"/>
        <family val="1"/>
        <charset val="128"/>
      </rPr>
      <t>）</t>
    </r>
    <rPh sb="8" eb="9">
      <t>ム</t>
    </rPh>
    <rPh sb="9" eb="10">
      <t>スジ</t>
    </rPh>
    <rPh sb="10" eb="11">
      <t>ヨウ</t>
    </rPh>
    <phoneticPr fontId="8"/>
  </si>
  <si>
    <r>
      <t>コンクリート[屋根・床構造用]（m</t>
    </r>
    <r>
      <rPr>
        <vertAlign val="superscript"/>
        <sz val="9"/>
        <rFont val="ＭＳ Ｐ明朝"/>
        <family val="1"/>
        <charset val="128"/>
      </rPr>
      <t>3</t>
    </r>
    <r>
      <rPr>
        <sz val="9"/>
        <rFont val="ＭＳ Ｐ明朝"/>
        <family val="1"/>
        <charset val="128"/>
      </rPr>
      <t>）</t>
    </r>
    <rPh sb="7" eb="9">
      <t>ヤネ</t>
    </rPh>
    <rPh sb="10" eb="11">
      <t>ユカ</t>
    </rPh>
    <rPh sb="11" eb="13">
      <t>コウゾウ</t>
    </rPh>
    <rPh sb="13" eb="14">
      <t>ヨウ</t>
    </rPh>
    <phoneticPr fontId="8"/>
  </si>
  <si>
    <r>
      <t>軽量コンクリート[鉄筋用]（m</t>
    </r>
    <r>
      <rPr>
        <vertAlign val="superscript"/>
        <sz val="9"/>
        <rFont val="ＭＳ Ｐ明朝"/>
        <family val="1"/>
        <charset val="128"/>
      </rPr>
      <t>3</t>
    </r>
    <r>
      <rPr>
        <sz val="9"/>
        <rFont val="ＭＳ Ｐ明朝"/>
        <family val="1"/>
        <charset val="128"/>
      </rPr>
      <t>）</t>
    </r>
    <rPh sb="9" eb="11">
      <t>テッキン</t>
    </rPh>
    <rPh sb="11" eb="12">
      <t>ヨウ</t>
    </rPh>
    <phoneticPr fontId="8"/>
  </si>
  <si>
    <t>溶接金網（㎡）</t>
    <rPh sb="0" eb="2">
      <t>ヨウセツ</t>
    </rPh>
    <rPh sb="2" eb="4">
      <t>カナアミ</t>
    </rPh>
    <phoneticPr fontId="8"/>
  </si>
  <si>
    <t>㎡</t>
    <phoneticPr fontId="8"/>
  </si>
  <si>
    <t>根伐土量/面積</t>
    <rPh sb="0" eb="1">
      <t>ネ</t>
    </rPh>
    <rPh sb="1" eb="2">
      <t>バツ</t>
    </rPh>
    <rPh sb="2" eb="3">
      <t>ツチ</t>
    </rPh>
    <rPh sb="3" eb="4">
      <t>リョウ</t>
    </rPh>
    <rPh sb="5" eb="7">
      <t>メンセキ</t>
    </rPh>
    <phoneticPr fontId="8"/>
  </si>
  <si>
    <r>
      <t>根伐土量（m</t>
    </r>
    <r>
      <rPr>
        <vertAlign val="superscript"/>
        <sz val="9"/>
        <rFont val="ＭＳ Ｐゴシック"/>
        <family val="3"/>
        <charset val="128"/>
      </rPr>
      <t>3</t>
    </r>
    <r>
      <rPr>
        <sz val="9"/>
        <rFont val="ＭＳ Ｐゴシック"/>
        <family val="3"/>
        <charset val="128"/>
      </rPr>
      <t>）</t>
    </r>
    <rPh sb="0" eb="1">
      <t>ネ</t>
    </rPh>
    <rPh sb="1" eb="2">
      <t>バツ</t>
    </rPh>
    <rPh sb="2" eb="3">
      <t>ツチ</t>
    </rPh>
    <rPh sb="3" eb="4">
      <t>リョウ</t>
    </rPh>
    <phoneticPr fontId="8"/>
  </si>
  <si>
    <r>
      <t>m</t>
    </r>
    <r>
      <rPr>
        <vertAlign val="superscript"/>
        <sz val="9"/>
        <rFont val="ＭＳ Ｐ明朝"/>
        <family val="1"/>
        <charset val="128"/>
      </rPr>
      <t>3</t>
    </r>
    <phoneticPr fontId="8"/>
  </si>
  <si>
    <t>基礎延長/面積</t>
    <rPh sb="0" eb="2">
      <t>キソ</t>
    </rPh>
    <rPh sb="2" eb="4">
      <t>エンチョウ</t>
    </rPh>
    <rPh sb="5" eb="7">
      <t>メンセキ</t>
    </rPh>
    <phoneticPr fontId="8"/>
  </si>
  <si>
    <t>独立基礎
(根伐り工事を含む）</t>
    <rPh sb="0" eb="2">
      <t>ドクリツ</t>
    </rPh>
    <rPh sb="2" eb="4">
      <t>キソ</t>
    </rPh>
    <phoneticPr fontId="8"/>
  </si>
  <si>
    <t>　既　製　杭</t>
    <rPh sb="1" eb="2">
      <t>キ</t>
    </rPh>
    <rPh sb="3" eb="4">
      <t>セイ</t>
    </rPh>
    <rPh sb="5" eb="6">
      <t>クイ</t>
    </rPh>
    <phoneticPr fontId="8"/>
  </si>
  <si>
    <t>RC基礎延長
（ｍ）</t>
    <rPh sb="2" eb="4">
      <t>キソ</t>
    </rPh>
    <rPh sb="4" eb="6">
      <t>エンチョウ</t>
    </rPh>
    <phoneticPr fontId="8"/>
  </si>
  <si>
    <t>CB基礎評点数</t>
    <rPh sb="2" eb="4">
      <t>キソ</t>
    </rPh>
    <rPh sb="4" eb="6">
      <t>ヒョウテン</t>
    </rPh>
    <rPh sb="6" eb="7">
      <t>スウ</t>
    </rPh>
    <phoneticPr fontId="8"/>
  </si>
  <si>
    <t>ｍ</t>
    <phoneticPr fontId="8"/>
  </si>
  <si>
    <t>延　　長</t>
    <rPh sb="0" eb="1">
      <t>ノベ</t>
    </rPh>
    <rPh sb="3" eb="4">
      <t>チョウ</t>
    </rPh>
    <phoneticPr fontId="8"/>
  </si>
  <si>
    <t>ｺﾝｸﾘｰﾄﾌﾞﾛｯｸ基礎</t>
    <rPh sb="11" eb="13">
      <t>キソ</t>
    </rPh>
    <phoneticPr fontId="8"/>
  </si>
  <si>
    <t>CB基礎延長
（ｍ）</t>
    <rPh sb="2" eb="4">
      <t>キソ</t>
    </rPh>
    <rPh sb="4" eb="6">
      <t>エンチョウ</t>
    </rPh>
    <phoneticPr fontId="8"/>
  </si>
  <si>
    <t>+</t>
    <phoneticPr fontId="40"/>
  </si>
  <si>
    <t>（材工共）</t>
  </si>
  <si>
    <t>―</t>
  </si>
  <si>
    <t>束立床</t>
  </si>
  <si>
    <t>木造90㎜厚</t>
  </si>
  <si>
    <t>鉄骨造100㎜厚</t>
  </si>
  <si>
    <t>繊維板</t>
  </si>
  <si>
    <t>+</t>
    <phoneticPr fontId="40"/>
  </si>
  <si>
    <t>縞鋼板6.0㎜厚</t>
  </si>
  <si>
    <t>縞鋼板4.5㎜厚</t>
  </si>
  <si>
    <t>縞鋼板3.2㎜厚</t>
  </si>
  <si>
    <t>れんが平敷</t>
  </si>
  <si>
    <t>塗膜防水</t>
  </si>
  <si>
    <t>銅板平板</t>
  </si>
  <si>
    <t>※「金庫扉」「書庫扉」は計算単位が「箇所数」です。大きさの違いは補正で反映するので、個数のみを入力してください。</t>
    <rPh sb="2" eb="4">
      <t>キンコ</t>
    </rPh>
    <rPh sb="4" eb="5">
      <t>トビラ</t>
    </rPh>
    <rPh sb="7" eb="9">
      <t>ショコ</t>
    </rPh>
    <rPh sb="9" eb="10">
      <t>トビラ</t>
    </rPh>
    <rPh sb="12" eb="14">
      <t>ケイサン</t>
    </rPh>
    <rPh sb="14" eb="16">
      <t>タンイ</t>
    </rPh>
    <rPh sb="18" eb="20">
      <t>カショ</t>
    </rPh>
    <rPh sb="20" eb="21">
      <t>スウ</t>
    </rPh>
    <rPh sb="25" eb="26">
      <t>オオ</t>
    </rPh>
    <rPh sb="29" eb="30">
      <t>チガ</t>
    </rPh>
    <rPh sb="32" eb="34">
      <t>ホセイ</t>
    </rPh>
    <rPh sb="35" eb="37">
      <t>ハンエイ</t>
    </rPh>
    <rPh sb="42" eb="44">
      <t>コスウ</t>
    </rPh>
    <rPh sb="47" eb="49">
      <t>ニュウリョク</t>
    </rPh>
    <phoneticPr fontId="17"/>
  </si>
  <si>
    <t>程度</t>
    <rPh sb="0" eb="2">
      <t>テイド</t>
    </rPh>
    <phoneticPr fontId="8"/>
  </si>
  <si>
    <t>種類</t>
    <rPh sb="0" eb="2">
      <t>シュルイ</t>
    </rPh>
    <phoneticPr fontId="8"/>
  </si>
  <si>
    <t>補正</t>
    <rPh sb="0" eb="2">
      <t>ホセイ</t>
    </rPh>
    <phoneticPr fontId="8"/>
  </si>
  <si>
    <t>自動扉開閉装置 引分</t>
    <rPh sb="3" eb="5">
      <t>カイヘイ</t>
    </rPh>
    <rPh sb="5" eb="7">
      <t>ソウチ</t>
    </rPh>
    <phoneticPr fontId="8"/>
  </si>
  <si>
    <t>自動扉開閉装置 片引</t>
    <rPh sb="3" eb="5">
      <t>カイヘイ</t>
    </rPh>
    <rPh sb="5" eb="7">
      <t>ソウチ</t>
    </rPh>
    <phoneticPr fontId="8"/>
  </si>
  <si>
    <t>窓区分</t>
    <rPh sb="0" eb="1">
      <t>マド</t>
    </rPh>
    <rPh sb="1" eb="3">
      <t>クブン</t>
    </rPh>
    <phoneticPr fontId="8"/>
  </si>
  <si>
    <t>-</t>
  </si>
  <si>
    <t>-</t>
    <phoneticPr fontId="8"/>
  </si>
  <si>
    <t>（ｶﾞﾗｽ自由作成６）</t>
    <rPh sb="5" eb="7">
      <t>ジユウ</t>
    </rPh>
    <rPh sb="7" eb="9">
      <t>サクセイ</t>
    </rPh>
    <phoneticPr fontId="8"/>
  </si>
  <si>
    <t>（ｶﾞﾗｽ自由作成５）</t>
    <rPh sb="5" eb="7">
      <t>ジユウ</t>
    </rPh>
    <rPh sb="7" eb="9">
      <t>サクセイ</t>
    </rPh>
    <phoneticPr fontId="8"/>
  </si>
  <si>
    <t>（ｶﾞﾗｽ自由作成４）</t>
    <rPh sb="5" eb="7">
      <t>ジユウ</t>
    </rPh>
    <rPh sb="7" eb="9">
      <t>サクセイ</t>
    </rPh>
    <phoneticPr fontId="8"/>
  </si>
  <si>
    <t>（ｶﾞﾗｽ自由作成３）</t>
    <rPh sb="5" eb="7">
      <t>ジユウ</t>
    </rPh>
    <rPh sb="7" eb="9">
      <t>サクセイ</t>
    </rPh>
    <phoneticPr fontId="8"/>
  </si>
  <si>
    <t>ステンドグラス</t>
  </si>
  <si>
    <t>鉛入 鉛当量3.0mmPb</t>
  </si>
  <si>
    <t>鉛入 鉛当量2.0mmPb</t>
  </si>
  <si>
    <t>鉛入 鉛当量1.5mmPb</t>
  </si>
  <si>
    <t>面　積</t>
    <phoneticPr fontId="8"/>
  </si>
  <si>
    <t>ｻｯｼ等面積の1/2</t>
    <rPh sb="2" eb="3">
      <t>トウ</t>
    </rPh>
    <rPh sb="3" eb="5">
      <t>メンセキ</t>
    </rPh>
    <phoneticPr fontId="8"/>
  </si>
  <si>
    <t>扉 ｽﾃﾝﾚｽ製 上</t>
  </si>
  <si>
    <t>扉 ｽﾃﾝﾚｽ製 中</t>
  </si>
  <si>
    <t>扉 ｽﾃﾝﾚｽ製 並</t>
  </si>
  <si>
    <t>ふすま 上</t>
  </si>
  <si>
    <t>ふすま 並</t>
  </si>
  <si>
    <t>障子 上</t>
  </si>
  <si>
    <t>障子 並</t>
  </si>
  <si>
    <t>雨戸･ｼｬｯﾀｰ 中</t>
  </si>
  <si>
    <t>雨戸･ｼｬｯﾀｰ 並</t>
  </si>
  <si>
    <t>ﾙｰﾊﾞｰ･面格子 ｽﾃﾝﾚｽ製 特</t>
  </si>
  <si>
    <t>ﾙｰﾊﾞｰ･面格子 ｽﾃﾝﾚｽ製 上</t>
  </si>
  <si>
    <t>ﾙｰﾊﾞｰ･面格子 ｽﾃﾝﾚｽ製 中</t>
  </si>
  <si>
    <t>ﾙｰﾊﾞｰ･面格子 ｽﾃﾝﾚｽ製 並</t>
  </si>
  <si>
    <t>ﾙｰﾊﾞｰ･面格子 ｱﾙﾐ製 特</t>
  </si>
  <si>
    <t>ﾙｰﾊﾞｰ･面格子 ｱﾙﾐ製 上</t>
  </si>
  <si>
    <t>ﾙｰﾊﾞｰ･面格子 ｱﾙﾐ製 中</t>
  </si>
  <si>
    <t>ﾙｰﾊﾞｰ･面格子 ｱﾙﾐ製 並</t>
  </si>
  <si>
    <t>ﾙｰﾊﾞｰ･面格子 鋼製 特</t>
  </si>
  <si>
    <t>ﾙｰﾊﾞｰ･面格子 鋼製 上</t>
  </si>
  <si>
    <t>ﾙｰﾊﾞｰ･面格子 鋼製 中</t>
  </si>
  <si>
    <t>ﾙｰﾊﾞｰ･面格子 鋼製 並</t>
  </si>
  <si>
    <t>ｱｺｰﾃﾞｨｵﾝﾄﾞｱ(ｱﾙﾐ縁)</t>
  </si>
  <si>
    <t>ｼｰﾄｼｬｯﾀｰ</t>
  </si>
  <si>
    <t>ｽﾗｲﾃﾞｨﾝｸﾞｳｫｰﾙ 特</t>
  </si>
  <si>
    <t>ｽﾗｲﾃﾞｨﾝｸﾞｳｫｰﾙ 上</t>
  </si>
  <si>
    <t>ｽﾗｲﾃﾞｨﾝｸﾞｳｫｰﾙ 中</t>
  </si>
  <si>
    <t>ｽﾗｲﾃﾞｨﾝｸﾞｳｫｰﾙ 並</t>
  </si>
  <si>
    <t>ｶﾞﾗｽﾌﾞﾛｯｸ 透明115×115×95(㎜)</t>
  </si>
  <si>
    <t>ｶﾞﾗｽﾌﾞﾛｯｸ 透明145×145×95(㎜)</t>
  </si>
  <si>
    <t>ｶﾞﾗｽﾌﾞﾛｯｸ 透明190×190×95(㎜)</t>
  </si>
  <si>
    <t>ｶﾞﾗｽﾌﾞﾛｯｸ 色物145×145×95(㎜)</t>
  </si>
  <si>
    <t>◆　サッシ　◆</t>
    <phoneticPr fontId="8"/>
  </si>
  <si>
    <t>◆　ドア　◆</t>
    <phoneticPr fontId="8"/>
  </si>
  <si>
    <t>◆　シャッター　◆</t>
    <phoneticPr fontId="8"/>
  </si>
  <si>
    <t>◆　その他　◆</t>
    <rPh sb="4" eb="5">
      <t>ホカ</t>
    </rPh>
    <phoneticPr fontId="8"/>
  </si>
  <si>
    <t>雨戸･ｼｬｯﾀｰ 上</t>
    <phoneticPr fontId="8"/>
  </si>
  <si>
    <t>その他</t>
    <rPh sb="2" eb="3">
      <t>ホカ</t>
    </rPh>
    <phoneticPr fontId="8"/>
  </si>
  <si>
    <t>面積合計</t>
    <rPh sb="0" eb="2">
      <t>メンセキ</t>
    </rPh>
    <rPh sb="2" eb="4">
      <t>ゴウケイ</t>
    </rPh>
    <phoneticPr fontId="8"/>
  </si>
  <si>
    <t xml:space="preserve"> サッシ面積計</t>
    <rPh sb="4" eb="6">
      <t>メンセキ</t>
    </rPh>
    <rPh sb="6" eb="7">
      <t>ケイ</t>
    </rPh>
    <phoneticPr fontId="17"/>
  </si>
  <si>
    <t>部分別評点数　建具 計</t>
    <rPh sb="0" eb="2">
      <t>ブブン</t>
    </rPh>
    <rPh sb="2" eb="3">
      <t>ベツ</t>
    </rPh>
    <rPh sb="3" eb="5">
      <t>ヒョウテン</t>
    </rPh>
    <rPh sb="5" eb="6">
      <t>スウ</t>
    </rPh>
    <rPh sb="7" eb="9">
      <t>タテグ</t>
    </rPh>
    <rPh sb="10" eb="11">
      <t>ケイ</t>
    </rPh>
    <phoneticPr fontId="8"/>
  </si>
  <si>
    <t>部分別評点数　特殊設備 計</t>
    <rPh sb="0" eb="2">
      <t>ブブン</t>
    </rPh>
    <rPh sb="2" eb="3">
      <t>ベツ</t>
    </rPh>
    <rPh sb="3" eb="5">
      <t>ヒョウテン</t>
    </rPh>
    <rPh sb="5" eb="6">
      <t>スウ</t>
    </rPh>
    <rPh sb="7" eb="9">
      <t>トクシュ</t>
    </rPh>
    <rPh sb="9" eb="11">
      <t>セツビ</t>
    </rPh>
    <rPh sb="12" eb="13">
      <t>ケイ</t>
    </rPh>
    <phoneticPr fontId="8"/>
  </si>
  <si>
    <t>ｼｬｯﾀｰ開閉装置 手動</t>
    <rPh sb="5" eb="7">
      <t>カイヘイ</t>
    </rPh>
    <rPh sb="7" eb="9">
      <t>ソウチ</t>
    </rPh>
    <phoneticPr fontId="8"/>
  </si>
  <si>
    <t>ｼｬｯﾀｰ開閉装置 電動</t>
    <rPh sb="5" eb="7">
      <t>カイヘイ</t>
    </rPh>
    <rPh sb="7" eb="9">
      <t>ソウチ</t>
    </rPh>
    <phoneticPr fontId="8"/>
  </si>
  <si>
    <t>ｼｬｯﾀｰ開閉装置 煙感知器連動 電動</t>
    <rPh sb="5" eb="7">
      <t>カイヘイ</t>
    </rPh>
    <rPh sb="7" eb="9">
      <t>ソウチ</t>
    </rPh>
    <rPh sb="17" eb="19">
      <t>デンドウ</t>
    </rPh>
    <phoneticPr fontId="8"/>
  </si>
  <si>
    <t>断熱等</t>
    <rPh sb="0" eb="2">
      <t>ダンネツ</t>
    </rPh>
    <rPh sb="2" eb="3">
      <t>トウ</t>
    </rPh>
    <phoneticPr fontId="8"/>
  </si>
  <si>
    <t>モルタル</t>
  </si>
  <si>
    <t>減点補正率・下限</t>
    <rPh sb="0" eb="2">
      <t>ゲンテン</t>
    </rPh>
    <rPh sb="2" eb="4">
      <t>ホセイ</t>
    </rPh>
    <rPh sb="4" eb="5">
      <t>リツ</t>
    </rPh>
    <rPh sb="6" eb="8">
      <t>カゲン</t>
    </rPh>
    <phoneticPr fontId="8"/>
  </si>
  <si>
    <r>
      <t>◆建築設備（個別方式）</t>
    </r>
    <r>
      <rPr>
        <sz val="9"/>
        <rFont val="HG創英角ｺﾞｼｯｸUB"/>
        <family val="3"/>
        <charset val="128"/>
      </rPr>
      <t/>
    </r>
    <phoneticPr fontId="5"/>
  </si>
  <si>
    <t>他基準は、転用（駐車場面積が計算単位のため、そのまま）</t>
    <rPh sb="0" eb="1">
      <t>ホカ</t>
    </rPh>
    <rPh sb="1" eb="3">
      <t>キジュン</t>
    </rPh>
    <rPh sb="5" eb="7">
      <t>テンヨウ</t>
    </rPh>
    <rPh sb="8" eb="11">
      <t>チュウシャジョウ</t>
    </rPh>
    <rPh sb="11" eb="13">
      <t>メンセキ</t>
    </rPh>
    <rPh sb="14" eb="16">
      <t>ケイサン</t>
    </rPh>
    <rPh sb="16" eb="18">
      <t>タンイ</t>
    </rPh>
    <phoneticPr fontId="8"/>
  </si>
  <si>
    <t>ドアホン</t>
    <phoneticPr fontId="8"/>
  </si>
  <si>
    <t>［ドアホン］</t>
    <phoneticPr fontId="8"/>
  </si>
  <si>
    <t>ドアホン・程度</t>
    <rPh sb="5" eb="7">
      <t>テイド</t>
    </rPh>
    <phoneticPr fontId="8"/>
  </si>
  <si>
    <t>インター
ホン</t>
    <phoneticPr fontId="8"/>
  </si>
  <si>
    <t>ドアホン</t>
    <phoneticPr fontId="8"/>
  </si>
  <si>
    <t>カメラ付</t>
  </si>
  <si>
    <t>台</t>
    <rPh sb="0" eb="1">
      <t>ダイ</t>
    </rPh>
    <phoneticPr fontId="8"/>
  </si>
  <si>
    <t>インターホン・配置</t>
    <rPh sb="7" eb="9">
      <t>ハイチ</t>
    </rPh>
    <phoneticPr fontId="8"/>
  </si>
  <si>
    <t>計算値</t>
    <rPh sb="0" eb="3">
      <t>ケイサンチ</t>
    </rPh>
    <phoneticPr fontId="8"/>
  </si>
  <si>
    <t>［監視カメラ］</t>
    <rPh sb="1" eb="3">
      <t>カンシ</t>
    </rPh>
    <phoneticPr fontId="8"/>
  </si>
  <si>
    <t>被覆銅管</t>
  </si>
  <si>
    <t>被覆銅管</t>
    <rPh sb="0" eb="2">
      <t>ヒフク</t>
    </rPh>
    <rPh sb="2" eb="4">
      <t>ドウカン</t>
    </rPh>
    <phoneticPr fontId="8"/>
  </si>
  <si>
    <t>ｽﾃﾝﾚｽ鋼管</t>
  </si>
  <si>
    <t>ｽﾃﾝﾚｽ鋼管</t>
    <rPh sb="5" eb="7">
      <t>コウカン</t>
    </rPh>
    <phoneticPr fontId="8"/>
  </si>
  <si>
    <t>　横（cm）　×　縦（cm）　＝　　　　　</t>
    <rPh sb="1" eb="2">
      <t>ヨコ</t>
    </rPh>
    <rPh sb="9" eb="10">
      <t>タテ</t>
    </rPh>
    <phoneticPr fontId="8"/>
  </si>
  <si>
    <t>　横（cm）　×　縦（cm）　＝　　　　　　</t>
    <rPh sb="1" eb="2">
      <t>ヨコ</t>
    </rPh>
    <rPh sb="9" eb="10">
      <t>タテ</t>
    </rPh>
    <phoneticPr fontId="8"/>
  </si>
  <si>
    <t>給湯器</t>
    <rPh sb="0" eb="3">
      <t>キュウトウキ</t>
    </rPh>
    <phoneticPr fontId="8"/>
  </si>
  <si>
    <t>［給湯器］</t>
    <rPh sb="1" eb="3">
      <t>キュウトウ</t>
    </rPh>
    <rPh sb="3" eb="4">
      <t>キ</t>
    </rPh>
    <phoneticPr fontId="8"/>
  </si>
  <si>
    <t>給湯器・程度</t>
    <rPh sb="0" eb="3">
      <t>キュウトウキ</t>
    </rPh>
    <rPh sb="4" eb="6">
      <t>テイド</t>
    </rPh>
    <phoneticPr fontId="8"/>
  </si>
  <si>
    <t>給湯器・号数</t>
    <rPh sb="0" eb="3">
      <t>キュウトウキ</t>
    </rPh>
    <rPh sb="4" eb="6">
      <t>ゴウスウ</t>
    </rPh>
    <rPh sb="5" eb="6">
      <t>ツイゴウ</t>
    </rPh>
    <phoneticPr fontId="8"/>
  </si>
  <si>
    <t>給湯器・追焚機能の有無</t>
    <rPh sb="0" eb="3">
      <t>キュウトウキ</t>
    </rPh>
    <rPh sb="4" eb="5">
      <t>ツイ</t>
    </rPh>
    <rPh sb="5" eb="6">
      <t>フン</t>
    </rPh>
    <rPh sb="6" eb="8">
      <t>キノウ</t>
    </rPh>
    <rPh sb="9" eb="11">
      <t>ウム</t>
    </rPh>
    <phoneticPr fontId="8"/>
  </si>
  <si>
    <t>あり</t>
    <phoneticPr fontId="8"/>
  </si>
  <si>
    <t>なし</t>
    <phoneticPr fontId="8"/>
  </si>
  <si>
    <t>-</t>
    <phoneticPr fontId="8"/>
  </si>
  <si>
    <t>追焚機能</t>
    <rPh sb="0" eb="1">
      <t>オ</t>
    </rPh>
    <rPh sb="1" eb="2">
      <t>ダ</t>
    </rPh>
    <rPh sb="2" eb="4">
      <t>キノウ</t>
    </rPh>
    <phoneticPr fontId="8"/>
  </si>
  <si>
    <t>ユニットシャワー・大きさ</t>
    <rPh sb="9" eb="10">
      <t>オオ</t>
    </rPh>
    <phoneticPr fontId="8"/>
  </si>
  <si>
    <t>大きさ
(間口寸法)</t>
    <rPh sb="0" eb="1">
      <t>オオ</t>
    </rPh>
    <rPh sb="5" eb="7">
      <t>マグチ</t>
    </rPh>
    <rPh sb="7" eb="9">
      <t>スンポウ</t>
    </rPh>
    <phoneticPr fontId="8"/>
  </si>
  <si>
    <t>間口寸法</t>
    <rPh sb="0" eb="2">
      <t>マグチ</t>
    </rPh>
    <rPh sb="2" eb="4">
      <t>スンポウ</t>
    </rPh>
    <phoneticPr fontId="8"/>
  </si>
  <si>
    <t>（住宅のみ使用）</t>
    <rPh sb="1" eb="3">
      <t>ジュウタク</t>
    </rPh>
    <rPh sb="5" eb="7">
      <t>シヨウ</t>
    </rPh>
    <phoneticPr fontId="8"/>
  </si>
  <si>
    <t>一般機械排煙</t>
    <rPh sb="0" eb="2">
      <t>イッパン</t>
    </rPh>
    <rPh sb="2" eb="4">
      <t>キカイ</t>
    </rPh>
    <rPh sb="4" eb="6">
      <t>ハイエン</t>
    </rPh>
    <phoneticPr fontId="8"/>
  </si>
  <si>
    <t>(排煙口数)</t>
    <rPh sb="1" eb="3">
      <t>ハイエン</t>
    </rPh>
    <rPh sb="3" eb="5">
      <t>クチカズ</t>
    </rPh>
    <phoneticPr fontId="8"/>
  </si>
  <si>
    <t>※基準上は補正なし。</t>
    <rPh sb="1" eb="3">
      <t>キジュン</t>
    </rPh>
    <rPh sb="3" eb="4">
      <t>ジョウ</t>
    </rPh>
    <rPh sb="5" eb="7">
      <t>ホセイ</t>
    </rPh>
    <phoneticPr fontId="8"/>
  </si>
  <si>
    <t>増点補正率・上限</t>
    <rPh sb="0" eb="1">
      <t>ゾウ</t>
    </rPh>
    <rPh sb="1" eb="2">
      <t>テン</t>
    </rPh>
    <rPh sb="2" eb="4">
      <t>ホセイ</t>
    </rPh>
    <rPh sb="4" eb="5">
      <t>リツ</t>
    </rPh>
    <rPh sb="6" eb="8">
      <t>ジョウゲン</t>
    </rPh>
    <phoneticPr fontId="8"/>
  </si>
  <si>
    <t>火災報知</t>
    <rPh sb="0" eb="2">
      <t>カサイ</t>
    </rPh>
    <rPh sb="2" eb="4">
      <t>ホウチ</t>
    </rPh>
    <phoneticPr fontId="17"/>
  </si>
  <si>
    <t>網戸 合樹網</t>
    <phoneticPr fontId="8"/>
  </si>
  <si>
    <t>網戸 ｽﾃﾝﾚｽ網</t>
    <phoneticPr fontId="8"/>
  </si>
  <si>
    <t>合樹網(全)</t>
    <rPh sb="0" eb="2">
      <t>ゴウジュ</t>
    </rPh>
    <rPh sb="2" eb="3">
      <t>アミ</t>
    </rPh>
    <phoneticPr fontId="8"/>
  </si>
  <si>
    <t>合樹網(片)</t>
    <rPh sb="0" eb="2">
      <t>ゴウジュ</t>
    </rPh>
    <rPh sb="2" eb="3">
      <t>アミ</t>
    </rPh>
    <phoneticPr fontId="8"/>
  </si>
  <si>
    <t>ｽﾃﾝﾚｽ網(全)</t>
    <rPh sb="5" eb="6">
      <t>アミ</t>
    </rPh>
    <phoneticPr fontId="8"/>
  </si>
  <si>
    <t>ｽﾃﾝﾚｽ網(片)</t>
    <rPh sb="5" eb="6">
      <t>アミ</t>
    </rPh>
    <phoneticPr fontId="8"/>
  </si>
  <si>
    <r>
      <t>規模（m</t>
    </r>
    <r>
      <rPr>
        <vertAlign val="superscript"/>
        <sz val="9"/>
        <rFont val="ＭＳ Ｐゴシック"/>
        <family val="3"/>
        <charset val="128"/>
      </rPr>
      <t>3</t>
    </r>
    <r>
      <rPr>
        <sz val="9"/>
        <rFont val="ＭＳ Ｐゴシック"/>
        <family val="3"/>
        <charset val="128"/>
      </rPr>
      <t>）</t>
    </r>
    <rPh sb="0" eb="2">
      <t>キボ</t>
    </rPh>
    <phoneticPr fontId="8"/>
  </si>
  <si>
    <r>
      <t>m</t>
    </r>
    <r>
      <rPr>
        <vertAlign val="superscript"/>
        <sz val="9"/>
        <rFont val="ＭＳ Ｐ明朝"/>
        <family val="1"/>
        <charset val="128"/>
      </rPr>
      <t>3</t>
    </r>
    <phoneticPr fontId="8"/>
  </si>
  <si>
    <t>水道直結型スプリンクラー</t>
    <rPh sb="0" eb="2">
      <t>スイドウ</t>
    </rPh>
    <rPh sb="2" eb="5">
      <t>チョッケツガタ</t>
    </rPh>
    <phoneticPr fontId="8"/>
  </si>
  <si>
    <t>［水道直結スプリンクラー］</t>
    <rPh sb="1" eb="3">
      <t>スイドウ</t>
    </rPh>
    <rPh sb="3" eb="5">
      <t>チョッケツ</t>
    </rPh>
    <phoneticPr fontId="8"/>
  </si>
  <si>
    <t>水道直結型ｽﾌﾟﾘﾝｸﾗｰ</t>
    <rPh sb="0" eb="5">
      <t>スイドウチョッケツガタ</t>
    </rPh>
    <phoneticPr fontId="8"/>
  </si>
  <si>
    <t>胴縁計</t>
    <rPh sb="0" eb="1">
      <t>ドウ</t>
    </rPh>
    <rPh sb="1" eb="2">
      <t>フチ</t>
    </rPh>
    <rPh sb="2" eb="3">
      <t>ケイ</t>
    </rPh>
    <phoneticPr fontId="8"/>
  </si>
  <si>
    <t>標準量</t>
    <rPh sb="0" eb="2">
      <t>ヒョウジュン</t>
    </rPh>
    <rPh sb="2" eb="3">
      <t>リョウ</t>
    </rPh>
    <phoneticPr fontId="8"/>
  </si>
  <si>
    <t>外部仕上</t>
    <rPh sb="0" eb="2">
      <t>ガイブ</t>
    </rPh>
    <rPh sb="2" eb="4">
      <t>シアゲ</t>
    </rPh>
    <phoneticPr fontId="8"/>
  </si>
  <si>
    <t>内部仕上</t>
    <rPh sb="0" eb="1">
      <t>ナイ</t>
    </rPh>
    <rPh sb="1" eb="2">
      <t>ブ</t>
    </rPh>
    <rPh sb="2" eb="4">
      <t>シア</t>
    </rPh>
    <phoneticPr fontId="8"/>
  </si>
  <si>
    <t>[標準量]</t>
    <rPh sb="1" eb="3">
      <t>ヒョウジュン</t>
    </rPh>
    <rPh sb="3" eb="4">
      <t>リョウ</t>
    </rPh>
    <phoneticPr fontId="8"/>
  </si>
  <si>
    <t>Ｓ600型</t>
    <rPh sb="4" eb="5">
      <t>ガタ</t>
    </rPh>
    <phoneticPr fontId="8"/>
  </si>
  <si>
    <t>Ｓ1000型</t>
    <rPh sb="5" eb="6">
      <t>ガタ</t>
    </rPh>
    <phoneticPr fontId="8"/>
  </si>
  <si>
    <t>Ｓ６００型</t>
    <rPh sb="4" eb="5">
      <t>ガタ</t>
    </rPh>
    <phoneticPr fontId="8"/>
  </si>
  <si>
    <t>Ｓ１０００型</t>
    <rPh sb="5" eb="6">
      <t>ガタ</t>
    </rPh>
    <phoneticPr fontId="8"/>
  </si>
  <si>
    <t>［Ｓ６００型］</t>
    <rPh sb="5" eb="6">
      <t>ガタ</t>
    </rPh>
    <phoneticPr fontId="8"/>
  </si>
  <si>
    <t>［Ｓ１０００型］</t>
    <rPh sb="6" eb="7">
      <t>ガタ</t>
    </rPh>
    <phoneticPr fontId="8"/>
  </si>
  <si>
    <t>エスカレーター・Ｓ６００型・仕上げ仕様</t>
    <rPh sb="12" eb="13">
      <t>ガタ</t>
    </rPh>
    <rPh sb="14" eb="16">
      <t>シア</t>
    </rPh>
    <rPh sb="17" eb="19">
      <t>シヨウ</t>
    </rPh>
    <phoneticPr fontId="8"/>
  </si>
  <si>
    <t>エスカレーター・Ｓ６００型・階高</t>
    <rPh sb="12" eb="13">
      <t>ガタ</t>
    </rPh>
    <rPh sb="14" eb="16">
      <t>カイダカ</t>
    </rPh>
    <phoneticPr fontId="8"/>
  </si>
  <si>
    <t>エスカレーター・Ｓ１０００型・仕上げ仕様</t>
    <rPh sb="13" eb="14">
      <t>ガタ</t>
    </rPh>
    <rPh sb="15" eb="17">
      <t>シア</t>
    </rPh>
    <rPh sb="18" eb="20">
      <t>シヨウ</t>
    </rPh>
    <phoneticPr fontId="8"/>
  </si>
  <si>
    <t>エスカレーター・Ｓ１０００型・階高</t>
    <rPh sb="13" eb="14">
      <t>ガタ</t>
    </rPh>
    <rPh sb="15" eb="17">
      <t>カイダカ</t>
    </rPh>
    <phoneticPr fontId="8"/>
  </si>
  <si>
    <t>200kg：３人乗り程度</t>
    <rPh sb="7" eb="8">
      <t>ニン</t>
    </rPh>
    <rPh sb="8" eb="9">
      <t>ノ</t>
    </rPh>
    <rPh sb="10" eb="12">
      <t>テイド</t>
    </rPh>
    <phoneticPr fontId="8"/>
  </si>
  <si>
    <t>150kg：２人乗り程度</t>
    <rPh sb="7" eb="8">
      <t>ニン</t>
    </rPh>
    <rPh sb="8" eb="9">
      <t>ノ</t>
    </rPh>
    <rPh sb="10" eb="12">
      <t>テイド</t>
    </rPh>
    <phoneticPr fontId="8"/>
  </si>
  <si>
    <t>(延長ｍ)</t>
    <rPh sb="1" eb="2">
      <t>ノベ</t>
    </rPh>
    <rPh sb="2" eb="3">
      <t>ナガ</t>
    </rPh>
    <phoneticPr fontId="8"/>
  </si>
  <si>
    <t>CB</t>
    <phoneticPr fontId="8"/>
  </si>
  <si>
    <t>SRC
・鉄骨</t>
    <rPh sb="5" eb="7">
      <t>テッコツ</t>
    </rPh>
    <phoneticPr fontId="8"/>
  </si>
  <si>
    <t>SRC
・鉄筋</t>
    <rPh sb="5" eb="7">
      <t>テッキン</t>
    </rPh>
    <phoneticPr fontId="8"/>
  </si>
  <si>
    <t>SRC
・コンクリ</t>
    <phoneticPr fontId="8"/>
  </si>
  <si>
    <t>RC
・鉄筋</t>
    <rPh sb="4" eb="6">
      <t>テッキン</t>
    </rPh>
    <phoneticPr fontId="8"/>
  </si>
  <si>
    <t>RC
・コンクリ</t>
    <phoneticPr fontId="8"/>
  </si>
  <si>
    <t>S
・鉄骨</t>
    <rPh sb="3" eb="5">
      <t>テッコツ</t>
    </rPh>
    <phoneticPr fontId="8"/>
  </si>
  <si>
    <t>屋根構造
・勾配</t>
    <rPh sb="0" eb="2">
      <t>ヤネ</t>
    </rPh>
    <rPh sb="2" eb="4">
      <t>コウゾウ</t>
    </rPh>
    <rPh sb="6" eb="8">
      <t>コウバイ</t>
    </rPh>
    <phoneticPr fontId="8"/>
  </si>
  <si>
    <t>外周壁
骨組</t>
    <rPh sb="0" eb="2">
      <t>ガイシュウ</t>
    </rPh>
    <rPh sb="2" eb="3">
      <t>ヘキ</t>
    </rPh>
    <rPh sb="4" eb="6">
      <t>ホネグ</t>
    </rPh>
    <phoneticPr fontId="8"/>
  </si>
  <si>
    <t>間仕切
骨組</t>
    <rPh sb="0" eb="3">
      <t>マジキ</t>
    </rPh>
    <rPh sb="4" eb="6">
      <t>ホネグ</t>
    </rPh>
    <phoneticPr fontId="8"/>
  </si>
  <si>
    <t>屋根仕上
・勾配屋根</t>
    <rPh sb="0" eb="2">
      <t>ヤネ</t>
    </rPh>
    <rPh sb="2" eb="4">
      <t>シアゲ</t>
    </rPh>
    <rPh sb="6" eb="8">
      <t>コウバイ</t>
    </rPh>
    <rPh sb="8" eb="10">
      <t>ヤネ</t>
    </rPh>
    <phoneticPr fontId="8"/>
  </si>
  <si>
    <t>給湯管・程度</t>
    <rPh sb="0" eb="2">
      <t>キュウトウ</t>
    </rPh>
    <rPh sb="2" eb="3">
      <t>クダ</t>
    </rPh>
    <rPh sb="4" eb="6">
      <t>テイド</t>
    </rPh>
    <phoneticPr fontId="8"/>
  </si>
  <si>
    <t>給湯管</t>
    <rPh sb="0" eb="2">
      <t>キュウトウ</t>
    </rPh>
    <rPh sb="2" eb="3">
      <t>カン</t>
    </rPh>
    <phoneticPr fontId="8"/>
  </si>
  <si>
    <t>給湯管</t>
    <rPh sb="0" eb="2">
      <t>キュウトウ</t>
    </rPh>
    <rPh sb="2" eb="3">
      <t>カン</t>
    </rPh>
    <phoneticPr fontId="8"/>
  </si>
  <si>
    <t>［給湯管］</t>
    <rPh sb="1" eb="3">
      <t>キュウトウ</t>
    </rPh>
    <rPh sb="3" eb="4">
      <t>カン</t>
    </rPh>
    <phoneticPr fontId="8"/>
  </si>
  <si>
    <t>追焚機能</t>
    <rPh sb="2" eb="4">
      <t>キノウ</t>
    </rPh>
    <phoneticPr fontId="17"/>
  </si>
  <si>
    <t>箇所/100㎡</t>
    <rPh sb="0" eb="2">
      <t>カショ</t>
    </rPh>
    <phoneticPr fontId="8"/>
  </si>
  <si>
    <t>100㎡当り</t>
    <rPh sb="4" eb="5">
      <t>ア</t>
    </rPh>
    <phoneticPr fontId="8"/>
  </si>
  <si>
    <t>能力換算</t>
    <rPh sb="0" eb="2">
      <t>ノウリョク</t>
    </rPh>
    <rPh sb="2" eb="4">
      <t>カンサン</t>
    </rPh>
    <phoneticPr fontId="8"/>
  </si>
  <si>
    <t>号数</t>
    <rPh sb="0" eb="2">
      <t>ゴウスウ</t>
    </rPh>
    <phoneticPr fontId="8"/>
  </si>
  <si>
    <t>Kcal/時</t>
    <rPh sb="5" eb="6">
      <t>ジ</t>
    </rPh>
    <phoneticPr fontId="8"/>
  </si>
  <si>
    <t>ｋW</t>
    <phoneticPr fontId="8"/>
  </si>
  <si>
    <t>換算値</t>
    <rPh sb="0" eb="2">
      <t>カンサン</t>
    </rPh>
    <rPh sb="2" eb="3">
      <t>チ</t>
    </rPh>
    <phoneticPr fontId="8"/>
  </si>
  <si>
    <t>給湯器</t>
    <rPh sb="0" eb="3">
      <t>キュウトウキ</t>
    </rPh>
    <phoneticPr fontId="17"/>
  </si>
  <si>
    <t>kW/100㎡</t>
    <phoneticPr fontId="8"/>
  </si>
  <si>
    <t>(ｋW)</t>
    <phoneticPr fontId="8"/>
  </si>
  <si>
    <t>浴室換気
乾燥機</t>
    <rPh sb="0" eb="2">
      <t>ヨクシツ</t>
    </rPh>
    <rPh sb="2" eb="4">
      <t>カンキ</t>
    </rPh>
    <rPh sb="5" eb="8">
      <t>カンソウキ</t>
    </rPh>
    <phoneticPr fontId="8"/>
  </si>
  <si>
    <t>システム
キッチン</t>
    <phoneticPr fontId="8"/>
  </si>
  <si>
    <t>ミ　　ニ
システム
キッチン</t>
    <phoneticPr fontId="8"/>
  </si>
  <si>
    <t>※評点項目名称の頭にある記号の意味は、「◆＝設定済の項目のため、点数チェック不要」、「◇＝自由作成のため点数チェック必要」です。</t>
    <rPh sb="1" eb="3">
      <t>ヒョウテン</t>
    </rPh>
    <rPh sb="3" eb="5">
      <t>コウモク</t>
    </rPh>
    <rPh sb="5" eb="7">
      <t>メイショウ</t>
    </rPh>
    <rPh sb="8" eb="9">
      <t>アタマ</t>
    </rPh>
    <rPh sb="12" eb="14">
      <t>キゴウ</t>
    </rPh>
    <rPh sb="15" eb="17">
      <t>イミ</t>
    </rPh>
    <rPh sb="22" eb="24">
      <t>セッテイ</t>
    </rPh>
    <rPh sb="24" eb="25">
      <t>スミ</t>
    </rPh>
    <rPh sb="26" eb="28">
      <t>コウモク</t>
    </rPh>
    <rPh sb="32" eb="34">
      <t>テンスウ</t>
    </rPh>
    <rPh sb="38" eb="40">
      <t>フヨウ</t>
    </rPh>
    <rPh sb="45" eb="47">
      <t>ジユウ</t>
    </rPh>
    <rPh sb="47" eb="49">
      <t>サクセイ</t>
    </rPh>
    <rPh sb="52" eb="54">
      <t>テンスウ</t>
    </rPh>
    <rPh sb="58" eb="60">
      <t>ヒツヨウ</t>
    </rPh>
    <phoneticPr fontId="11"/>
  </si>
  <si>
    <t>中央熱源
冷　　房</t>
    <rPh sb="0" eb="2">
      <t>チュウオウ</t>
    </rPh>
    <rPh sb="2" eb="4">
      <t>ネツゲン</t>
    </rPh>
    <rPh sb="5" eb="6">
      <t>ヒヤ</t>
    </rPh>
    <rPh sb="8" eb="9">
      <t>フサ</t>
    </rPh>
    <phoneticPr fontId="8"/>
  </si>
  <si>
    <t>中央熱源
直接暖房</t>
    <rPh sb="0" eb="2">
      <t>チュウオウ</t>
    </rPh>
    <rPh sb="2" eb="4">
      <t>ネツゲン</t>
    </rPh>
    <rPh sb="5" eb="7">
      <t>チョクセツ</t>
    </rPh>
    <rPh sb="7" eb="9">
      <t>ダンボウ</t>
    </rPh>
    <phoneticPr fontId="8"/>
  </si>
  <si>
    <t>加算点</t>
    <rPh sb="0" eb="2">
      <t>カサン</t>
    </rPh>
    <rPh sb="2" eb="3">
      <t>テン</t>
    </rPh>
    <phoneticPr fontId="8"/>
  </si>
  <si>
    <t>※基準上は設定はないが、解説より加算を設定する</t>
    <rPh sb="1" eb="3">
      <t>キジュン</t>
    </rPh>
    <rPh sb="3" eb="4">
      <t>ジョウ</t>
    </rPh>
    <rPh sb="5" eb="7">
      <t>セッテイ</t>
    </rPh>
    <rPh sb="12" eb="14">
      <t>カイセツ</t>
    </rPh>
    <rPh sb="16" eb="18">
      <t>カサン</t>
    </rPh>
    <rPh sb="19" eb="21">
      <t>セッテイ</t>
    </rPh>
    <phoneticPr fontId="8"/>
  </si>
  <si>
    <t>※非常用仕様加算</t>
    <rPh sb="1" eb="3">
      <t>ヒジョウ</t>
    </rPh>
    <rPh sb="3" eb="4">
      <t>ヨウ</t>
    </rPh>
    <rPh sb="4" eb="6">
      <t>シヨウ</t>
    </rPh>
    <rPh sb="6" eb="8">
      <t>カサン</t>
    </rPh>
    <phoneticPr fontId="8"/>
  </si>
  <si>
    <t>台</t>
    <rPh sb="0" eb="1">
      <t>ダイ</t>
    </rPh>
    <phoneticPr fontId="8"/>
  </si>
  <si>
    <t>機械換気</t>
  </si>
  <si>
    <t>自然換気</t>
  </si>
  <si>
    <t>延床
㎡</t>
    <rPh sb="0" eb="1">
      <t>ノベ</t>
    </rPh>
    <rPh sb="1" eb="2">
      <t>ユカ</t>
    </rPh>
    <phoneticPr fontId="17"/>
  </si>
  <si>
    <t>口</t>
    <phoneticPr fontId="17"/>
  </si>
  <si>
    <t>1組ごとの使用口数が3口以上の場合は、2口の評点数に、(2口－1口）の評点数（分岐以降の配管・使用口の評点に相当）×口数を加えた評点数とする</t>
    <rPh sb="64" eb="66">
      <t>ヒョウテン</t>
    </rPh>
    <rPh sb="66" eb="67">
      <t>スウ</t>
    </rPh>
    <phoneticPr fontId="17"/>
  </si>
  <si>
    <t>一組当り
使用口数</t>
    <rPh sb="0" eb="1">
      <t>ヒト</t>
    </rPh>
    <rPh sb="1" eb="2">
      <t>クミ</t>
    </rPh>
    <rPh sb="2" eb="3">
      <t>ア</t>
    </rPh>
    <rPh sb="5" eb="7">
      <t>シヨウ</t>
    </rPh>
    <rPh sb="7" eb="8">
      <t>クチ</t>
    </rPh>
    <rPh sb="8" eb="9">
      <t>スウ</t>
    </rPh>
    <phoneticPr fontId="17"/>
  </si>
  <si>
    <t>ホームエレベーター</t>
    <phoneticPr fontId="17"/>
  </si>
  <si>
    <t>換気扇・換気口</t>
    <rPh sb="4" eb="6">
      <t>カンキ</t>
    </rPh>
    <rPh sb="6" eb="7">
      <t>クチ</t>
    </rPh>
    <phoneticPr fontId="17"/>
  </si>
  <si>
    <t>床暖房設備</t>
    <phoneticPr fontId="17"/>
  </si>
  <si>
    <t>空調設備(ビルトイン方式)</t>
    <phoneticPr fontId="17"/>
  </si>
  <si>
    <t>レンジフードファン</t>
    <phoneticPr fontId="17"/>
  </si>
  <si>
    <t>システムキッチン</t>
    <phoneticPr fontId="17"/>
  </si>
  <si>
    <t>ミニシステムキッチン</t>
    <phoneticPr fontId="17"/>
  </si>
  <si>
    <t>流し台(ｽﾃﾝﾚｽ張)</t>
    <phoneticPr fontId="17"/>
  </si>
  <si>
    <t>ユニットシャワー</t>
    <phoneticPr fontId="17"/>
  </si>
  <si>
    <t>ハーフユニットバス</t>
    <phoneticPr fontId="17"/>
  </si>
  <si>
    <t>ユニットバス</t>
    <phoneticPr fontId="17"/>
  </si>
  <si>
    <t>洗面化粧台</t>
    <phoneticPr fontId="17"/>
  </si>
  <si>
    <t>洗面器</t>
    <phoneticPr fontId="17"/>
  </si>
  <si>
    <t>便器</t>
    <phoneticPr fontId="17"/>
  </si>
  <si>
    <t>使用口</t>
    <phoneticPr fontId="17"/>
  </si>
  <si>
    <t>ドアホン</t>
    <phoneticPr fontId="17"/>
  </si>
  <si>
    <t>排水管</t>
    <rPh sb="2" eb="3">
      <t>カン</t>
    </rPh>
    <phoneticPr fontId="17"/>
  </si>
  <si>
    <t>給湯管</t>
    <phoneticPr fontId="17"/>
  </si>
  <si>
    <t>給水管</t>
    <phoneticPr fontId="17"/>
  </si>
  <si>
    <t>鋼管</t>
    <phoneticPr fontId="17"/>
  </si>
  <si>
    <t>塩ビ管</t>
    <phoneticPr fontId="17"/>
  </si>
  <si>
    <t>照明設備</t>
    <rPh sb="2" eb="4">
      <t>セツビ</t>
    </rPh>
    <phoneticPr fontId="17"/>
  </si>
  <si>
    <t>電気設備</t>
    <phoneticPr fontId="17"/>
  </si>
  <si>
    <t>ガス設備</t>
    <rPh sb="2" eb="4">
      <t>セツビ</t>
    </rPh>
    <phoneticPr fontId="17"/>
  </si>
  <si>
    <t>給水・
給湯設備</t>
    <phoneticPr fontId="17"/>
  </si>
  <si>
    <t>排水設備</t>
    <rPh sb="0" eb="2">
      <t>ハイスイ</t>
    </rPh>
    <rPh sb="2" eb="4">
      <t>セツビ</t>
    </rPh>
    <phoneticPr fontId="17"/>
  </si>
  <si>
    <t>電気設備</t>
    <rPh sb="0" eb="2">
      <t>デンキ</t>
    </rPh>
    <rPh sb="2" eb="4">
      <t>セツビ</t>
    </rPh>
    <phoneticPr fontId="17"/>
  </si>
  <si>
    <t>衛生設備</t>
    <phoneticPr fontId="17"/>
  </si>
  <si>
    <t>冷暖房設備</t>
    <phoneticPr fontId="17"/>
  </si>
  <si>
    <t>換気設備</t>
    <phoneticPr fontId="17"/>
  </si>
  <si>
    <t>運搬設備</t>
    <phoneticPr fontId="17"/>
  </si>
  <si>
    <t>（補正はシートには組み込んでありませんので必要に応じ評価基準を参照して適宜入力してください）</t>
    <phoneticPr fontId="8"/>
  </si>
  <si>
    <t>地上部分の階層数（塔屋除く）
※基準解説より13階で上限止</t>
    <rPh sb="0" eb="2">
      <t>チジョウ</t>
    </rPh>
    <rPh sb="2" eb="3">
      <t>ブ</t>
    </rPh>
    <rPh sb="3" eb="4">
      <t>ブン</t>
    </rPh>
    <rPh sb="5" eb="8">
      <t>カイソウスウ</t>
    </rPh>
    <rPh sb="9" eb="10">
      <t>トウ</t>
    </rPh>
    <rPh sb="10" eb="11">
      <t>ヤ</t>
    </rPh>
    <rPh sb="11" eb="12">
      <t>ノゾ</t>
    </rPh>
    <rPh sb="16" eb="18">
      <t>キジュン</t>
    </rPh>
    <rPh sb="18" eb="20">
      <t>カイセツ</t>
    </rPh>
    <rPh sb="24" eb="25">
      <t>カイ</t>
    </rPh>
    <rPh sb="26" eb="28">
      <t>ジョウゲン</t>
    </rPh>
    <rPh sb="28" eb="29">
      <t>ド</t>
    </rPh>
    <phoneticPr fontId="20"/>
  </si>
  <si>
    <t>主要な柱間の距離。間柱は無視、RCで柱のない場合、補正しない
RCは縦横の平均、Sは屋根の傾斜と直交する方向で判定</t>
    <rPh sb="0" eb="2">
      <t>シュヨウ</t>
    </rPh>
    <rPh sb="3" eb="4">
      <t>ハシラ</t>
    </rPh>
    <rPh sb="4" eb="5">
      <t>カン</t>
    </rPh>
    <rPh sb="6" eb="8">
      <t>キョリ</t>
    </rPh>
    <rPh sb="9" eb="11">
      <t>マバシラ</t>
    </rPh>
    <rPh sb="12" eb="14">
      <t>ムシ</t>
    </rPh>
    <rPh sb="18" eb="19">
      <t>ハシラ</t>
    </rPh>
    <rPh sb="22" eb="24">
      <t>バアイ</t>
    </rPh>
    <rPh sb="25" eb="27">
      <t>ホセイ</t>
    </rPh>
    <rPh sb="34" eb="36">
      <t>タテヨコ</t>
    </rPh>
    <rPh sb="37" eb="39">
      <t>ヘイキン</t>
    </rPh>
    <rPh sb="42" eb="44">
      <t>ヤネ</t>
    </rPh>
    <rPh sb="45" eb="47">
      <t>ケイシャ</t>
    </rPh>
    <rPh sb="48" eb="50">
      <t>チョッコウ</t>
    </rPh>
    <rPh sb="52" eb="54">
      <t>ホウコウ</t>
    </rPh>
    <rPh sb="55" eb="57">
      <t>ハンテイ</t>
    </rPh>
    <phoneticPr fontId="20"/>
  </si>
  <si>
    <t>ＲＣ造の延床面積１㎡当たりＲＣ壁面積により補正</t>
    <rPh sb="2" eb="3">
      <t>ゾウ</t>
    </rPh>
    <rPh sb="4" eb="6">
      <t>ノベユカ</t>
    </rPh>
    <rPh sb="6" eb="8">
      <t>メンセキ</t>
    </rPh>
    <rPh sb="10" eb="11">
      <t>ア</t>
    </rPh>
    <rPh sb="15" eb="16">
      <t>カベ</t>
    </rPh>
    <rPh sb="16" eb="18">
      <t>メンセキ</t>
    </rPh>
    <rPh sb="21" eb="23">
      <t>ホセイ</t>
    </rPh>
    <phoneticPr fontId="20"/>
  </si>
  <si>
    <t>※壁面積の大小に係る、壁面積の推計計算</t>
    <rPh sb="1" eb="2">
      <t>カベ</t>
    </rPh>
    <rPh sb="2" eb="4">
      <t>メンセキ</t>
    </rPh>
    <rPh sb="5" eb="7">
      <t>ダイショウ</t>
    </rPh>
    <rPh sb="8" eb="9">
      <t>カカ</t>
    </rPh>
    <rPh sb="11" eb="12">
      <t>カベ</t>
    </rPh>
    <rPh sb="12" eb="14">
      <t>メンセキ</t>
    </rPh>
    <rPh sb="15" eb="17">
      <t>スイケイ</t>
    </rPh>
    <rPh sb="17" eb="19">
      <t>ケイサン</t>
    </rPh>
    <phoneticPr fontId="20"/>
  </si>
  <si>
    <t>外部仕上面積</t>
    <rPh sb="0" eb="2">
      <t>ガイブ</t>
    </rPh>
    <rPh sb="2" eb="4">
      <t>シアゲ</t>
    </rPh>
    <rPh sb="4" eb="6">
      <t>メンセキ</t>
    </rPh>
    <phoneticPr fontId="20"/>
  </si>
  <si>
    <t>＋</t>
    <phoneticPr fontId="20"/>
  </si>
  <si>
    <t>内部仕上面積</t>
    <rPh sb="0" eb="2">
      <t>ナイブ</t>
    </rPh>
    <rPh sb="2" eb="4">
      <t>シアゲ</t>
    </rPh>
    <rPh sb="4" eb="6">
      <t>メンセキ</t>
    </rPh>
    <phoneticPr fontId="20"/>
  </si>
  <si>
    <t>-</t>
    <phoneticPr fontId="20"/>
  </si>
  <si>
    <t>間仕切骨組面積</t>
    <rPh sb="0" eb="3">
      <t>マジキリ</t>
    </rPh>
    <rPh sb="3" eb="5">
      <t>ホネグミ</t>
    </rPh>
    <rPh sb="5" eb="7">
      <t>メンセキ</t>
    </rPh>
    <phoneticPr fontId="20"/>
  </si>
  <si>
    <t>)÷</t>
    <phoneticPr fontId="20"/>
  </si>
  <si>
    <t>}×</t>
    <phoneticPr fontId="20"/>
  </si>
  <si>
    <t>補正標準の壁面積</t>
    <rPh sb="0" eb="2">
      <t>ホセイ</t>
    </rPh>
    <rPh sb="2" eb="4">
      <t>ヒョウジュン</t>
    </rPh>
    <rPh sb="5" eb="6">
      <t>カベ</t>
    </rPh>
    <rPh sb="6" eb="8">
      <t>メンセキ</t>
    </rPh>
    <phoneticPr fontId="20"/>
  </si>
  <si>
    <t>外部仕上標準量</t>
    <rPh sb="0" eb="2">
      <t>ガイブ</t>
    </rPh>
    <rPh sb="2" eb="4">
      <t>シアゲ</t>
    </rPh>
    <rPh sb="4" eb="6">
      <t>ヒョウジュン</t>
    </rPh>
    <rPh sb="6" eb="7">
      <t>リョウ</t>
    </rPh>
    <phoneticPr fontId="20"/>
  </si>
  <si>
    <t>内部仕上標準量</t>
    <rPh sb="0" eb="2">
      <t>ナイブ</t>
    </rPh>
    <rPh sb="2" eb="4">
      <t>シアゲ</t>
    </rPh>
    <rPh sb="4" eb="6">
      <t>ヒョウジュン</t>
    </rPh>
    <rPh sb="6" eb="7">
      <t>リョウ</t>
    </rPh>
    <phoneticPr fontId="20"/>
  </si>
  <si>
    <t>間仕切骨組標準量</t>
    <rPh sb="0" eb="3">
      <t>マジキリ</t>
    </rPh>
    <rPh sb="3" eb="5">
      <t>ホネグミ</t>
    </rPh>
    <rPh sb="5" eb="7">
      <t>ヒョウジュン</t>
    </rPh>
    <rPh sb="7" eb="8">
      <t>リョウ</t>
    </rPh>
    <phoneticPr fontId="20"/>
  </si>
  <si>
    <t>＝</t>
    <phoneticPr fontId="20"/>
  </si>
  <si>
    <t>㎡/㎡</t>
    <phoneticPr fontId="8"/>
  </si>
  <si>
    <t>}</t>
    <phoneticPr fontId="20"/>
  </si>
  <si>
    <t>壁体面積</t>
    <rPh sb="0" eb="2">
      <t>ヘキタイ</t>
    </rPh>
    <rPh sb="2" eb="4">
      <t>メンセキ</t>
    </rPh>
    <phoneticPr fontId="20"/>
  </si>
  <si>
    <t>÷ { (</t>
    <phoneticPr fontId="20"/>
  </si>
  <si>
    <t>{ (</t>
    <phoneticPr fontId="20"/>
  </si>
  <si>
    <t>{ (</t>
    <phoneticPr fontId="20"/>
  </si>
  <si>
    <t>中古の鉄骨等を使用した場合に減点する。
３行目の自由入力分は、移築で経年減点相当の減点補正をする場合等に使います</t>
    <rPh sb="0" eb="2">
      <t>チュウコ</t>
    </rPh>
    <rPh sb="3" eb="5">
      <t>テッコツ</t>
    </rPh>
    <rPh sb="5" eb="6">
      <t>トウ</t>
    </rPh>
    <rPh sb="7" eb="9">
      <t>シヨウ</t>
    </rPh>
    <rPh sb="11" eb="13">
      <t>バアイ</t>
    </rPh>
    <rPh sb="14" eb="16">
      <t>ゲンテン</t>
    </rPh>
    <rPh sb="21" eb="23">
      <t>ギョウメ</t>
    </rPh>
    <rPh sb="24" eb="26">
      <t>ジユウ</t>
    </rPh>
    <rPh sb="26" eb="28">
      <t>ニュウリョク</t>
    </rPh>
    <rPh sb="28" eb="29">
      <t>ブン</t>
    </rPh>
    <rPh sb="31" eb="33">
      <t>イチク</t>
    </rPh>
    <rPh sb="34" eb="36">
      <t>ケイネン</t>
    </rPh>
    <rPh sb="36" eb="38">
      <t>ゲンテン</t>
    </rPh>
    <rPh sb="38" eb="40">
      <t>ソウトウ</t>
    </rPh>
    <rPh sb="41" eb="43">
      <t>ゲンテン</t>
    </rPh>
    <rPh sb="43" eb="45">
      <t>ホセイ</t>
    </rPh>
    <rPh sb="48" eb="50">
      <t>バアイ</t>
    </rPh>
    <rPh sb="50" eb="51">
      <t>トウ</t>
    </rPh>
    <rPh sb="52" eb="53">
      <t>ツカ</t>
    </rPh>
    <phoneticPr fontId="20"/>
  </si>
  <si>
    <t>ブロック評点数</t>
    <rPh sb="4" eb="6">
      <t>ヒョウテン</t>
    </rPh>
    <phoneticPr fontId="8"/>
  </si>
  <si>
    <t>壁厚</t>
    <rPh sb="0" eb="2">
      <t>カベアツ</t>
    </rPh>
    <phoneticPr fontId="20"/>
  </si>
  <si>
    <t>-</t>
    <phoneticPr fontId="20"/>
  </si>
  <si>
    <t>CB・壁厚</t>
    <rPh sb="3" eb="5">
      <t>カベアツ</t>
    </rPh>
    <phoneticPr fontId="8"/>
  </si>
  <si>
    <t>ｺﾝｸ
ﾘｰﾄ
ﾌﾛｯｸ</t>
    <phoneticPr fontId="20"/>
  </si>
  <si>
    <t>鉄筋
ｺﾝｸ
ﾘｰﾄ</t>
    <rPh sb="0" eb="2">
      <t>テッキン</t>
    </rPh>
    <phoneticPr fontId="8"/>
  </si>
  <si>
    <t>CB
基礎</t>
    <rPh sb="3" eb="5">
      <t>キソ</t>
    </rPh>
    <phoneticPr fontId="8"/>
  </si>
  <si>
    <t>RC
基礎</t>
    <rPh sb="3" eb="5">
      <t>キソ</t>
    </rPh>
    <phoneticPr fontId="8"/>
  </si>
  <si>
    <t>独立
基礎</t>
    <rPh sb="3" eb="5">
      <t>キソ</t>
    </rPh>
    <phoneticPr fontId="8"/>
  </si>
  <si>
    <t>コンクリートブロック</t>
    <phoneticPr fontId="17"/>
  </si>
  <si>
    <t>普通</t>
    <rPh sb="0" eb="2">
      <t>フツウ</t>
    </rPh>
    <phoneticPr fontId="8"/>
  </si>
  <si>
    <t>(口数)</t>
    <rPh sb="1" eb="2">
      <t>クチ</t>
    </rPh>
    <rPh sb="2" eb="3">
      <t>スウ</t>
    </rPh>
    <phoneticPr fontId="8"/>
  </si>
  <si>
    <t>他用途の基準を流用</t>
    <rPh sb="0" eb="1">
      <t>ホカ</t>
    </rPh>
    <rPh sb="1" eb="3">
      <t>ヨウト</t>
    </rPh>
    <rPh sb="4" eb="6">
      <t>キジュン</t>
    </rPh>
    <rPh sb="7" eb="9">
      <t>リュウヨウ</t>
    </rPh>
    <phoneticPr fontId="8"/>
  </si>
  <si>
    <t>※LGSのみ設定あり、配管なしの評点ある給湯器を使用する場合に併せて評点付設するためそのまま転用</t>
    <rPh sb="6" eb="8">
      <t>セッテイ</t>
    </rPh>
    <rPh sb="11" eb="13">
      <t>ハイカン</t>
    </rPh>
    <rPh sb="16" eb="18">
      <t>ヒョウテン</t>
    </rPh>
    <rPh sb="20" eb="22">
      <t>キュウトウ</t>
    </rPh>
    <rPh sb="22" eb="23">
      <t>キ</t>
    </rPh>
    <rPh sb="24" eb="26">
      <t>シヨウ</t>
    </rPh>
    <rPh sb="28" eb="30">
      <t>バアイ</t>
    </rPh>
    <rPh sb="31" eb="32">
      <t>アワ</t>
    </rPh>
    <rPh sb="34" eb="36">
      <t>ヒョウテン</t>
    </rPh>
    <rPh sb="36" eb="38">
      <t>フセツ</t>
    </rPh>
    <rPh sb="46" eb="48">
      <t>テンヨウ</t>
    </rPh>
    <phoneticPr fontId="8"/>
  </si>
  <si>
    <t xml:space="preserve">㎡
</t>
    <phoneticPr fontId="8"/>
  </si>
  <si>
    <t xml:space="preserve">ｋW
</t>
    <phoneticPr fontId="8"/>
  </si>
  <si>
    <t>ﾃﾞｯｷﾌﾟﾚｰﾄ1.6㎜厚（ｔ）</t>
    <phoneticPr fontId="20"/>
  </si>
  <si>
    <t>※給湯能力を、以下のうちいずれか一つの単位で入力(２つ以上入力すると上にあるものが使われます）</t>
    <rPh sb="1" eb="3">
      <t>キュウトウ</t>
    </rPh>
    <rPh sb="3" eb="5">
      <t>ノウリョク</t>
    </rPh>
    <rPh sb="7" eb="9">
      <t>イカ</t>
    </rPh>
    <rPh sb="16" eb="17">
      <t>ヒト</t>
    </rPh>
    <rPh sb="19" eb="21">
      <t>タンイ</t>
    </rPh>
    <rPh sb="22" eb="24">
      <t>ニュウリョク</t>
    </rPh>
    <rPh sb="27" eb="29">
      <t>イジョウ</t>
    </rPh>
    <rPh sb="29" eb="31">
      <t>ニュウリョク</t>
    </rPh>
    <rPh sb="34" eb="35">
      <t>ウエ</t>
    </rPh>
    <rPh sb="41" eb="42">
      <t>ツカ</t>
    </rPh>
    <phoneticPr fontId="8"/>
  </si>
  <si>
    <t>空調設備</t>
    <rPh sb="0" eb="2">
      <t>クウチョウ</t>
    </rPh>
    <rPh sb="2" eb="4">
      <t>セツビ</t>
    </rPh>
    <phoneticPr fontId="8"/>
  </si>
  <si>
    <t>防災設備</t>
    <rPh sb="0" eb="2">
      <t>ボウサイ</t>
    </rPh>
    <rPh sb="2" eb="4">
      <t>セツビ</t>
    </rPh>
    <phoneticPr fontId="8"/>
  </si>
  <si>
    <t>+</t>
    <phoneticPr fontId="8"/>
  </si>
  <si>
    <t>気泡コンクリート板150㎜厚</t>
  </si>
  <si>
    <t>気泡コンクリート板125㎜厚</t>
  </si>
  <si>
    <t>気泡コンクリート板100㎜厚</t>
  </si>
  <si>
    <t>気泡コンクリート板75㎜厚</t>
  </si>
  <si>
    <t>プレキャストコンクリート板100㎜厚</t>
  </si>
  <si>
    <t>プレキャストコンクリート板40㎜厚(リブ付)</t>
  </si>
  <si>
    <t>デッキプレート1.6㎜厚</t>
  </si>
  <si>
    <t>デッキプレート1.2㎜厚</t>
  </si>
  <si>
    <t>デッキプレート1.0㎜厚</t>
  </si>
  <si>
    <t>フラットデッキ1.2㎜厚</t>
  </si>
  <si>
    <t>フラットデッキ0.8㎜厚</t>
  </si>
  <si>
    <t>勾配屋根鉄骨造</t>
  </si>
  <si>
    <t>勾配屋根軽量鉄骨造</t>
  </si>
  <si>
    <t>勾配屋根木造</t>
  </si>
  <si>
    <t>土間コンクリート打</t>
  </si>
  <si>
    <t>コンクリートブロック造150㎜厚</t>
  </si>
  <si>
    <t>コンクリートブロック造100㎜厚</t>
  </si>
  <si>
    <t>鉄筋コンクリート造120㎜厚</t>
  </si>
  <si>
    <t>気泡コンクリート板50㎜厚</t>
  </si>
  <si>
    <t>プレキャストコンクリート板40㎜厚（リブ付）</t>
  </si>
  <si>
    <t>押出成型セメント板60㎜厚</t>
  </si>
  <si>
    <t>押出成型セメント板50㎜厚</t>
  </si>
  <si>
    <t>化粧コンクリートブロック積み190㎜厚</t>
  </si>
  <si>
    <t>化粧コンクリートブロック積み120㎜厚</t>
  </si>
  <si>
    <t>石膏ボード間仕切上</t>
  </si>
  <si>
    <t>石膏ボード間仕切並</t>
  </si>
  <si>
    <t>石材系仕上特</t>
  </si>
  <si>
    <t>石材系仕上上</t>
  </si>
  <si>
    <t>石材系仕上中</t>
  </si>
  <si>
    <t>石材系仕上並</t>
  </si>
  <si>
    <t>コンクリート打放上</t>
  </si>
  <si>
    <t>コンクリート打放並</t>
  </si>
  <si>
    <t>外装タイル二丁掛</t>
  </si>
  <si>
    <t>外装タイルモザイクタイル</t>
  </si>
  <si>
    <t>鋼板塗装亜鉛めっき鋼板平板</t>
  </si>
  <si>
    <t>鋼板ほうろう鋼板</t>
  </si>
  <si>
    <t>鋼板塩化ビニル樹脂被覆鋼板</t>
  </si>
  <si>
    <t>鋼板プリント鋼板</t>
  </si>
  <si>
    <t>ステンレス板</t>
  </si>
  <si>
    <t>アルミニウム板</t>
  </si>
  <si>
    <t>金属複合板</t>
  </si>
  <si>
    <t>繊維強化セメント板スレートボード</t>
  </si>
  <si>
    <t>繊維強化セメント板化粧スレートボード</t>
  </si>
  <si>
    <t>繊維強化セメント板スレート波板</t>
  </si>
  <si>
    <t>硬質木片セメント板</t>
  </si>
  <si>
    <t>合成樹脂板塩化ビニル</t>
  </si>
  <si>
    <t>合成樹脂板アクリル</t>
  </si>
  <si>
    <t>合成樹脂板ポリカーボネート</t>
  </si>
  <si>
    <t>サイディング</t>
  </si>
  <si>
    <t>カーテンウォールＰＣ系形状が複雑なサッシ組込みのもの</t>
  </si>
  <si>
    <t>カーテンウォールＰＣ系フラットなサッシ組込のもの</t>
  </si>
  <si>
    <t>カーテンウォールＰＣ系フラットなパネルのもの</t>
  </si>
  <si>
    <t>結晶化ガラス</t>
  </si>
  <si>
    <t>膜材料上</t>
  </si>
  <si>
    <t>膜材料並</t>
  </si>
  <si>
    <t>塗り壁</t>
  </si>
  <si>
    <t>内装タイル中</t>
  </si>
  <si>
    <t>内装タイル小</t>
  </si>
  <si>
    <t>鋼板塗装亜鉛めっき鋼板</t>
  </si>
  <si>
    <t>アルミニウム板平板</t>
  </si>
  <si>
    <t>アルミニウム板吸音板</t>
  </si>
  <si>
    <t>繊維強化セメント板珪酸カルシウム板</t>
  </si>
  <si>
    <t>木毛セメント板普通板</t>
  </si>
  <si>
    <t>木毛セメント板化粧板</t>
  </si>
  <si>
    <t>石膏ボード普通板</t>
  </si>
  <si>
    <t>石膏ボードＧＬ工法</t>
  </si>
  <si>
    <t>木質系壁仕上上</t>
  </si>
  <si>
    <t>木質系壁仕上中</t>
  </si>
  <si>
    <t>木質系壁仕上並</t>
  </si>
  <si>
    <t>鉛石膏ボード2㎜厚</t>
  </si>
  <si>
    <t>鉛石膏ボード1㎜厚</t>
  </si>
  <si>
    <t>クロス貼上</t>
  </si>
  <si>
    <t>クロス貼中</t>
  </si>
  <si>
    <t>クロス貼並</t>
  </si>
  <si>
    <t>コンクリート直仕上</t>
  </si>
  <si>
    <t>合成樹脂塗床エポキシ</t>
  </si>
  <si>
    <t>合成樹脂塗床ポリウレタン</t>
  </si>
  <si>
    <t>タイル大</t>
  </si>
  <si>
    <t>タイル中</t>
  </si>
  <si>
    <t>タイル小</t>
  </si>
  <si>
    <t>コルクタイル</t>
  </si>
  <si>
    <t>エキスパンドメタル</t>
  </si>
  <si>
    <t>畳上</t>
  </si>
  <si>
    <t>畳並</t>
  </si>
  <si>
    <t>カーペット上</t>
  </si>
  <si>
    <t>カーペット並</t>
  </si>
  <si>
    <t>フリーアクセス床アルミ系上</t>
  </si>
  <si>
    <t>フリーアクセス床アルミ系並</t>
  </si>
  <si>
    <t>フリーアクセス床鋼製系上</t>
  </si>
  <si>
    <t>フリーアクセス床鋼製系並</t>
  </si>
  <si>
    <t>フリーアクセス床樹脂製系</t>
  </si>
  <si>
    <t>木質系床仕上上</t>
  </si>
  <si>
    <t>木質系床仕上中</t>
  </si>
  <si>
    <t>木質系床仕上並</t>
  </si>
  <si>
    <t>鉛合板2㎜厚</t>
  </si>
  <si>
    <t>鉛合板1㎜厚</t>
  </si>
  <si>
    <t>着色コンクリート床</t>
  </si>
  <si>
    <t>合成樹脂張床特</t>
  </si>
  <si>
    <t>合成樹脂張床上</t>
  </si>
  <si>
    <t>合成樹脂張床中</t>
  </si>
  <si>
    <t>合成樹脂張床並</t>
  </si>
  <si>
    <t>木質系天井仕上特</t>
  </si>
  <si>
    <t>木質系天井仕上上</t>
  </si>
  <si>
    <t>木質系天井仕上中</t>
  </si>
  <si>
    <t>木質系天井仕上並</t>
  </si>
  <si>
    <t>木毛セメント板</t>
  </si>
  <si>
    <t>木毛セメント板コンクリート打込</t>
  </si>
  <si>
    <t>石膏ボード吸音板</t>
  </si>
  <si>
    <t>ガラス繊維板吸音板</t>
  </si>
  <si>
    <t>岩綿板塗装吸音板上</t>
  </si>
  <si>
    <t>岩綿板塗装吸音板並</t>
  </si>
  <si>
    <t>塗り天井</t>
  </si>
  <si>
    <t>光天井アルミダイカスト</t>
  </si>
  <si>
    <t>光天井アクリル系</t>
  </si>
  <si>
    <t>光天井塩化ビニル系</t>
  </si>
  <si>
    <t>塩化ビニル成型浴室天井材</t>
  </si>
  <si>
    <t>アスファルト防水コンクリート保護</t>
  </si>
  <si>
    <t>アスファルト防水露出防水</t>
  </si>
  <si>
    <t>シート防水</t>
  </si>
  <si>
    <t>モルタル防水</t>
  </si>
  <si>
    <t>ＦＲＰ防水</t>
  </si>
  <si>
    <t>金属板防水</t>
  </si>
  <si>
    <t>天然スレート</t>
  </si>
  <si>
    <t>瓦上</t>
  </si>
  <si>
    <t>瓦中</t>
  </si>
  <si>
    <t>瓦並</t>
  </si>
  <si>
    <t>鋼板亜鉛めっき鋼板平板</t>
  </si>
  <si>
    <t>鋼板亜鉛めっき鋼板折板</t>
  </si>
  <si>
    <t>鋼板塗装亜鉛めっき鋼板折板</t>
  </si>
  <si>
    <t>鋼板フッ素樹脂鋼板平板</t>
  </si>
  <si>
    <t>鋼板フッ素樹脂鋼板折板</t>
  </si>
  <si>
    <t>アルミニウム板折板</t>
  </si>
  <si>
    <t>ステンレス板平板</t>
  </si>
  <si>
    <t>ステンレス板折板</t>
  </si>
  <si>
    <t>アスファルトシングル</t>
  </si>
  <si>
    <t>鉄筋 上（ｔ）</t>
    <rPh sb="3" eb="4">
      <t>ジョウ</t>
    </rPh>
    <phoneticPr fontId="20"/>
  </si>
  <si>
    <t>鉄筋 中（ｔ）</t>
    <rPh sb="3" eb="4">
      <t>チュウ</t>
    </rPh>
    <phoneticPr fontId="20"/>
  </si>
  <si>
    <t>鉄筋 並（ｔ）</t>
    <rPh sb="3" eb="4">
      <t>ナミ</t>
    </rPh>
    <phoneticPr fontId="20"/>
  </si>
  <si>
    <r>
      <t>コンクリート ［鉄筋用］（上）（m</t>
    </r>
    <r>
      <rPr>
        <vertAlign val="superscript"/>
        <sz val="9"/>
        <rFont val="ＭＳ Ｐ明朝"/>
        <family val="1"/>
        <charset val="128"/>
      </rPr>
      <t>3</t>
    </r>
    <r>
      <rPr>
        <sz val="9"/>
        <rFont val="ＭＳ Ｐ明朝"/>
        <family val="1"/>
        <charset val="128"/>
      </rPr>
      <t>）</t>
    </r>
    <rPh sb="8" eb="10">
      <t>テッキン</t>
    </rPh>
    <rPh sb="10" eb="11">
      <t>ヨウ</t>
    </rPh>
    <rPh sb="13" eb="14">
      <t>ウエ</t>
    </rPh>
    <phoneticPr fontId="8"/>
  </si>
  <si>
    <r>
      <t>コンクリート ［鉄筋用］（中）（m</t>
    </r>
    <r>
      <rPr>
        <vertAlign val="superscript"/>
        <sz val="9"/>
        <rFont val="ＭＳ Ｐ明朝"/>
        <family val="1"/>
        <charset val="128"/>
      </rPr>
      <t>3</t>
    </r>
    <r>
      <rPr>
        <sz val="9"/>
        <rFont val="ＭＳ Ｐ明朝"/>
        <family val="1"/>
        <charset val="128"/>
      </rPr>
      <t>）</t>
    </r>
    <rPh sb="8" eb="10">
      <t>テッキン</t>
    </rPh>
    <rPh sb="10" eb="11">
      <t>ヨウ</t>
    </rPh>
    <rPh sb="13" eb="14">
      <t>チュウ</t>
    </rPh>
    <phoneticPr fontId="8"/>
  </si>
  <si>
    <r>
      <t>コンクリート ［鉄筋用］（並）（m</t>
    </r>
    <r>
      <rPr>
        <vertAlign val="superscript"/>
        <sz val="9"/>
        <rFont val="ＭＳ Ｐ明朝"/>
        <family val="1"/>
        <charset val="128"/>
      </rPr>
      <t>3</t>
    </r>
    <r>
      <rPr>
        <sz val="9"/>
        <rFont val="ＭＳ Ｐ明朝"/>
        <family val="1"/>
        <charset val="128"/>
      </rPr>
      <t>）</t>
    </r>
    <rPh sb="8" eb="10">
      <t>テッキン</t>
    </rPh>
    <rPh sb="10" eb="11">
      <t>ヨウ</t>
    </rPh>
    <rPh sb="13" eb="14">
      <t>ナミ</t>
    </rPh>
    <phoneticPr fontId="8"/>
  </si>
  <si>
    <t>サッシ アルミ 引き 100㎜</t>
  </si>
  <si>
    <t>サッシ アルミ 固定 100㎜</t>
  </si>
  <si>
    <t>サッシ アルミ その他 100㎜</t>
  </si>
  <si>
    <t>サッシ 樹脂・木 引き 100㎜</t>
    <rPh sb="4" eb="6">
      <t>ジュシ</t>
    </rPh>
    <rPh sb="7" eb="8">
      <t>キ</t>
    </rPh>
    <phoneticPr fontId="8"/>
  </si>
  <si>
    <t>サッシ 樹脂・木 固定 100㎜</t>
  </si>
  <si>
    <t>サッシ 樹脂・木 その他 100㎜</t>
  </si>
  <si>
    <t>サッシ ｽﾃﾝﾚｽ 引き 100㎜</t>
  </si>
  <si>
    <t>サッシ ｽﾃﾝﾚｽ 固定 100㎜</t>
  </si>
  <si>
    <t>サッシ ｽﾃﾝﾚｽ その他 100㎜</t>
  </si>
  <si>
    <t>サッシ 鋼製 引き 100㎜</t>
    <rPh sb="4" eb="6">
      <t>コウセイ</t>
    </rPh>
    <phoneticPr fontId="8"/>
  </si>
  <si>
    <t>サッシ 鋼製 固定 100㎜</t>
  </si>
  <si>
    <t>サッシ 鋼製 その他 100㎜</t>
  </si>
  <si>
    <t>サッシ アルミ 引き 70㎜</t>
    <phoneticPr fontId="8"/>
  </si>
  <si>
    <t>サッシ アルミ 固定 70㎜</t>
    <phoneticPr fontId="8"/>
  </si>
  <si>
    <t>サッシ アルミ その他 70㎜</t>
    <phoneticPr fontId="8"/>
  </si>
  <si>
    <t>サッシ 樹脂・木 引き 70㎜</t>
    <phoneticPr fontId="8"/>
  </si>
  <si>
    <t>サッシ 樹脂・木 固定 70㎜</t>
    <phoneticPr fontId="8"/>
  </si>
  <si>
    <t>サッシ 樹脂・木 その他 70㎜</t>
    <phoneticPr fontId="8"/>
  </si>
  <si>
    <t>サッシ ｽﾃﾝﾚｽ 引き 70㎜</t>
    <phoneticPr fontId="8"/>
  </si>
  <si>
    <t>サッシ ｽﾃﾝﾚｽ 固定 70㎜</t>
    <phoneticPr fontId="8"/>
  </si>
  <si>
    <t>サッシ ｽﾃﾝﾚｽ その他 70㎜</t>
    <phoneticPr fontId="8"/>
  </si>
  <si>
    <t>サッシ 鋼製 引き 70㎜</t>
    <phoneticPr fontId="8"/>
  </si>
  <si>
    <t>サッシ 鋼製 固定 70㎜</t>
    <phoneticPr fontId="8"/>
  </si>
  <si>
    <t>サッシ 鋼製 その他 70㎜</t>
    <phoneticPr fontId="8"/>
  </si>
  <si>
    <t xml:space="preserve">扉 木製 特 </t>
  </si>
  <si>
    <t xml:space="preserve">扉 木製 上 </t>
  </si>
  <si>
    <t xml:space="preserve">扉 木製 中 </t>
  </si>
  <si>
    <t xml:space="preserve">扉 木製 並 </t>
  </si>
  <si>
    <t xml:space="preserve">扉 アルミ製 上 </t>
  </si>
  <si>
    <t xml:space="preserve">扉 アルミ製 中 </t>
  </si>
  <si>
    <t xml:space="preserve">扉 アルミ製 並 </t>
  </si>
  <si>
    <t xml:space="preserve">扉 鋼製防火扉  </t>
  </si>
  <si>
    <t xml:space="preserve">扉 鋼製軽量扉  </t>
  </si>
  <si>
    <t xml:space="preserve">扉 放射線防護ドア  </t>
  </si>
  <si>
    <t xml:space="preserve">玄関戸 上  </t>
  </si>
  <si>
    <t xml:space="preserve">玄関戸 中  </t>
  </si>
  <si>
    <t xml:space="preserve">玄関戸 並  </t>
  </si>
  <si>
    <t xml:space="preserve">強化ガラスドア   </t>
  </si>
  <si>
    <t>ｽｲｯﾁ配線</t>
    <phoneticPr fontId="17"/>
  </si>
  <si>
    <t>ｺﾝｾﾝﾄ配線</t>
    <phoneticPr fontId="17"/>
  </si>
  <si>
    <t>基数</t>
    <rPh sb="0" eb="2">
      <t>キスウ</t>
    </rPh>
    <phoneticPr fontId="20"/>
  </si>
  <si>
    <t>基</t>
    <rPh sb="0" eb="1">
      <t>キ</t>
    </rPh>
    <phoneticPr fontId="20"/>
  </si>
  <si>
    <t>免震装置</t>
    <rPh sb="0" eb="2">
      <t>メンシン</t>
    </rPh>
    <rPh sb="2" eb="4">
      <t>ソウチ</t>
    </rPh>
    <phoneticPr fontId="20"/>
  </si>
  <si>
    <t>ゴム外径</t>
    <rPh sb="2" eb="4">
      <t>ガイケイ</t>
    </rPh>
    <phoneticPr fontId="8"/>
  </si>
  <si>
    <t>ゴム総厚</t>
    <rPh sb="2" eb="3">
      <t>ソウ</t>
    </rPh>
    <rPh sb="3" eb="4">
      <t>アツ</t>
    </rPh>
    <phoneticPr fontId="20"/>
  </si>
  <si>
    <t>装置の種類</t>
    <rPh sb="0" eb="2">
      <t>ソウチ</t>
    </rPh>
    <rPh sb="3" eb="5">
      <t>シュルイ</t>
    </rPh>
    <phoneticPr fontId="8"/>
  </si>
  <si>
    <t>ダンパ有</t>
    <rPh sb="3" eb="4">
      <t>アリ</t>
    </rPh>
    <phoneticPr fontId="8"/>
  </si>
  <si>
    <t>ダンパ無</t>
    <rPh sb="3" eb="4">
      <t>ナシ</t>
    </rPh>
    <phoneticPr fontId="8"/>
  </si>
  <si>
    <t>主体構造部
(施工量不明確）</t>
    <rPh sb="7" eb="9">
      <t>セコウ</t>
    </rPh>
    <rPh sb="9" eb="10">
      <t>リョウ</t>
    </rPh>
    <rPh sb="10" eb="13">
      <t>フメイカク</t>
    </rPh>
    <phoneticPr fontId="8"/>
  </si>
  <si>
    <t>主体構造部
(加算）</t>
    <rPh sb="0" eb="2">
      <t>シュタイ</t>
    </rPh>
    <rPh sb="2" eb="4">
      <t>コウゾウ</t>
    </rPh>
    <rPh sb="4" eb="5">
      <t>ブ</t>
    </rPh>
    <rPh sb="7" eb="9">
      <t>カサン</t>
    </rPh>
    <phoneticPr fontId="20"/>
  </si>
  <si>
    <t>[構造名称]</t>
    <rPh sb="1" eb="3">
      <t>コウゾウ</t>
    </rPh>
    <rPh sb="3" eb="5">
      <t>メイショウ</t>
    </rPh>
    <phoneticPr fontId="8"/>
  </si>
  <si>
    <t>説明</t>
    <rPh sb="0" eb="2">
      <t>セツメイ</t>
    </rPh>
    <phoneticPr fontId="8"/>
  </si>
  <si>
    <t>S</t>
    <phoneticPr fontId="8"/>
  </si>
  <si>
    <t>RC</t>
    <phoneticPr fontId="8"/>
  </si>
  <si>
    <t>鉄筋コンクリート</t>
    <rPh sb="0" eb="2">
      <t>テッキン</t>
    </rPh>
    <phoneticPr fontId="8"/>
  </si>
  <si>
    <t>SRC</t>
    <phoneticPr fontId="8"/>
  </si>
  <si>
    <t>鉄骨鉄筋コンクリート</t>
    <rPh sb="0" eb="2">
      <t>テッコツ</t>
    </rPh>
    <rPh sb="2" eb="4">
      <t>テッキン</t>
    </rPh>
    <phoneticPr fontId="8"/>
  </si>
  <si>
    <t>LGS</t>
    <phoneticPr fontId="8"/>
  </si>
  <si>
    <t>CB</t>
    <phoneticPr fontId="8"/>
  </si>
  <si>
    <t>コンクリートブロック</t>
    <phoneticPr fontId="8"/>
  </si>
  <si>
    <t>ﾃﾞｯｷﾌﾟﾚｰﾄ1.2㎜厚（ｔ）</t>
    <phoneticPr fontId="20"/>
  </si>
  <si>
    <t>ﾃﾞｯｷﾌﾟﾚｰﾄ1.0㎜厚（ｔ）</t>
    <phoneticPr fontId="20"/>
  </si>
  <si>
    <t>ﾌﾗｯﾄﾃﾞｯｷ1.2㎜厚（ｔ）</t>
    <phoneticPr fontId="20"/>
  </si>
  <si>
    <t>ﾌﾗｯﾄﾃﾞｯｷ0.8㎜厚（ｔ）</t>
    <phoneticPr fontId="20"/>
  </si>
  <si>
    <t>減点無</t>
    <rPh sb="0" eb="2">
      <t>ゲンテン</t>
    </rPh>
    <rPh sb="2" eb="3">
      <t>ナシ</t>
    </rPh>
    <phoneticPr fontId="8"/>
  </si>
  <si>
    <t>減点無</t>
    <rPh sb="0" eb="2">
      <t>ゲンテン</t>
    </rPh>
    <rPh sb="2" eb="3">
      <t>ナシ</t>
    </rPh>
    <phoneticPr fontId="16"/>
  </si>
  <si>
    <t>簡易</t>
    <rPh sb="0" eb="2">
      <t>カンイ</t>
    </rPh>
    <phoneticPr fontId="8"/>
  </si>
  <si>
    <t>簡易</t>
    <rPh sb="0" eb="2">
      <t>カンイ</t>
    </rPh>
    <phoneticPr fontId="16"/>
  </si>
  <si>
    <t>×</t>
    <phoneticPr fontId="8"/>
  </si>
  <si>
    <t>メタルラス下地</t>
    <rPh sb="5" eb="7">
      <t>シタジ</t>
    </rPh>
    <phoneticPr fontId="20"/>
  </si>
  <si>
    <t>見積</t>
  </si>
  <si>
    <t>㎡</t>
    <phoneticPr fontId="17"/>
  </si>
  <si>
    <t>規模別</t>
    <rPh sb="0" eb="3">
      <t>キボベツ</t>
    </rPh>
    <phoneticPr fontId="17"/>
  </si>
  <si>
    <t>総合評点方式</t>
    <rPh sb="0" eb="2">
      <t>ソウゴウ</t>
    </rPh>
    <rPh sb="2" eb="4">
      <t>ヒョウテン</t>
    </rPh>
    <rPh sb="4" eb="6">
      <t>ホウシキ</t>
    </rPh>
    <phoneticPr fontId="17"/>
  </si>
  <si>
    <t>勾配</t>
    <rPh sb="0" eb="2">
      <t>コウバイ</t>
    </rPh>
    <phoneticPr fontId="47"/>
  </si>
  <si>
    <t>／</t>
    <phoneticPr fontId="47"/>
  </si>
  <si>
    <t>面積</t>
    <rPh sb="0" eb="1">
      <t>メン</t>
    </rPh>
    <rPh sb="1" eb="2">
      <t>セキ</t>
    </rPh>
    <phoneticPr fontId="6"/>
  </si>
  <si>
    <t>加算名称１</t>
    <rPh sb="0" eb="2">
      <t>カサン</t>
    </rPh>
    <rPh sb="2" eb="4">
      <t>メイショウ</t>
    </rPh>
    <phoneticPr fontId="17"/>
  </si>
  <si>
    <t>加算名称２</t>
    <rPh sb="0" eb="2">
      <t>カサン</t>
    </rPh>
    <rPh sb="2" eb="4">
      <t>メイショウ</t>
    </rPh>
    <phoneticPr fontId="17"/>
  </si>
  <si>
    <t>加算１</t>
    <rPh sb="0" eb="2">
      <t>カサン</t>
    </rPh>
    <phoneticPr fontId="6"/>
  </si>
  <si>
    <t>加算２</t>
    <rPh sb="0" eb="2">
      <t>カサン</t>
    </rPh>
    <phoneticPr fontId="6"/>
  </si>
  <si>
    <t>床加算</t>
    <rPh sb="0" eb="1">
      <t>ユカ</t>
    </rPh>
    <rPh sb="1" eb="3">
      <t>カサン</t>
    </rPh>
    <phoneticPr fontId="17"/>
  </si>
  <si>
    <t>天井加算</t>
    <rPh sb="0" eb="2">
      <t>テンジョウ</t>
    </rPh>
    <rPh sb="2" eb="4">
      <t>カサン</t>
    </rPh>
    <phoneticPr fontId="17"/>
  </si>
  <si>
    <t>床加算</t>
    <rPh sb="0" eb="1">
      <t>ユカ</t>
    </rPh>
    <rPh sb="1" eb="3">
      <t>カサン</t>
    </rPh>
    <phoneticPr fontId="17"/>
  </si>
  <si>
    <t>天井加算</t>
    <rPh sb="0" eb="2">
      <t>テンジョウ</t>
    </rPh>
    <rPh sb="2" eb="4">
      <t>カサン</t>
    </rPh>
    <phoneticPr fontId="17"/>
  </si>
  <si>
    <t>浴槽</t>
    <rPh sb="0" eb="2">
      <t>ヨクソウ</t>
    </rPh>
    <phoneticPr fontId="17"/>
  </si>
  <si>
    <t xml:space="preserve">浴槽(上)
</t>
    <rPh sb="0" eb="2">
      <t>ヨクソウ</t>
    </rPh>
    <rPh sb="3" eb="4">
      <t>ジョウ</t>
    </rPh>
    <phoneticPr fontId="8"/>
  </si>
  <si>
    <t>浴槽(並)</t>
    <rPh sb="0" eb="2">
      <t>ヨクソウ</t>
    </rPh>
    <rPh sb="3" eb="4">
      <t>ナミ</t>
    </rPh>
    <phoneticPr fontId="8"/>
  </si>
  <si>
    <t>浴槽（上）</t>
    <rPh sb="0" eb="2">
      <t>ヨクソウ</t>
    </rPh>
    <rPh sb="3" eb="4">
      <t>ジョウ</t>
    </rPh>
    <phoneticPr fontId="8"/>
  </si>
  <si>
    <t>浴槽（上）・大きさ</t>
    <rPh sb="0" eb="2">
      <t>ヨクソウ</t>
    </rPh>
    <rPh sb="3" eb="4">
      <t>ジョウ</t>
    </rPh>
    <rPh sb="6" eb="7">
      <t>オオ</t>
    </rPh>
    <phoneticPr fontId="8"/>
  </si>
  <si>
    <t>浴槽（上）・程度</t>
    <rPh sb="0" eb="2">
      <t>ヨクソウ</t>
    </rPh>
    <rPh sb="3" eb="4">
      <t>ジョウ</t>
    </rPh>
    <rPh sb="6" eb="8">
      <t>テイド</t>
    </rPh>
    <phoneticPr fontId="8"/>
  </si>
  <si>
    <t>浴槽（並）</t>
    <rPh sb="0" eb="2">
      <t>ヨクソウ</t>
    </rPh>
    <rPh sb="3" eb="4">
      <t>ナミ</t>
    </rPh>
    <phoneticPr fontId="8"/>
  </si>
  <si>
    <t>浴槽（並）・大きさ</t>
    <rPh sb="0" eb="2">
      <t>ヨクソウ</t>
    </rPh>
    <rPh sb="3" eb="4">
      <t>ナミ</t>
    </rPh>
    <rPh sb="6" eb="7">
      <t>オオ</t>
    </rPh>
    <phoneticPr fontId="8"/>
  </si>
  <si>
    <t>浴槽（並）・程度</t>
    <rPh sb="0" eb="2">
      <t>ヨクソウ</t>
    </rPh>
    <rPh sb="3" eb="4">
      <t>ナミ</t>
    </rPh>
    <rPh sb="6" eb="8">
      <t>テイド</t>
    </rPh>
    <phoneticPr fontId="8"/>
  </si>
  <si>
    <t>分散(各階3)</t>
  </si>
  <si>
    <t>普通(各階2)</t>
  </si>
  <si>
    <t>集中(各階1)</t>
  </si>
  <si>
    <t>×</t>
    <phoneticPr fontId="8"/>
  </si>
  <si>
    <t>㎡</t>
    <phoneticPr fontId="20"/>
  </si>
  <si>
    <t>設置されている天吊クレーンの力量
※200ｔの補正は基準解説より（２００ｔまでの記載のため２００ｔで上限止め）</t>
    <rPh sb="23" eb="25">
      <t>ホセイ</t>
    </rPh>
    <rPh sb="26" eb="28">
      <t>キジュン</t>
    </rPh>
    <rPh sb="28" eb="30">
      <t>カイセツ</t>
    </rPh>
    <rPh sb="40" eb="42">
      <t>キサイ</t>
    </rPh>
    <rPh sb="50" eb="52">
      <t>ジョウゲン</t>
    </rPh>
    <rPh sb="52" eb="53">
      <t>ド</t>
    </rPh>
    <phoneticPr fontId="20"/>
  </si>
  <si>
    <t>コン打デッキプレート（捨型枠）1.6㎜厚</t>
    <phoneticPr fontId="20"/>
  </si>
  <si>
    <t>コン打デッキプレート（捨型枠）1.2㎜厚</t>
    <phoneticPr fontId="20"/>
  </si>
  <si>
    <t>コン打デッキプレート（捨型枠）1.0㎜厚</t>
    <phoneticPr fontId="20"/>
  </si>
  <si>
    <t>鉄筋コン打フラットデッキ（捨型枠）1.2㎜厚</t>
    <phoneticPr fontId="20"/>
  </si>
  <si>
    <t>鉄筋コン打フラットデッキ（捨型枠）0.8㎜厚</t>
    <phoneticPr fontId="20"/>
  </si>
  <si>
    <t>亜鉛めっき鋼板</t>
    <phoneticPr fontId="20"/>
  </si>
  <si>
    <t>塗装亜鉛めっき鋼板平板</t>
    <phoneticPr fontId="20"/>
  </si>
  <si>
    <t>塗装亜鉛めっき鋼板波板</t>
    <phoneticPr fontId="20"/>
  </si>
  <si>
    <t>ほうろう鋼板</t>
    <phoneticPr fontId="20"/>
  </si>
  <si>
    <t>塩化ビニル樹脂被覆鋼板</t>
    <phoneticPr fontId="20"/>
  </si>
  <si>
    <t>プリント鋼板</t>
    <phoneticPr fontId="20"/>
  </si>
  <si>
    <t>塗装亜鉛めっき鋼板</t>
    <phoneticPr fontId="20"/>
  </si>
  <si>
    <t>ほうろう鋼板</t>
    <phoneticPr fontId="20"/>
  </si>
  <si>
    <t>副所長</t>
    <rPh sb="0" eb="1">
      <t>フク</t>
    </rPh>
    <rPh sb="1" eb="3">
      <t>ショチョウ</t>
    </rPh>
    <phoneticPr fontId="8"/>
  </si>
  <si>
    <t>その他</t>
  </si>
  <si>
    <t>一定の要件を満たす認定長期優良住宅の取得  （一部該当）</t>
    <rPh sb="9" eb="11">
      <t>ニンテイ</t>
    </rPh>
    <rPh sb="11" eb="13">
      <t>チョウキ</t>
    </rPh>
    <rPh sb="13" eb="15">
      <t>ユウリョウ</t>
    </rPh>
    <rPh sb="23" eb="25">
      <t>イチブ</t>
    </rPh>
    <phoneticPr fontId="8"/>
  </si>
  <si>
    <t>一定の要件を満たす認定長期優良住宅の取得  （全額該当）</t>
    <rPh sb="9" eb="11">
      <t>ニンテイ</t>
    </rPh>
    <rPh sb="11" eb="13">
      <t>チョウキ</t>
    </rPh>
    <rPh sb="13" eb="15">
      <t>ユウリョウ</t>
    </rPh>
    <phoneticPr fontId="8"/>
  </si>
  <si>
    <t>市街地再開発事業用の不動産  （一部該当）</t>
  </si>
  <si>
    <t>市街地再開発事業用の不動産  （全額該当）</t>
  </si>
  <si>
    <t>被収用不動産の代替不動産の取得  （一部該当）</t>
  </si>
  <si>
    <t>被収用不動産の代替不動産の取得  （全額該当）</t>
  </si>
  <si>
    <t>農林漁業近代化等の共同施設の取得  （一部該当）</t>
  </si>
  <si>
    <t>農林漁業近代化等の共同施設の取得  （全額該当）</t>
  </si>
  <si>
    <t>一定の要件を満たす新築住宅の取得  （一部該当）</t>
  </si>
  <si>
    <t>一定の要件を満たす新築住宅の取得  （全額該当）</t>
    <phoneticPr fontId="8"/>
  </si>
  <si>
    <t>特例控除なし</t>
  </si>
  <si>
    <t>コード</t>
    <phoneticPr fontId="8"/>
  </si>
  <si>
    <t>内容</t>
    <rPh sb="0" eb="2">
      <t>ナイヨウ</t>
    </rPh>
    <phoneticPr fontId="8"/>
  </si>
  <si>
    <t>控除コード</t>
    <rPh sb="0" eb="2">
      <t>コウジョ</t>
    </rPh>
    <phoneticPr fontId="47"/>
  </si>
  <si>
    <t>平成</t>
    <rPh sb="0" eb="2">
      <t>ヘイセイ</t>
    </rPh>
    <phoneticPr fontId="8"/>
  </si>
  <si>
    <t>H</t>
    <phoneticPr fontId="47"/>
  </si>
  <si>
    <t>昭和</t>
    <rPh sb="0" eb="2">
      <t>ショウワ</t>
    </rPh>
    <phoneticPr fontId="8"/>
  </si>
  <si>
    <t>S</t>
    <phoneticPr fontId="47"/>
  </si>
  <si>
    <t>大正</t>
    <rPh sb="0" eb="2">
      <t>タイショウ</t>
    </rPh>
    <phoneticPr fontId="8"/>
  </si>
  <si>
    <t>T</t>
    <phoneticPr fontId="47"/>
  </si>
  <si>
    <t>明治</t>
    <rPh sb="0" eb="2">
      <t>メイジ</t>
    </rPh>
    <phoneticPr fontId="8"/>
  </si>
  <si>
    <t>M</t>
    <phoneticPr fontId="47"/>
  </si>
  <si>
    <t>元号コード</t>
    <rPh sb="0" eb="2">
      <t>ゲンゴウ</t>
    </rPh>
    <phoneticPr fontId="8"/>
  </si>
  <si>
    <t>改築</t>
    <rPh sb="0" eb="2">
      <t>カイチク</t>
    </rPh>
    <phoneticPr fontId="8"/>
  </si>
  <si>
    <t>増築</t>
    <rPh sb="0" eb="2">
      <t>ゾウチク</t>
    </rPh>
    <phoneticPr fontId="8"/>
  </si>
  <si>
    <t>新築</t>
    <rPh sb="0" eb="2">
      <t>シンチク</t>
    </rPh>
    <phoneticPr fontId="8"/>
  </si>
  <si>
    <t>取得事由コード</t>
    <rPh sb="0" eb="2">
      <t>シュトク</t>
    </rPh>
    <rPh sb="2" eb="4">
      <t>ジユウ</t>
    </rPh>
    <phoneticPr fontId="8"/>
  </si>
  <si>
    <t>軽量鉄骨プレハブ</t>
    <rPh sb="0" eb="2">
      <t>ケイリョウ</t>
    </rPh>
    <rPh sb="2" eb="4">
      <t>テッコツ</t>
    </rPh>
    <phoneticPr fontId="8"/>
  </si>
  <si>
    <t>LGSプレ</t>
    <phoneticPr fontId="8"/>
  </si>
  <si>
    <t>鉄筋コンクリートプレハブ</t>
    <rPh sb="0" eb="2">
      <t>テッキン</t>
    </rPh>
    <phoneticPr fontId="8"/>
  </si>
  <si>
    <t>RCプレ</t>
    <phoneticPr fontId="8"/>
  </si>
  <si>
    <t>木造プレハブ</t>
    <rPh sb="0" eb="2">
      <t>モクゾウ</t>
    </rPh>
    <phoneticPr fontId="8"/>
  </si>
  <si>
    <t>Wプレ</t>
    <phoneticPr fontId="8"/>
  </si>
  <si>
    <t>コンクリートブロック</t>
    <phoneticPr fontId="8"/>
  </si>
  <si>
    <t>CB</t>
    <phoneticPr fontId="8"/>
  </si>
  <si>
    <t>LGS</t>
    <phoneticPr fontId="8"/>
  </si>
  <si>
    <t>RC</t>
    <phoneticPr fontId="8"/>
  </si>
  <si>
    <t>木</t>
    <rPh sb="0" eb="1">
      <t>キ</t>
    </rPh>
    <phoneticPr fontId="8"/>
  </si>
  <si>
    <t>W</t>
    <phoneticPr fontId="8"/>
  </si>
  <si>
    <t>構造コード</t>
    <rPh sb="0" eb="2">
      <t>コウゾウ</t>
    </rPh>
    <phoneticPr fontId="8"/>
  </si>
  <si>
    <t>種類コード</t>
    <rPh sb="0" eb="2">
      <t>シュルイ</t>
    </rPh>
    <phoneticPr fontId="8"/>
  </si>
  <si>
    <t>日野郡溝口町焼杉</t>
  </si>
  <si>
    <t>日野郡溝口町宮原大原</t>
  </si>
  <si>
    <t>日野郡溝口町宮原</t>
  </si>
  <si>
    <t>日野郡溝口町溝口</t>
  </si>
  <si>
    <t>日野郡溝口町古市</t>
  </si>
  <si>
    <t>日野郡溝口町船越</t>
  </si>
  <si>
    <t>日野郡溝口町福吉</t>
  </si>
  <si>
    <t>日野郡溝口町福島</t>
  </si>
  <si>
    <t>日野郡溝口町福兼福永</t>
  </si>
  <si>
    <t>日野郡溝口町福兼末鎌</t>
  </si>
  <si>
    <t>日野郡溝口町福兼</t>
  </si>
  <si>
    <t>日野郡溝口町福岡中央</t>
  </si>
  <si>
    <t>日野郡溝口町福岡下代</t>
  </si>
  <si>
    <t>日野郡溝口町福岡郷原</t>
  </si>
  <si>
    <t>日野郡溝口町福岡上谷</t>
  </si>
  <si>
    <t>日野郡溝口町福岡</t>
  </si>
  <si>
    <t>日野郡溝口町福居藤屋</t>
  </si>
  <si>
    <t>日野郡溝口町福居須鎌</t>
  </si>
  <si>
    <t>日野郡溝口町福居上の名</t>
  </si>
  <si>
    <t>日野郡溝口町福居</t>
  </si>
  <si>
    <t>日野郡溝口町畑池森脇</t>
  </si>
  <si>
    <t>日野郡溝口町畑池東畑池</t>
  </si>
  <si>
    <t>日野郡溝口町畑池中央</t>
  </si>
  <si>
    <t>日野郡溝口町畑池池田</t>
  </si>
  <si>
    <t>日野郡溝口町畑池</t>
  </si>
  <si>
    <t>日野郡溝口町根雨原</t>
  </si>
  <si>
    <t>日野郡溝口町二部間地</t>
  </si>
  <si>
    <t>日野郡溝口町二部中町</t>
  </si>
  <si>
    <t>日野郡溝口町二部中央</t>
  </si>
  <si>
    <t>日野郡溝口町二部</t>
  </si>
  <si>
    <t>日野郡溝口町長山</t>
  </si>
  <si>
    <t>日野郡溝口町中祖</t>
  </si>
  <si>
    <t>日野郡溝口町富江</t>
  </si>
  <si>
    <t>日野郡溝口町栃原籠原</t>
  </si>
  <si>
    <t>日野郡溝口町栃原</t>
  </si>
  <si>
    <t>日野郡溝口町父原</t>
  </si>
  <si>
    <t>日野郡溝口町谷川</t>
  </si>
  <si>
    <t>日野郡溝口町添谷</t>
  </si>
  <si>
    <t>日野郡溝口町白水</t>
  </si>
  <si>
    <t>日野郡溝口町荘</t>
  </si>
  <si>
    <t>日野郡溝口町三部</t>
  </si>
  <si>
    <t>日野郡溝口町貴住</t>
  </si>
  <si>
    <t>日野郡溝口町金屋谷桝水高原</t>
  </si>
  <si>
    <t>日野郡溝口町金屋谷</t>
  </si>
  <si>
    <t>日野郡溝口町大瀧</t>
  </si>
  <si>
    <t>日野郡溝口町大坂</t>
  </si>
  <si>
    <t>日野郡溝口町大倉大原</t>
  </si>
  <si>
    <t>日野郡溝口町大倉</t>
  </si>
  <si>
    <t>日野郡溝口町大江</t>
  </si>
  <si>
    <t>日野郡溝口町大内桝水高原</t>
  </si>
  <si>
    <t>日野郡溝口町大内</t>
  </si>
  <si>
    <t>日野郡溝口町宇代</t>
  </si>
  <si>
    <t>日野郡溝口町上野大平原</t>
  </si>
  <si>
    <t>日野郡溝口町上野</t>
  </si>
  <si>
    <t>日野郡溝口町岩立桝水高原</t>
  </si>
  <si>
    <t>日野郡溝口町岩立一本松</t>
  </si>
  <si>
    <t>日野郡溝口町岩立</t>
  </si>
  <si>
    <t>日野郡溝口町</t>
  </si>
  <si>
    <t>日野郡江府町吉原袋原</t>
  </si>
  <si>
    <t>日野郡江府町吉原西成</t>
  </si>
  <si>
    <t>日野郡江府町吉原</t>
  </si>
  <si>
    <t>日野郡江府町武庫宮の前</t>
  </si>
  <si>
    <t>日野郡江府町武庫半ノ上</t>
  </si>
  <si>
    <t>日野郡江府町武庫新道</t>
  </si>
  <si>
    <t>日野郡江府町武庫一旦</t>
  </si>
  <si>
    <t>日野郡江府町武庫</t>
  </si>
  <si>
    <t>日野郡江府町美用小原</t>
  </si>
  <si>
    <t>日野郡江府町美用栗尾</t>
  </si>
  <si>
    <t>日野郡江府町美用</t>
  </si>
  <si>
    <t>日野郡江府町宮市宮市原</t>
  </si>
  <si>
    <t>日野郡江府町宮市</t>
  </si>
  <si>
    <t>日野郡江府町御机笠良原</t>
  </si>
  <si>
    <t>日野郡江府町御机</t>
  </si>
  <si>
    <t>日野郡江府町俣野深山口</t>
  </si>
  <si>
    <t>日野郡江府町俣野古屋敷</t>
  </si>
  <si>
    <t>日野郡江府町俣野日の詰</t>
  </si>
  <si>
    <t>日野郡江府町俣野畑田</t>
  </si>
  <si>
    <t>日野郡江府町俣野尾上原</t>
  </si>
  <si>
    <t>日野郡江府町俣野池の内</t>
  </si>
  <si>
    <t>日野郡江府町俣野</t>
  </si>
  <si>
    <t>日野郡江府町助澤</t>
  </si>
  <si>
    <t>日野郡江府町杉谷</t>
  </si>
  <si>
    <t>日野郡江府町洲河崎</t>
  </si>
  <si>
    <t>日野郡江府町下安井</t>
  </si>
  <si>
    <t>日野郡江府町佐川</t>
  </si>
  <si>
    <t>日野郡江府町下蚊屋</t>
  </si>
  <si>
    <t>日野郡江府町小江尾大満</t>
  </si>
  <si>
    <t>日野郡江府町小江尾</t>
  </si>
  <si>
    <t>日野郡江府町久連</t>
  </si>
  <si>
    <t>日野郡江府町柿原</t>
  </si>
  <si>
    <t>日野郡江府町貝田</t>
  </si>
  <si>
    <t>日野郡江府町大河原</t>
  </si>
  <si>
    <t>日野郡江府町江尾</t>
  </si>
  <si>
    <t>日野郡江府町</t>
  </si>
  <si>
    <t>日野郡日野町安原</t>
  </si>
  <si>
    <t>日野郡日野町三土</t>
  </si>
  <si>
    <t>日野郡日野町三谷</t>
  </si>
  <si>
    <t>日野郡日野町本郷下本郷</t>
  </si>
  <si>
    <t>日野郡日野町本郷上本郷</t>
  </si>
  <si>
    <t>日野郡日野町本郷</t>
  </si>
  <si>
    <t>日野郡日野町別所</t>
  </si>
  <si>
    <t>日野郡日野町舟場</t>
  </si>
  <si>
    <t>日野郡日野町福長諏訪</t>
  </si>
  <si>
    <t>日野郡日野町福長漆原</t>
  </si>
  <si>
    <t>日野郡日野町福長井ノ原</t>
  </si>
  <si>
    <t>日野郡日野町福長</t>
  </si>
  <si>
    <t>日野郡日野町野田</t>
  </si>
  <si>
    <t>日野郡日野町根雨</t>
  </si>
  <si>
    <t>日野郡日野町濁谷</t>
  </si>
  <si>
    <t>日野郡日野町中菅中央</t>
  </si>
  <si>
    <t>日野郡日野町中菅近江</t>
  </si>
  <si>
    <t>日野郡日野町中菅</t>
  </si>
  <si>
    <t>日野郡日野町津地</t>
  </si>
  <si>
    <t>日野郡日野町下菅</t>
  </si>
  <si>
    <t>日野郡日野町下黒坂</t>
  </si>
  <si>
    <t>日野郡日野町下榎</t>
  </si>
  <si>
    <t>日野郡日野町小原</t>
  </si>
  <si>
    <t>日野郡日野町高尾</t>
  </si>
  <si>
    <t>日野郡日野町黒坂下</t>
  </si>
  <si>
    <t>日野郡日野町黒坂上</t>
  </si>
  <si>
    <t>日野郡日野町黒坂</t>
  </si>
  <si>
    <t>日野郡日野町久住</t>
  </si>
  <si>
    <t>日野郡日野町金持</t>
  </si>
  <si>
    <t>日野郡日野町上菅中</t>
  </si>
  <si>
    <t>日野郡日野町上菅下</t>
  </si>
  <si>
    <t>日野郡日野町上菅上</t>
  </si>
  <si>
    <t>日野郡日野町上菅</t>
  </si>
  <si>
    <t>日野郡日野町門谷</t>
  </si>
  <si>
    <t>日野郡日野町貝原</t>
  </si>
  <si>
    <t>日野郡日野町小河内</t>
  </si>
  <si>
    <t>日野郡日野町榎市</t>
  </si>
  <si>
    <t>日野郡日野町板井原</t>
  </si>
  <si>
    <t>日野郡日野町秋縄</t>
  </si>
  <si>
    <t>日野郡日野町</t>
  </si>
  <si>
    <t>日野郡日南町湯河</t>
  </si>
  <si>
    <t>日野郡日南町矢戸</t>
  </si>
  <si>
    <t>日野郡日南町三吉</t>
  </si>
  <si>
    <t>日野郡日南町宮内</t>
  </si>
  <si>
    <t>日野郡日南町三栄</t>
  </si>
  <si>
    <t>日野郡日南町丸山</t>
  </si>
  <si>
    <t>日野郡日南町福万来</t>
  </si>
  <si>
    <t>日野郡日南町福塚</t>
  </si>
  <si>
    <t>日野郡日南町福寿実</t>
  </si>
  <si>
    <t>日野郡日南町花口</t>
  </si>
  <si>
    <t>日野郡日南町萩原</t>
  </si>
  <si>
    <t>日野郡日南町新屋</t>
  </si>
  <si>
    <t>日野郡日南町中石見</t>
  </si>
  <si>
    <t>日野郡日南町豊栄</t>
  </si>
  <si>
    <t>日野郡日南町茶屋</t>
  </si>
  <si>
    <t>日野郡日南町多里</t>
  </si>
  <si>
    <t>日野郡日南町宝谷</t>
  </si>
  <si>
    <t>日野郡日南町菅沢</t>
  </si>
  <si>
    <t>日野郡日南町生山</t>
  </si>
  <si>
    <t>日野郡日南町下石見</t>
  </si>
  <si>
    <t>日野郡日南町下阿毘縁</t>
  </si>
  <si>
    <t>日野郡日南町佐木谷</t>
  </si>
  <si>
    <t>日野郡日南町河上</t>
  </si>
  <si>
    <t>日野郡日南町神福</t>
  </si>
  <si>
    <t>日野郡日南町上萩山</t>
  </si>
  <si>
    <t>日野郡日南町上石見</t>
  </si>
  <si>
    <t>日野郡日南町神戸上</t>
  </si>
  <si>
    <t>日野郡日南町霞</t>
  </si>
  <si>
    <t>日野郡日南町笠木</t>
  </si>
  <si>
    <t>日野郡日南町折渡</t>
  </si>
  <si>
    <t>日野郡日南町印賀</t>
  </si>
  <si>
    <t>日野郡日南町阿毘縁</t>
  </si>
  <si>
    <t>日野郡日南町</t>
  </si>
  <si>
    <t>日野郡</t>
  </si>
  <si>
    <t>西伯郡伯耆町吉長</t>
  </si>
  <si>
    <t>西伯郡伯耆町吉定</t>
  </si>
  <si>
    <t>西伯郡伯耆町焼杉</t>
  </si>
  <si>
    <t>西伯郡伯耆町宮原大原</t>
  </si>
  <si>
    <t>西伯郡伯耆町宮原</t>
  </si>
  <si>
    <t>西伯郡伯耆町溝口</t>
  </si>
  <si>
    <t>西伯郡伯耆町丸山</t>
  </si>
  <si>
    <t>西伯郡伯耆町真野</t>
  </si>
  <si>
    <t>西伯郡伯耆町古市</t>
  </si>
  <si>
    <t>西伯郡伯耆町船越</t>
  </si>
  <si>
    <t>西伯郡伯耆町福吉</t>
  </si>
  <si>
    <t>西伯郡伯耆町福島</t>
  </si>
  <si>
    <t>西伯郡伯耆町福兼福永</t>
  </si>
  <si>
    <t>西伯郡伯耆町福兼末鎌</t>
  </si>
  <si>
    <t>西伯郡伯耆町福兼</t>
  </si>
  <si>
    <t>西伯郡伯耆町福岡原</t>
  </si>
  <si>
    <t>西伯郡伯耆町福岡中央</t>
  </si>
  <si>
    <t>西伯郡伯耆町福岡下代</t>
  </si>
  <si>
    <t>西伯郡伯耆町福岡郷原</t>
  </si>
  <si>
    <t>西伯郡伯耆町福岡上谷</t>
  </si>
  <si>
    <t>西伯郡伯耆町福岡</t>
  </si>
  <si>
    <t>西伯郡伯耆町福居藤屋</t>
  </si>
  <si>
    <t>西伯郡伯耆町福居須鎌</t>
  </si>
  <si>
    <t>西伯郡伯耆町福居上の名</t>
  </si>
  <si>
    <t>西伯郡伯耆町福居</t>
  </si>
  <si>
    <t>西伯郡伯耆町番原</t>
  </si>
  <si>
    <t>西伯郡伯耆町畑池森脇</t>
  </si>
  <si>
    <t>西伯郡伯耆町畑池東畑池</t>
  </si>
  <si>
    <t>西伯郡伯耆町畑池中央</t>
  </si>
  <si>
    <t>西伯郡伯耆町畑池池田</t>
  </si>
  <si>
    <t>西伯郡伯耆町畑池</t>
  </si>
  <si>
    <t>西伯郡伯耆町根雨原</t>
  </si>
  <si>
    <t>西伯郡伯耆町二部間地</t>
  </si>
  <si>
    <t>西伯郡伯耆町二部中町</t>
  </si>
  <si>
    <t>西伯郡伯耆町二部中央</t>
  </si>
  <si>
    <t>西伯郡伯耆町二部</t>
  </si>
  <si>
    <t>西伯郡伯耆町長山</t>
  </si>
  <si>
    <t>西伯郡伯耆町中祖</t>
  </si>
  <si>
    <t>西伯郡伯耆町富江</t>
  </si>
  <si>
    <t>西伯郡伯耆町栃原籠原</t>
  </si>
  <si>
    <t>西伯郡伯耆町栃原</t>
  </si>
  <si>
    <t>西伯郡伯耆町父原</t>
  </si>
  <si>
    <t>西伯郡伯耆町谷川</t>
  </si>
  <si>
    <t>西伯郡伯耆町立岩</t>
  </si>
  <si>
    <t>西伯郡伯耆町添谷</t>
  </si>
  <si>
    <t>西伯郡伯耆町須村</t>
  </si>
  <si>
    <t>西伯郡伯耆町白水</t>
  </si>
  <si>
    <t>西伯郡伯耆町荘</t>
  </si>
  <si>
    <t>西伯郡伯耆町三部</t>
  </si>
  <si>
    <t>西伯郡伯耆町坂長</t>
  </si>
  <si>
    <t>西伯郡伯耆町小町</t>
  </si>
  <si>
    <t>西伯郡伯耆町小林藍野</t>
  </si>
  <si>
    <t>西伯郡伯耆町小林</t>
  </si>
  <si>
    <t>西伯郡伯耆町口別所</t>
  </si>
  <si>
    <t>西伯郡伯耆町久古福原</t>
  </si>
  <si>
    <t>西伯郡伯耆町久古</t>
  </si>
  <si>
    <t>西伯郡伯耆町清原林ケ原</t>
  </si>
  <si>
    <t>西伯郡伯耆町清原清山</t>
  </si>
  <si>
    <t>西伯郡伯耆町清原</t>
  </si>
  <si>
    <t>西伯郡伯耆町貴住</t>
  </si>
  <si>
    <t>西伯郡伯耆町岸本</t>
  </si>
  <si>
    <t>西伯郡伯耆町上細見</t>
  </si>
  <si>
    <t>西伯郡伯耆町金屋谷桝水高原</t>
  </si>
  <si>
    <t>西伯郡伯耆町金屋谷</t>
  </si>
  <si>
    <t>西伯郡伯耆町金廻</t>
  </si>
  <si>
    <t>西伯郡伯耆町小野</t>
  </si>
  <si>
    <t>西伯郡伯耆町押口</t>
  </si>
  <si>
    <t>西伯郡伯耆町大原</t>
  </si>
  <si>
    <t>西伯郡伯耆町大殿殿河内</t>
  </si>
  <si>
    <t>西伯郡伯耆町大殿田園町</t>
  </si>
  <si>
    <t>西伯郡伯耆町大殿大寺</t>
  </si>
  <si>
    <t>西伯郡伯耆町大殿</t>
  </si>
  <si>
    <t>西伯郡伯耆町大瀧</t>
  </si>
  <si>
    <t>西伯郡伯耆町大坂</t>
  </si>
  <si>
    <t>西伯郡伯耆町大倉大原</t>
  </si>
  <si>
    <t>西伯郡伯耆町大倉</t>
  </si>
  <si>
    <t>西伯郡伯耆町大江</t>
  </si>
  <si>
    <t>西伯郡伯耆町大内桝水高原</t>
  </si>
  <si>
    <t>西伯郡伯耆町大内</t>
  </si>
  <si>
    <t>西伯郡伯耆町遠藤</t>
  </si>
  <si>
    <t>西伯郡伯耆町宇代</t>
  </si>
  <si>
    <t>西伯郡伯耆町上野大平原</t>
  </si>
  <si>
    <t>西伯郡伯耆町上野</t>
  </si>
  <si>
    <t>西伯郡伯耆町岩屋谷</t>
  </si>
  <si>
    <t>西伯郡伯耆町岩立桝水高原</t>
  </si>
  <si>
    <t>西伯郡伯耆町岩立一本松</t>
  </si>
  <si>
    <t>西伯郡伯耆町岩立</t>
  </si>
  <si>
    <t>西伯郡伯耆町</t>
  </si>
  <si>
    <t>西伯郡南部町与一谷</t>
  </si>
  <si>
    <t>西伯郡南部町倭</t>
  </si>
  <si>
    <t>西伯郡南部町八金金ケ崎</t>
  </si>
  <si>
    <t>西伯郡南部町八金</t>
  </si>
  <si>
    <t>西伯郡南部町諸木西原</t>
  </si>
  <si>
    <t>西伯郡南部町諸木</t>
  </si>
  <si>
    <t>西伯郡南部町宮前</t>
  </si>
  <si>
    <t>西伯郡南部町三崎</t>
  </si>
  <si>
    <t>西伯郡南部町御内谷</t>
  </si>
  <si>
    <t>西伯郡南部町円山</t>
  </si>
  <si>
    <t>西伯郡南部町法勝寺</t>
  </si>
  <si>
    <t>西伯郡南部町福頼</t>
  </si>
  <si>
    <t>西伯郡南部町福成</t>
  </si>
  <si>
    <t>西伯郡南部町福里</t>
  </si>
  <si>
    <t>西伯郡南部町東町</t>
  </si>
  <si>
    <t>西伯郡南部町原小原</t>
  </si>
  <si>
    <t>西伯郡南部町原</t>
  </si>
  <si>
    <t>西伯郡南部町馬場</t>
  </si>
  <si>
    <t>西伯郡南部町馬佐良</t>
  </si>
  <si>
    <t>西伯郡南部町能竹</t>
  </si>
  <si>
    <t>西伯郡南部町西町</t>
  </si>
  <si>
    <t>西伯郡南部町西</t>
  </si>
  <si>
    <t>西伯郡南部町鍋倉</t>
  </si>
  <si>
    <t>西伯郡南部町中江原</t>
  </si>
  <si>
    <t>西伯郡南部町中今長</t>
  </si>
  <si>
    <t>西伯郡南部町中</t>
  </si>
  <si>
    <t>西伯郡南部町徳長</t>
  </si>
  <si>
    <t>西伯郡南部町東上二桝</t>
  </si>
  <si>
    <t>西伯郡南部町東上常清</t>
  </si>
  <si>
    <t>西伯郡南部町東上金山</t>
  </si>
  <si>
    <t>西伯郡南部町東上</t>
  </si>
  <si>
    <t>西伯郡南部町道河内</t>
  </si>
  <si>
    <t>西伯郡南部町天萬</t>
  </si>
  <si>
    <t>西伯郡南部町寺内</t>
  </si>
  <si>
    <t>西伯郡南部町鶴田</t>
  </si>
  <si>
    <t>西伯郡南部町田住</t>
  </si>
  <si>
    <t>西伯郡南部町武信</t>
  </si>
  <si>
    <t>西伯郡南部町高姫</t>
  </si>
  <si>
    <t>西伯郡南部町下中谷賀祥</t>
  </si>
  <si>
    <t>西伯郡南部町下中谷入蔵</t>
  </si>
  <si>
    <t>西伯郡南部町下中谷あご牛</t>
  </si>
  <si>
    <t>西伯郡南部町下中谷</t>
  </si>
  <si>
    <t>西伯郡南部町清水川</t>
  </si>
  <si>
    <t>西伯郡南部町境</t>
  </si>
  <si>
    <t>西伯郡南部町伐株</t>
  </si>
  <si>
    <t>西伯郡南部町絹屋口絹屋</t>
  </si>
  <si>
    <t>西伯郡南部町絹屋奥絹屋</t>
  </si>
  <si>
    <t>西伯郡南部町絹屋</t>
  </si>
  <si>
    <t>西伯郡南部町北方長田</t>
  </si>
  <si>
    <t>西伯郡南部町北方</t>
  </si>
  <si>
    <t>西伯郡南部町鴨部下鴨部</t>
  </si>
  <si>
    <t>西伯郡南部町鴨部上鴨部</t>
  </si>
  <si>
    <t>西伯郡南部町鴨部</t>
  </si>
  <si>
    <t>西伯郡南部町上中谷早田</t>
  </si>
  <si>
    <t>西伯郡南部町上中谷大河内</t>
  </si>
  <si>
    <t>西伯郡南部町上中谷赤谷</t>
  </si>
  <si>
    <t>西伯郡南部町上中谷</t>
  </si>
  <si>
    <t>西伯郡南部町金田</t>
  </si>
  <si>
    <t>西伯郡南部町掛相</t>
  </si>
  <si>
    <t>西伯郡南部町落合三本木</t>
  </si>
  <si>
    <t>西伯郡南部町落合</t>
  </si>
  <si>
    <t>西伯郡南部町荻名</t>
  </si>
  <si>
    <t>西伯郡南部町大木屋</t>
  </si>
  <si>
    <t>西伯郡南部町猪小路</t>
  </si>
  <si>
    <t>西伯郡南部町井上</t>
  </si>
  <si>
    <t>西伯郡南部町市山</t>
  </si>
  <si>
    <t>西伯郡南部町池野</t>
  </si>
  <si>
    <t>西伯郡南部町朝金</t>
  </si>
  <si>
    <t>西伯郡南部町浅井</t>
  </si>
  <si>
    <t>西伯郡南部町阿賀下阿賀</t>
  </si>
  <si>
    <t>西伯郡南部町阿賀上阿賀</t>
  </si>
  <si>
    <t>西伯郡南部町阿賀</t>
  </si>
  <si>
    <t>西伯郡南部町</t>
  </si>
  <si>
    <t>西伯郡中山町八重</t>
  </si>
  <si>
    <t>西伯郡中山町御崎南御崎</t>
  </si>
  <si>
    <t>西伯郡中山町御崎北御崎</t>
  </si>
  <si>
    <t>西伯郡中山町御崎</t>
  </si>
  <si>
    <t>西伯郡中山町松河原香取</t>
  </si>
  <si>
    <t>西伯郡中山町松河原長野</t>
  </si>
  <si>
    <t>西伯郡中山町松河原庄田</t>
  </si>
  <si>
    <t>西伯郡中山町松河原大中尾</t>
  </si>
  <si>
    <t>西伯郡中山町松河原</t>
  </si>
  <si>
    <t>西伯郡中山町樋口</t>
  </si>
  <si>
    <t>西伯郡中山町羽田井報国</t>
  </si>
  <si>
    <t>西伯郡中山町羽田井萩原</t>
  </si>
  <si>
    <t>西伯郡中山町羽田井</t>
  </si>
  <si>
    <t>西伯郡中山町豊成</t>
  </si>
  <si>
    <t>西伯郡中山町殿河内</t>
  </si>
  <si>
    <t>西伯郡中山町束積</t>
  </si>
  <si>
    <t>西伯郡中山町潮音寺</t>
  </si>
  <si>
    <t>西伯郡中山町田中中山口駅前</t>
  </si>
  <si>
    <t>西伯郡中山町田中下田中</t>
  </si>
  <si>
    <t>西伯郡中山町田中金屋</t>
  </si>
  <si>
    <t>西伯郡中山町田中植松</t>
  </si>
  <si>
    <t>西伯郡中山町田中阿弥陀山</t>
  </si>
  <si>
    <t>西伯郡中山町田中</t>
  </si>
  <si>
    <t>西伯郡中山町高橋香取</t>
  </si>
  <si>
    <t>西伯郡中山町高橋</t>
  </si>
  <si>
    <t>西伯郡中山町退休寺樋谷</t>
  </si>
  <si>
    <t>西伯郡中山町退休寺</t>
  </si>
  <si>
    <t>西伯郡中山町住吉中池谷</t>
  </si>
  <si>
    <t>西伯郡中山町住吉</t>
  </si>
  <si>
    <t>西伯郡中山町下甲曲松</t>
  </si>
  <si>
    <t>西伯郡中山町下甲春日</t>
  </si>
  <si>
    <t>西伯郡中山町下甲</t>
  </si>
  <si>
    <t>西伯郡中山町下市二本松</t>
  </si>
  <si>
    <t>西伯郡中山町下市林ノ峰</t>
  </si>
  <si>
    <t>西伯郡中山町下市</t>
  </si>
  <si>
    <t>西伯郡中山町塩津中尾駅前</t>
  </si>
  <si>
    <t>西伯郡中山町塩津中尾</t>
  </si>
  <si>
    <t>西伯郡中山町塩津</t>
  </si>
  <si>
    <t>西伯郡中山町栄田</t>
  </si>
  <si>
    <t>西伯郡中山町岡</t>
  </si>
  <si>
    <t>西伯郡中山町上市</t>
  </si>
  <si>
    <t>西伯郡中山町石井垣</t>
  </si>
  <si>
    <t>西伯郡中山町赤坂因ノ庄</t>
  </si>
  <si>
    <t>西伯郡中山町赤坂</t>
  </si>
  <si>
    <t>西伯郡中山町</t>
  </si>
  <si>
    <t>西伯郡名和町門前下大山</t>
  </si>
  <si>
    <t>西伯郡名和町門前上大山</t>
  </si>
  <si>
    <t>西伯郡名和町門前</t>
  </si>
  <si>
    <t>西伯郡名和町御来屋南区</t>
  </si>
  <si>
    <t>西伯郡名和町御来屋東区</t>
  </si>
  <si>
    <t>西伯郡名和町御来屋</t>
  </si>
  <si>
    <t>西伯郡名和町東坪下坪</t>
  </si>
  <si>
    <t>西伯郡名和町東坪上坪東</t>
  </si>
  <si>
    <t>西伯郡名和町東坪上坪西</t>
  </si>
  <si>
    <t>西伯郡名和町東坪</t>
  </si>
  <si>
    <t>西伯郡名和町西坪駅前</t>
  </si>
  <si>
    <t>西伯郡名和町西坪</t>
  </si>
  <si>
    <t>西伯郡名和町名和東谷</t>
  </si>
  <si>
    <t>西伯郡名和町名和坪田</t>
  </si>
  <si>
    <t>西伯郡名和町名和新坪田</t>
  </si>
  <si>
    <t>西伯郡名和町名和</t>
  </si>
  <si>
    <t>西伯郡名和町豊成陣構</t>
  </si>
  <si>
    <t>西伯郡名和町豊成下前谷</t>
  </si>
  <si>
    <t>西伯郡名和町豊成下木料</t>
  </si>
  <si>
    <t>西伯郡名和町豊成上前谷</t>
  </si>
  <si>
    <t>西伯郡名和町豊成上木料</t>
  </si>
  <si>
    <t>西伯郡名和町豊成</t>
  </si>
  <si>
    <t>西伯郡名和町富長東</t>
  </si>
  <si>
    <t>西伯郡名和町富長西</t>
  </si>
  <si>
    <t>西伯郡名和町富長中</t>
  </si>
  <si>
    <t>西伯郡名和町富長</t>
  </si>
  <si>
    <t>西伯郡名和町茶畑</t>
  </si>
  <si>
    <t>西伯郡名和町高田南高田</t>
  </si>
  <si>
    <t>西伯郡名和町高田東高田</t>
  </si>
  <si>
    <t>西伯郡名和町高田西高田</t>
  </si>
  <si>
    <t>西伯郡名和町高田新高田</t>
  </si>
  <si>
    <t>西伯郡名和町高田上高田</t>
  </si>
  <si>
    <t>西伯郡名和町高田</t>
  </si>
  <si>
    <t>西伯郡名和町古御堂文珠領</t>
  </si>
  <si>
    <t>西伯郡名和町古御堂</t>
  </si>
  <si>
    <t>西伯郡名和町小竹峰小竹</t>
  </si>
  <si>
    <t>西伯郡名和町小竹</t>
  </si>
  <si>
    <t>西伯郡名和町倉谷</t>
  </si>
  <si>
    <t>西伯郡名和町加茂渡道</t>
  </si>
  <si>
    <t>西伯郡名和町加茂栃原</t>
  </si>
  <si>
    <t>西伯郡名和町加茂旧奈和</t>
  </si>
  <si>
    <t>西伯郡名和町加茂神田</t>
  </si>
  <si>
    <t>西伯郡名和町加茂香取弥生</t>
  </si>
  <si>
    <t>西伯郡名和町加茂梶原</t>
  </si>
  <si>
    <t>西伯郡名和町加茂</t>
  </si>
  <si>
    <t>西伯郡名和町押平原</t>
  </si>
  <si>
    <t>西伯郡名和町押平中村</t>
  </si>
  <si>
    <t>西伯郡名和町押平上押平</t>
  </si>
  <si>
    <t>西伯郡名和町押平</t>
  </si>
  <si>
    <t>西伯郡名和町大塚福田</t>
  </si>
  <si>
    <t>西伯郡名和町大塚塚根</t>
  </si>
  <si>
    <t>西伯郡名和町大塚千歳</t>
  </si>
  <si>
    <t>西伯郡名和町大塚大雀</t>
  </si>
  <si>
    <t>西伯郡名和町大塚</t>
  </si>
  <si>
    <t>西伯郡名和町</t>
  </si>
  <si>
    <t>西伯郡大山町八重</t>
  </si>
  <si>
    <t>西伯郡大山町門前下大山</t>
  </si>
  <si>
    <t>西伯郡大山町門前上大山</t>
  </si>
  <si>
    <t>西伯郡大山町門前</t>
  </si>
  <si>
    <t>西伯郡大山町御崎南御崎</t>
  </si>
  <si>
    <t>西伯郡大山町御崎北御崎</t>
  </si>
  <si>
    <t>西伯郡大山町御崎</t>
  </si>
  <si>
    <t>西伯郡大山町御来屋南区</t>
  </si>
  <si>
    <t>西伯郡大山町御来屋東区</t>
  </si>
  <si>
    <t>西伯郡大山町御来屋</t>
  </si>
  <si>
    <t>西伯郡大山町松河原長野</t>
  </si>
  <si>
    <t>西伯郡大山町松河原庄田</t>
  </si>
  <si>
    <t>西伯郡大山町松河原香取</t>
  </si>
  <si>
    <t>西伯郡大山町松河原大中尾</t>
  </si>
  <si>
    <t>西伯郡大山町松河原</t>
  </si>
  <si>
    <t>西伯郡大山町樋口</t>
  </si>
  <si>
    <t>西伯郡大山町東坪下坪</t>
  </si>
  <si>
    <t>西伯郡大山町東坪上坪東</t>
  </si>
  <si>
    <t>西伯郡大山町東坪上坪西</t>
  </si>
  <si>
    <t>西伯郡大山町東坪</t>
  </si>
  <si>
    <t>西伯郡大山町羽田井報国</t>
  </si>
  <si>
    <t>西伯郡大山町羽田井萩原</t>
  </si>
  <si>
    <t>西伯郡大山町羽田井</t>
  </si>
  <si>
    <t>西伯郡大山町西坪駅前</t>
  </si>
  <si>
    <t>西伯郡大山町西坪</t>
  </si>
  <si>
    <t>西伯郡大山町名和東谷</t>
  </si>
  <si>
    <t>西伯郡大山町名和坪田</t>
  </si>
  <si>
    <t>西伯郡大山町名和新坪田</t>
  </si>
  <si>
    <t>西伯郡大山町名和</t>
  </si>
  <si>
    <t>西伯郡大山町長野</t>
  </si>
  <si>
    <t>西伯郡大山町豊成陣構</t>
  </si>
  <si>
    <t>西伯郡大山町豊成下前谷</t>
  </si>
  <si>
    <t>西伯郡大山町豊成下木料</t>
  </si>
  <si>
    <t>西伯郡大山町豊成上前谷</t>
  </si>
  <si>
    <t>西伯郡大山町豊成上木料</t>
  </si>
  <si>
    <t>西伯郡大山町豊成</t>
  </si>
  <si>
    <t>西伯郡大山町富長東</t>
  </si>
  <si>
    <t>西伯郡大山町富長西</t>
  </si>
  <si>
    <t>西伯郡大山町富長中</t>
  </si>
  <si>
    <t>西伯郡大山町富長</t>
  </si>
  <si>
    <t>西伯郡大山町殿河内</t>
  </si>
  <si>
    <t>西伯郡大山町束積</t>
  </si>
  <si>
    <t>西伯郡大山町潮音寺</t>
  </si>
  <si>
    <t>西伯郡大山町茶畑</t>
  </si>
  <si>
    <t>西伯郡大山町田中中山口駅前</t>
  </si>
  <si>
    <t>西伯郡大山町田中下田中</t>
  </si>
  <si>
    <t>西伯郡大山町田中金屋</t>
  </si>
  <si>
    <t>西伯郡大山町田中植松</t>
  </si>
  <si>
    <t>西伯郡大山町田中阿弥陀山</t>
  </si>
  <si>
    <t>西伯郡大山町田中</t>
  </si>
  <si>
    <t>西伯郡大山町高橋香取</t>
  </si>
  <si>
    <t>西伯郡大山町高橋</t>
  </si>
  <si>
    <t>西伯郡大山町高田南高田</t>
  </si>
  <si>
    <t>西伯郡大山町高田東高田</t>
  </si>
  <si>
    <t>西伯郡大山町高田西高田</t>
  </si>
  <si>
    <t>西伯郡大山町高田新高田</t>
  </si>
  <si>
    <t>西伯郡大山町高田上高田</t>
  </si>
  <si>
    <t>西伯郡大山町高田</t>
  </si>
  <si>
    <t>西伯郡大山町退休寺樋谷</t>
  </si>
  <si>
    <t>西伯郡大山町退休寺</t>
  </si>
  <si>
    <t>西伯郡大山町住吉中池谷</t>
  </si>
  <si>
    <t>西伯郡大山町住吉</t>
  </si>
  <si>
    <t>西伯郡大山町下甲曲松</t>
  </si>
  <si>
    <t>西伯郡大山町下甲春日</t>
  </si>
  <si>
    <t>西伯郡大山町下甲</t>
  </si>
  <si>
    <t>西伯郡大山町下市林之峯</t>
  </si>
  <si>
    <t>西伯郡大山町下市二本松</t>
  </si>
  <si>
    <t>西伯郡大山町下市</t>
  </si>
  <si>
    <t>西伯郡大山町塩津中尾駅前</t>
  </si>
  <si>
    <t>西伯郡大山町塩津中尾</t>
  </si>
  <si>
    <t>西伯郡大山町塩津</t>
  </si>
  <si>
    <t>西伯郡大山町栄田</t>
  </si>
  <si>
    <t>西伯郡大山町古御堂文珠領</t>
  </si>
  <si>
    <t>西伯郡大山町古御堂</t>
  </si>
  <si>
    <t>西伯郡大山町小竹峰小竹</t>
  </si>
  <si>
    <t>西伯郡大山町小竹</t>
  </si>
  <si>
    <t>西伯郡大山町倉谷</t>
  </si>
  <si>
    <t>西伯郡大山町加茂渡道</t>
  </si>
  <si>
    <t>西伯郡大山町加茂栃原</t>
  </si>
  <si>
    <t>西伯郡大山町加茂旧奈和</t>
  </si>
  <si>
    <t>西伯郡大山町加茂神田</t>
  </si>
  <si>
    <t>西伯郡大山町加茂香取弥生</t>
  </si>
  <si>
    <t>西伯郡大山町加茂梶原</t>
  </si>
  <si>
    <t>西伯郡大山町加茂</t>
  </si>
  <si>
    <t>西伯郡大山町押平原</t>
  </si>
  <si>
    <t>西伯郡大山町押平中村</t>
  </si>
  <si>
    <t>西伯郡大山町押平上押平</t>
  </si>
  <si>
    <t>西伯郡大山町押平</t>
  </si>
  <si>
    <t>西伯郡大山町岡</t>
  </si>
  <si>
    <t>西伯郡大山町大塚福田</t>
  </si>
  <si>
    <t>西伯郡大山町大塚塚根</t>
  </si>
  <si>
    <t>西伯郡大山町大塚千歳</t>
  </si>
  <si>
    <t>西伯郡大山町大塚大雀</t>
  </si>
  <si>
    <t>西伯郡大山町大塚</t>
  </si>
  <si>
    <t>西伯郡大山町上市</t>
  </si>
  <si>
    <t>西伯郡大山町石井垣</t>
  </si>
  <si>
    <t>西伯郡大山町赤坂因ノ庄</t>
  </si>
  <si>
    <t>西伯郡大山町赤坂</t>
  </si>
  <si>
    <t>西伯郡大山町安原</t>
  </si>
  <si>
    <t>西伯郡大山町保田</t>
  </si>
  <si>
    <t>西伯郡大山町妻木</t>
  </si>
  <si>
    <t>西伯郡大山町宮内</t>
  </si>
  <si>
    <t>西伯郡大山町前</t>
  </si>
  <si>
    <t>西伯郡大山町坊領</t>
  </si>
  <si>
    <t>西伯郡大山町福尾</t>
  </si>
  <si>
    <t>西伯郡大山町平田</t>
  </si>
  <si>
    <t>西伯郡大山町平木</t>
  </si>
  <si>
    <t>西伯郡大山町平</t>
  </si>
  <si>
    <t>西伯郡大山町野田</t>
  </si>
  <si>
    <t>西伯郡大山町長田</t>
  </si>
  <si>
    <t>西伯郡大山町中高</t>
  </si>
  <si>
    <t>西伯郡大山町豊房別所</t>
  </si>
  <si>
    <t>西伯郡大山町豊房原</t>
  </si>
  <si>
    <t>西伯郡大山町豊房畑</t>
  </si>
  <si>
    <t>西伯郡大山町豊房蔵岡</t>
  </si>
  <si>
    <t>西伯郡大山町豊房香取</t>
  </si>
  <si>
    <t>西伯郡大山町豊房</t>
  </si>
  <si>
    <t>西伯郡大山町富岡</t>
  </si>
  <si>
    <t>西伯郡大山町所子</t>
  </si>
  <si>
    <t>西伯郡大山町唐王</t>
  </si>
  <si>
    <t>西伯郡大山町大山</t>
  </si>
  <si>
    <t>西伯郡大山町鈑戸種原</t>
  </si>
  <si>
    <t>西伯郡大山町鈑戸</t>
  </si>
  <si>
    <t>西伯郡大山町末吉</t>
  </si>
  <si>
    <t>西伯郡大山町末長</t>
  </si>
  <si>
    <t>西伯郡大山町上萬</t>
  </si>
  <si>
    <t>西伯郡大山町荘田</t>
  </si>
  <si>
    <t>西伯郡大山町佐摩</t>
  </si>
  <si>
    <t>西伯郡大山町國信大山口</t>
  </si>
  <si>
    <t>西伯郡大山町國信</t>
  </si>
  <si>
    <t>西伯郡大山町清原</t>
  </si>
  <si>
    <t>西伯郡大山町神原</t>
  </si>
  <si>
    <t>西伯郡大山町上野</t>
  </si>
  <si>
    <t>西伯郡大山町今在家</t>
  </si>
  <si>
    <t>西伯郡大山町稲光</t>
  </si>
  <si>
    <t>西伯郡大山町赤松中槇原</t>
  </si>
  <si>
    <t>西伯郡大山町赤松下槇原</t>
  </si>
  <si>
    <t>西伯郡大山町赤松大谷</t>
  </si>
  <si>
    <t>西伯郡大山町赤松一の谷</t>
  </si>
  <si>
    <t>西伯郡大山町赤松明間</t>
  </si>
  <si>
    <t>西伯郡大山町赤松</t>
  </si>
  <si>
    <t>西伯郡大山町</t>
  </si>
  <si>
    <t>西伯郡淀江町淀江8区</t>
  </si>
  <si>
    <t>西伯郡淀江町淀江7区</t>
  </si>
  <si>
    <t>西伯郡淀江町淀江6区</t>
  </si>
  <si>
    <t>西伯郡淀江町淀江5区</t>
  </si>
  <si>
    <t>西伯郡淀江町淀江4区</t>
  </si>
  <si>
    <t>西伯郡淀江町淀江3区</t>
  </si>
  <si>
    <t>西伯郡淀江町淀江2区</t>
  </si>
  <si>
    <t>西伯郡淀江町淀江1区</t>
  </si>
  <si>
    <t>西伯郡淀江町淀江</t>
  </si>
  <si>
    <t>西伯郡淀江町本宮</t>
  </si>
  <si>
    <t>西伯郡淀江町福頼</t>
  </si>
  <si>
    <t>西伯郡淀江町福岡北尾</t>
  </si>
  <si>
    <t>西伯郡淀江町福岡上淀</t>
  </si>
  <si>
    <t>西伯郡淀江町福岡</t>
  </si>
  <si>
    <t>西伯郡淀江町福井</t>
  </si>
  <si>
    <t>西伯郡淀江町平岡</t>
  </si>
  <si>
    <t>西伯郡淀江町西原11区</t>
  </si>
  <si>
    <t>西伯郡淀江町西原1０区</t>
  </si>
  <si>
    <t>西伯郡淀江町西原9区</t>
  </si>
  <si>
    <t>西伯郡淀江町西原</t>
  </si>
  <si>
    <t>西伯郡淀江町西尾原</t>
  </si>
  <si>
    <t>西伯郡淀江町中間亀甲新道</t>
  </si>
  <si>
    <t>西伯郡淀江町中間亀甲</t>
  </si>
  <si>
    <t>西伯郡淀江町中間</t>
  </si>
  <si>
    <t>西伯郡淀江町中西尾</t>
  </si>
  <si>
    <t>西伯郡淀江町富繁</t>
  </si>
  <si>
    <t>西伯郡淀江町高井谷</t>
  </si>
  <si>
    <t>西伯郡淀江町佐陀新田</t>
  </si>
  <si>
    <t>西伯郡淀江町佐陀桜台</t>
  </si>
  <si>
    <t>西伯郡淀江町佐陀</t>
  </si>
  <si>
    <t>西伯郡淀江町小波浜</t>
  </si>
  <si>
    <t>西伯郡淀江町小波上</t>
  </si>
  <si>
    <t>西伯郡淀江町小波</t>
  </si>
  <si>
    <t>西伯郡淀江町今津</t>
  </si>
  <si>
    <t>西伯郡淀江町稲吉</t>
  </si>
  <si>
    <t>西伯郡淀江町</t>
  </si>
  <si>
    <t>西伯郡日吉津村日吉津</t>
  </si>
  <si>
    <t>西伯郡日吉津村富吉</t>
  </si>
  <si>
    <t>西伯郡日吉津村今吉</t>
  </si>
  <si>
    <t>西伯郡日吉津村</t>
  </si>
  <si>
    <t>西伯郡岸本町吉長</t>
  </si>
  <si>
    <t>西伯郡岸本町吉定</t>
  </si>
  <si>
    <t>西伯郡岸本町丸山</t>
  </si>
  <si>
    <t>西伯郡岸本町真野</t>
  </si>
  <si>
    <t>西伯郡岸本町福岡</t>
  </si>
  <si>
    <t>西伯郡岸本町番原</t>
  </si>
  <si>
    <t>西伯郡岸本町立岩</t>
  </si>
  <si>
    <t>西伯郡岸本町須村</t>
  </si>
  <si>
    <t>西伯郡岸本町坂長</t>
  </si>
  <si>
    <t>西伯郡岸本町小町</t>
  </si>
  <si>
    <t>西伯郡岸本町小林藍野</t>
  </si>
  <si>
    <t>西伯郡岸本町小林</t>
  </si>
  <si>
    <t>西伯郡岸本町口別所</t>
  </si>
  <si>
    <t>西伯郡岸本町久古福原</t>
  </si>
  <si>
    <t>西伯郡岸本町久古</t>
  </si>
  <si>
    <t>西伯郡岸本町清原林ケ原</t>
  </si>
  <si>
    <t>西伯郡岸本町清原清山</t>
  </si>
  <si>
    <t>西伯郡岸本町清原</t>
  </si>
  <si>
    <t>西伯郡岸本町岸本</t>
  </si>
  <si>
    <t>西伯郡岸本町上細見</t>
  </si>
  <si>
    <t>西伯郡岸本町金廻</t>
  </si>
  <si>
    <t>西伯郡岸本町小野</t>
  </si>
  <si>
    <t>西伯郡岸本町押口</t>
  </si>
  <si>
    <t>西伯郡岸本町大原</t>
  </si>
  <si>
    <t>西伯郡岸本町大殿田園町</t>
  </si>
  <si>
    <t>西伯郡岸本町大殿殿河内</t>
  </si>
  <si>
    <t>西伯郡岸本町大殿大寺</t>
  </si>
  <si>
    <t>西伯郡岸本町大殿</t>
  </si>
  <si>
    <t>西伯郡岸本町遠藤</t>
  </si>
  <si>
    <t>西伯郡岸本町岩屋谷</t>
  </si>
  <si>
    <t>西伯郡岸本町</t>
  </si>
  <si>
    <t>西伯郡会見町福里</t>
  </si>
  <si>
    <t>西伯郡会見町諸木西原</t>
  </si>
  <si>
    <t>西伯郡会見町諸木</t>
  </si>
  <si>
    <t>西伯郡会見町宮前</t>
  </si>
  <si>
    <t>西伯郡会見町三崎</t>
  </si>
  <si>
    <t>西伯郡会見町御内谷</t>
  </si>
  <si>
    <t>西伯郡会見町円山</t>
  </si>
  <si>
    <t>西伯郡会見町西原</t>
  </si>
  <si>
    <t>西伯郡会見町天萬</t>
  </si>
  <si>
    <t>西伯郡会見町寺内</t>
  </si>
  <si>
    <t>西伯郡会見町鶴田</t>
  </si>
  <si>
    <t>西伯郡会見町田住</t>
  </si>
  <si>
    <t>西伯郡会見町高姫</t>
  </si>
  <si>
    <t>西伯郡会見町金田</t>
  </si>
  <si>
    <t>西伯郡会見町荻名</t>
  </si>
  <si>
    <t>西伯郡会見町井上</t>
  </si>
  <si>
    <t>西伯郡会見町市山</t>
  </si>
  <si>
    <t>西伯郡会見町池野</t>
  </si>
  <si>
    <t>西伯郡会見町朝金</t>
  </si>
  <si>
    <t>西伯郡会見町浅井</t>
  </si>
  <si>
    <t>西伯郡会見町</t>
  </si>
  <si>
    <t>西伯郡西伯町与一谷</t>
  </si>
  <si>
    <t>西伯郡西伯町倭</t>
  </si>
  <si>
    <t>西伯郡西伯町八金金ケ崎</t>
  </si>
  <si>
    <t>西伯郡西伯町八金</t>
  </si>
  <si>
    <t>西伯郡西伯町法勝寺</t>
  </si>
  <si>
    <t>西伯郡西伯町福頼</t>
  </si>
  <si>
    <t>西伯郡西伯町福成</t>
  </si>
  <si>
    <t>西伯郡西伯町東町</t>
  </si>
  <si>
    <t>西伯郡西伯町馬場</t>
  </si>
  <si>
    <t>西伯郡西伯町馬佐良</t>
  </si>
  <si>
    <t>西伯郡西伯町原小原</t>
  </si>
  <si>
    <t>西伯郡西伯町原</t>
  </si>
  <si>
    <t>西伯郡西伯町能竹</t>
  </si>
  <si>
    <t>西伯郡西伯町西町</t>
  </si>
  <si>
    <t>西伯郡西伯町西</t>
  </si>
  <si>
    <t>西伯郡西伯町鍋倉</t>
  </si>
  <si>
    <t>西伯郡西伯町中江原</t>
  </si>
  <si>
    <t>西伯郡西伯町中今長</t>
  </si>
  <si>
    <t>西伯郡西伯町中</t>
  </si>
  <si>
    <t>西伯郡西伯町道河内</t>
  </si>
  <si>
    <t>西伯郡西伯町徳長</t>
  </si>
  <si>
    <t>西伯郡西伯町東上二桝</t>
  </si>
  <si>
    <t>西伯郡西伯町東上常清</t>
  </si>
  <si>
    <t>西伯郡西伯町東上金山</t>
  </si>
  <si>
    <t>西伯郡西伯町東上</t>
  </si>
  <si>
    <t>西伯郡西伯町武信</t>
  </si>
  <si>
    <t>西伯郡西伯町下中谷定常</t>
  </si>
  <si>
    <t>西伯郡西伯町下中谷賀祥</t>
  </si>
  <si>
    <t>西伯郡西伯町下中谷入蔵</t>
  </si>
  <si>
    <t>西伯郡西伯町下中谷あごうじ</t>
  </si>
  <si>
    <t>西伯郡西伯町下中谷</t>
  </si>
  <si>
    <t>西伯郡西伯町清水川</t>
  </si>
  <si>
    <t>西伯郡西伯町笹畑</t>
  </si>
  <si>
    <t>西伯郡西伯町境</t>
  </si>
  <si>
    <t>西伯郡西伯町伐株</t>
  </si>
  <si>
    <t>西伯郡西伯町絹屋口絹屋</t>
  </si>
  <si>
    <t>西伯郡西伯町絹屋奥絹屋</t>
  </si>
  <si>
    <t>西伯郡西伯町絹屋</t>
  </si>
  <si>
    <t>西伯郡西伯町北方長田</t>
  </si>
  <si>
    <t>西伯郡西伯町北方</t>
  </si>
  <si>
    <t>西伯郡西伯町鴨部下鴨部</t>
  </si>
  <si>
    <t>西伯郡西伯町鴨部上鴨部</t>
  </si>
  <si>
    <t>西伯郡西伯町鴨部</t>
  </si>
  <si>
    <t>西伯郡西伯町上中谷早田</t>
  </si>
  <si>
    <t>西伯郡西伯町上中谷大河内</t>
  </si>
  <si>
    <t>西伯郡西伯町上中谷赤谷</t>
  </si>
  <si>
    <t>西伯郡西伯町上中谷</t>
  </si>
  <si>
    <t>西伯郡西伯町掛相</t>
  </si>
  <si>
    <t>西伯郡西伯町落合三本木</t>
  </si>
  <si>
    <t>西伯郡西伯町落合</t>
  </si>
  <si>
    <t>西伯郡西伯町大木屋</t>
  </si>
  <si>
    <t>西伯郡西伯町猪小路</t>
  </si>
  <si>
    <t>西伯郡西伯町阿賀下阿賀</t>
  </si>
  <si>
    <t>西伯郡西伯町阿賀上阿賀</t>
  </si>
  <si>
    <t>西伯郡西伯町阿賀</t>
  </si>
  <si>
    <t>西伯郡西伯町</t>
  </si>
  <si>
    <t>西伯郡</t>
  </si>
  <si>
    <t>東伯郡北栄町米里</t>
  </si>
  <si>
    <t>東伯郡北栄町由良宿別所</t>
  </si>
  <si>
    <t>東伯郡北栄町由良宿比山</t>
  </si>
  <si>
    <t>東伯郡北栄町由良宿青木</t>
  </si>
  <si>
    <t>東伯郡北栄町由良宿</t>
  </si>
  <si>
    <t>東伯郡北栄町弓原浜</t>
  </si>
  <si>
    <t>東伯郡北栄町弓原</t>
  </si>
  <si>
    <t>東伯郡北栄町六尾</t>
  </si>
  <si>
    <t>東伯郡北栄町松神</t>
  </si>
  <si>
    <t>東伯郡北栄町曲</t>
  </si>
  <si>
    <t>東伯郡北栄町穂波</t>
  </si>
  <si>
    <t>東伯郡北栄町北条島向山</t>
  </si>
  <si>
    <t>東伯郡北栄町北条島</t>
  </si>
  <si>
    <t>東伯郡北栄町東高尾</t>
  </si>
  <si>
    <t>東伯郡北栄町東園</t>
  </si>
  <si>
    <t>東伯郡北栄町原</t>
  </si>
  <si>
    <t>東伯郡北栄町土下</t>
  </si>
  <si>
    <t>東伯郡北栄町西穂波</t>
  </si>
  <si>
    <t>東伯郡北栄町西高尾</t>
  </si>
  <si>
    <t>東伯郡北栄町西園</t>
  </si>
  <si>
    <t>東伯郡北栄町妻波</t>
  </si>
  <si>
    <t>東伯郡北栄町田井</t>
  </si>
  <si>
    <t>東伯郡北栄町瀬戸</t>
  </si>
  <si>
    <t>東伯郡北栄町下神駅前</t>
  </si>
  <si>
    <t>東伯郡北栄町下神</t>
  </si>
  <si>
    <t>東伯郡北栄町下種</t>
  </si>
  <si>
    <t>東伯郡北栄町国坂浜</t>
  </si>
  <si>
    <t>東伯郡北栄町国坂大野</t>
  </si>
  <si>
    <t>東伯郡北栄町国坂</t>
  </si>
  <si>
    <t>東伯郡北栄町北尾</t>
  </si>
  <si>
    <t>東伯郡北栄町亀谷東亀谷</t>
  </si>
  <si>
    <t>東伯郡北栄町亀谷</t>
  </si>
  <si>
    <t>東伯郡北栄町上種</t>
  </si>
  <si>
    <t>東伯郡北栄町大谷</t>
  </si>
  <si>
    <t>東伯郡北栄町大島</t>
  </si>
  <si>
    <t>東伯郡北栄町江北みどり</t>
  </si>
  <si>
    <t>東伯郡北栄町江北東新田場</t>
  </si>
  <si>
    <t>東伯郡北栄町江北浜</t>
  </si>
  <si>
    <t>東伯郡北栄町江北西新田場</t>
  </si>
  <si>
    <t>東伯郡北栄町江北</t>
  </si>
  <si>
    <t>東伯郡北栄町岩坪高千穂</t>
  </si>
  <si>
    <t>東伯郡北栄町岩坪</t>
  </si>
  <si>
    <t>東伯郡北栄町</t>
  </si>
  <si>
    <t>東伯郡琴浦町湯坂</t>
  </si>
  <si>
    <t>東伯郡琴浦町八幡向原</t>
  </si>
  <si>
    <t>東伯郡琴浦町八幡下市</t>
  </si>
  <si>
    <t>東伯郡琴浦町八幡</t>
  </si>
  <si>
    <t>東伯郡琴浦町山田</t>
  </si>
  <si>
    <t>東伯郡琴浦町山川木地</t>
  </si>
  <si>
    <t>東伯郡琴浦町山川</t>
  </si>
  <si>
    <t>東伯郡琴浦町八橋大成</t>
  </si>
  <si>
    <t>東伯郡琴浦町八橋岩本</t>
  </si>
  <si>
    <t>東伯郡琴浦町八橋一里松</t>
  </si>
  <si>
    <t>東伯郡琴浦町八橋</t>
  </si>
  <si>
    <t>東伯郡琴浦町矢下</t>
  </si>
  <si>
    <t>東伯郡琴浦町森藤</t>
  </si>
  <si>
    <t>東伯郡琴浦町美好</t>
  </si>
  <si>
    <t>東伯郡琴浦町宮場</t>
  </si>
  <si>
    <t>東伯郡琴浦町宮木</t>
  </si>
  <si>
    <t>東伯郡琴浦町三保</t>
  </si>
  <si>
    <t>東伯郡琴浦町光好下光好</t>
  </si>
  <si>
    <t>東伯郡琴浦町光好上光好</t>
  </si>
  <si>
    <t>東伯郡琴浦町光好</t>
  </si>
  <si>
    <t>東伯郡琴浦町光緑</t>
  </si>
  <si>
    <t>東伯郡琴浦町光</t>
  </si>
  <si>
    <t>東伯郡琴浦町丸尾寿</t>
  </si>
  <si>
    <t>東伯郡琴浦町丸尾</t>
  </si>
  <si>
    <t>東伯郡琴浦町松谷松ケ丘</t>
  </si>
  <si>
    <t>東伯郡琴浦町松谷上赤碕</t>
  </si>
  <si>
    <t>東伯郡琴浦町松谷</t>
  </si>
  <si>
    <t>東伯郡琴浦町法万下法万</t>
  </si>
  <si>
    <t>東伯郡琴浦町法万上法万</t>
  </si>
  <si>
    <t>東伯郡琴浦町法万</t>
  </si>
  <si>
    <t>東伯郡琴浦町保</t>
  </si>
  <si>
    <t>東伯郡琴浦町別宮</t>
  </si>
  <si>
    <t>東伯郡琴浦町別所朝日町</t>
  </si>
  <si>
    <t>東伯郡琴浦町別所朝日ケ丘</t>
  </si>
  <si>
    <t>東伯郡琴浦町別所</t>
  </si>
  <si>
    <t>東伯郡琴浦町古長</t>
  </si>
  <si>
    <t>東伯郡琴浦町福永赤松</t>
  </si>
  <si>
    <t>東伯郡琴浦町福永</t>
  </si>
  <si>
    <t>東伯郡琴浦町八反田</t>
  </si>
  <si>
    <t>東伯郡琴浦町箆津坂ノ上</t>
  </si>
  <si>
    <t>東伯郡琴浦町箆津</t>
  </si>
  <si>
    <t>東伯郡琴浦町野田</t>
  </si>
  <si>
    <t>東伯郡琴浦町野井倉</t>
  </si>
  <si>
    <t>東伯郡琴浦町西宮分乗寺</t>
  </si>
  <si>
    <t>東伯郡琴浦町西宮今在家</t>
  </si>
  <si>
    <t>東伯郡琴浦町西宮</t>
  </si>
  <si>
    <t>東伯郡琴浦町中村下中村</t>
  </si>
  <si>
    <t>東伯郡琴浦町中村上中村</t>
  </si>
  <si>
    <t>東伯郡琴浦町中村</t>
  </si>
  <si>
    <t>東伯郡琴浦町中津原</t>
  </si>
  <si>
    <t>東伯郡琴浦町中尾伊勢野</t>
  </si>
  <si>
    <t>東伯郡琴浦町中尾</t>
  </si>
  <si>
    <t>東伯郡琴浦町徳万</t>
  </si>
  <si>
    <t>東伯郡琴浦町槻下西山</t>
  </si>
  <si>
    <t>東伯郡琴浦町槻下二軒屋</t>
  </si>
  <si>
    <t>東伯郡琴浦町槻下斉尾</t>
  </si>
  <si>
    <t>東伯郡琴浦町槻下</t>
  </si>
  <si>
    <t>東伯郡琴浦町田越</t>
  </si>
  <si>
    <t>東伯郡琴浦町竹内金屋</t>
  </si>
  <si>
    <t>東伯郡琴浦町竹内</t>
  </si>
  <si>
    <t>東伯郡琴浦町高岡国実</t>
  </si>
  <si>
    <t>東伯郡琴浦町高岡大熊</t>
  </si>
  <si>
    <t>東伯郡琴浦町高岡</t>
  </si>
  <si>
    <t>東伯郡琴浦町太一垣国主</t>
  </si>
  <si>
    <t>東伯郡琴浦町太一垣</t>
  </si>
  <si>
    <t>東伯郡琴浦町杉下平和</t>
  </si>
  <si>
    <t>東伯郡琴浦町杉下</t>
  </si>
  <si>
    <t>東伯郡琴浦町杉地</t>
  </si>
  <si>
    <t>東伯郡琴浦町下大江松井</t>
  </si>
  <si>
    <t>東伯郡琴浦町下大江</t>
  </si>
  <si>
    <t>東伯郡琴浦町下伊勢東</t>
  </si>
  <si>
    <t>東伯郡琴浦町下伊勢西</t>
  </si>
  <si>
    <t>東伯郡琴浦町下伊勢</t>
  </si>
  <si>
    <t>東伯郡琴浦町三本杉下三本杉</t>
  </si>
  <si>
    <t>東伯郡琴浦町三本杉上三本杉</t>
  </si>
  <si>
    <t>東伯郡琴浦町三本杉</t>
  </si>
  <si>
    <t>東伯郡琴浦町佐崎</t>
  </si>
  <si>
    <t>東伯郡琴浦町釛上釛</t>
  </si>
  <si>
    <t>東伯郡琴浦町釛</t>
  </si>
  <si>
    <t>東伯郡琴浦町倉坂一ツ屋</t>
  </si>
  <si>
    <t>東伯郡琴浦町倉坂小田股</t>
  </si>
  <si>
    <t>東伯郡琴浦町倉坂</t>
  </si>
  <si>
    <t>東伯郡琴浦町公文</t>
  </si>
  <si>
    <t>東伯郡琴浦町上伊勢</t>
  </si>
  <si>
    <t>東伯郡琴浦町金屋</t>
  </si>
  <si>
    <t>東伯郡琴浦町勝田水口</t>
  </si>
  <si>
    <t>東伯郡琴浦町勝田大石</t>
  </si>
  <si>
    <t>東伯郡琴浦町勝田</t>
  </si>
  <si>
    <t>東伯郡琴浦町笠見</t>
  </si>
  <si>
    <t>東伯郡琴浦町尾張</t>
  </si>
  <si>
    <t>東伯郡琴浦町大父平田ケ平</t>
  </si>
  <si>
    <t>東伯郡琴浦町大父木地</t>
  </si>
  <si>
    <t>東伯郡琴浦町大父</t>
  </si>
  <si>
    <t>東伯郡琴浦町逢束鐘紡</t>
  </si>
  <si>
    <t>東伯郡琴浦町逢束</t>
  </si>
  <si>
    <t>東伯郡琴浦町大杉今田</t>
  </si>
  <si>
    <t>東伯郡琴浦町大杉</t>
  </si>
  <si>
    <t>東伯郡琴浦町浦安</t>
  </si>
  <si>
    <t>東伯郡琴浦町梅田</t>
  </si>
  <si>
    <t>東伯郡琴浦町出上東山区</t>
  </si>
  <si>
    <t>東伯郡琴浦町出上東桜ケ丘</t>
  </si>
  <si>
    <t>東伯郡琴浦町出上東出上</t>
  </si>
  <si>
    <t>東伯郡琴浦町出上西出上</t>
  </si>
  <si>
    <t>東伯郡琴浦町出上桜ケ丘</t>
  </si>
  <si>
    <t>東伯郡琴浦町出上6区</t>
  </si>
  <si>
    <t>東伯郡琴浦町出上5区</t>
  </si>
  <si>
    <t>東伯郡琴浦町出上4区</t>
  </si>
  <si>
    <t>東伯郡琴浦町出上3区</t>
  </si>
  <si>
    <t>東伯郡琴浦町出上2区</t>
  </si>
  <si>
    <t>東伯郡琴浦町出上1区</t>
  </si>
  <si>
    <t>東伯郡琴浦町出上</t>
  </si>
  <si>
    <t>東伯郡琴浦町赤碕南荒神町</t>
  </si>
  <si>
    <t>東伯郡琴浦町赤碕港町</t>
  </si>
  <si>
    <t>東伯郡琴浦町赤碕本町</t>
  </si>
  <si>
    <t>東伯郡琴浦町赤碕牧場</t>
  </si>
  <si>
    <t>東伯郡琴浦町赤碕東町</t>
  </si>
  <si>
    <t>東伯郡琴浦町赤碕東三軒屋</t>
  </si>
  <si>
    <t>東伯郡琴浦町赤碕花見町</t>
  </si>
  <si>
    <t>東伯郡琴浦町赤碕八幡町</t>
  </si>
  <si>
    <t>東伯郡琴浦町赤碕西町</t>
  </si>
  <si>
    <t>東伯郡琴浦町赤碕西仲町</t>
  </si>
  <si>
    <t>東伯郡琴浦町赤碕西地蔵町</t>
  </si>
  <si>
    <t>東伯郡琴浦町赤碕仲之町</t>
  </si>
  <si>
    <t>東伯郡琴浦町赤碕大山町</t>
  </si>
  <si>
    <t>東伯郡琴浦町赤碕地蔵町</t>
  </si>
  <si>
    <t>東伯郡琴浦町赤碕塩屋町</t>
  </si>
  <si>
    <t>東伯郡琴浦町赤碕三軒屋</t>
  </si>
  <si>
    <t>東伯郡琴浦町赤碕荒神町</t>
  </si>
  <si>
    <t>東伯郡琴浦町赤碕亀崎町</t>
  </si>
  <si>
    <t>東伯郡琴浦町赤碕駅前通</t>
  </si>
  <si>
    <t>東伯郡琴浦町赤碕上野</t>
  </si>
  <si>
    <t>東伯郡琴浦町赤碕</t>
  </si>
  <si>
    <t>東伯郡琴浦町</t>
  </si>
  <si>
    <t>東伯郡湯梨浜町龍島</t>
  </si>
  <si>
    <t>東伯郡湯梨浜町宮内</t>
  </si>
  <si>
    <t>東伯郡湯梨浜町南谷</t>
  </si>
  <si>
    <t>東伯郡湯梨浜町光吉</t>
  </si>
  <si>
    <t>東伯郡湯梨浜町水下</t>
  </si>
  <si>
    <t>東伯郡湯梨浜町松崎</t>
  </si>
  <si>
    <t>東伯郡湯梨浜町方地</t>
  </si>
  <si>
    <t>東伯郡湯梨浜町別所</t>
  </si>
  <si>
    <t>東伯郡湯梨浜町藤津</t>
  </si>
  <si>
    <t>東伯郡湯梨浜町久見</t>
  </si>
  <si>
    <t>東伯郡湯梨浜町久留</t>
  </si>
  <si>
    <t>東伯郡湯梨浜町引地</t>
  </si>
  <si>
    <t>東伯郡湯梨浜町はわい温泉</t>
  </si>
  <si>
    <t>東伯郡湯梨浜町原</t>
  </si>
  <si>
    <t>東伯郡湯梨浜町埴見</t>
  </si>
  <si>
    <t>東伯郡湯梨浜町橋津</t>
  </si>
  <si>
    <t>東伯郡湯梨浜町野花</t>
  </si>
  <si>
    <t>東伯郡湯梨浜町野方</t>
  </si>
  <si>
    <t>東伯郡湯梨浜町長和田</t>
  </si>
  <si>
    <t>東伯郡湯梨浜町はわい長瀬浜</t>
  </si>
  <si>
    <t>東伯郡湯梨浜町はわい長瀬新川</t>
  </si>
  <si>
    <t>東伯郡湯梨浜町はわい長瀬下長瀬</t>
  </si>
  <si>
    <t>東伯郡湯梨浜町はわい長瀬上長瀬</t>
  </si>
  <si>
    <t>東伯郡湯梨浜町はわい長瀬</t>
  </si>
  <si>
    <t>東伯郡湯梨浜町長江</t>
  </si>
  <si>
    <t>東伯郡湯梨浜町泊</t>
  </si>
  <si>
    <t>東伯郡湯梨浜町筒地</t>
  </si>
  <si>
    <t>東伯郡湯梨浜町中興寺</t>
  </si>
  <si>
    <t>東伯郡湯梨浜町田畑</t>
  </si>
  <si>
    <t>東伯郡湯梨浜町田後</t>
  </si>
  <si>
    <t>東伯郡湯梨浜町高辻</t>
  </si>
  <si>
    <t>東伯郡湯梨浜町園</t>
  </si>
  <si>
    <t>東伯郡湯梨浜町白石</t>
  </si>
  <si>
    <t>東伯郡湯梨浜町下浅津</t>
  </si>
  <si>
    <t>東伯郡湯梨浜町佐美</t>
  </si>
  <si>
    <t>東伯郡湯梨浜町小浜</t>
  </si>
  <si>
    <t>東伯郡湯梨浜町国信</t>
  </si>
  <si>
    <t>東伯郡湯梨浜町北福</t>
  </si>
  <si>
    <t>東伯郡湯梨浜町川上麻畑</t>
  </si>
  <si>
    <t>東伯郡湯梨浜町川上</t>
  </si>
  <si>
    <t>東伯郡湯梨浜町上橋津</t>
  </si>
  <si>
    <t>東伯郡湯梨浜町上浅津温泉</t>
  </si>
  <si>
    <t>東伯郡湯梨浜町上浅津</t>
  </si>
  <si>
    <t>東伯郡湯梨浜町門田</t>
  </si>
  <si>
    <t>東伯郡湯梨浜町方面</t>
  </si>
  <si>
    <t>東伯郡湯梨浜町小鹿谷</t>
  </si>
  <si>
    <t>東伯郡湯梨浜町漆原</t>
  </si>
  <si>
    <t>東伯郡湯梨浜町宇野三軒屋</t>
  </si>
  <si>
    <t>東伯郡湯梨浜町宇野</t>
  </si>
  <si>
    <t>東伯郡湯梨浜町宇谷</t>
  </si>
  <si>
    <t>東伯郡湯梨浜町羽衣石</t>
  </si>
  <si>
    <t>東伯郡湯梨浜町石脇</t>
  </si>
  <si>
    <t>東伯郡湯梨浜町旭</t>
  </si>
  <si>
    <t>東伯郡湯梨浜町赤池</t>
  </si>
  <si>
    <t>東伯郡湯梨浜町</t>
  </si>
  <si>
    <t>東伯郡赤碕町湯坂</t>
  </si>
  <si>
    <t>東伯郡赤碕町八幡向原</t>
  </si>
  <si>
    <t>東伯郡赤碕町八幡下市</t>
  </si>
  <si>
    <t>東伯郡赤碕町八幡</t>
  </si>
  <si>
    <t>東伯郡赤碕町山川木地</t>
  </si>
  <si>
    <t>東伯郡赤碕町山川</t>
  </si>
  <si>
    <t>東伯郡赤碕町宮木</t>
  </si>
  <si>
    <t>東伯郡赤碕町光緑</t>
  </si>
  <si>
    <t>東伯郡赤碕町光</t>
  </si>
  <si>
    <t>東伯郡赤碕町松谷松ケ丘</t>
  </si>
  <si>
    <t>東伯郡赤碕町松谷上赤碕</t>
  </si>
  <si>
    <t>東伯郡赤碕町松谷</t>
  </si>
  <si>
    <t>東伯郡赤碕町別所朝日町</t>
  </si>
  <si>
    <t>東伯郡赤碕町別所朝日ケ丘</t>
  </si>
  <si>
    <t>東伯郡赤碕町別所</t>
  </si>
  <si>
    <t>東伯郡赤碕町箆津坂ノ上</t>
  </si>
  <si>
    <t>東伯郡赤碕町箆津</t>
  </si>
  <si>
    <t>東伯郡赤碕町西宮分乗寺</t>
  </si>
  <si>
    <t>東伯郡赤碕町西宮今在家</t>
  </si>
  <si>
    <t>東伯郡赤碕町西宮</t>
  </si>
  <si>
    <t>東伯郡赤碕町中村下中村</t>
  </si>
  <si>
    <t>東伯郡赤碕町中村上中村</t>
  </si>
  <si>
    <t>東伯郡赤碕町中村</t>
  </si>
  <si>
    <t>東伯郡赤碕町竹内金屋</t>
  </si>
  <si>
    <t>東伯郡赤碕町竹内</t>
  </si>
  <si>
    <t>東伯郡赤碕町高岡国実</t>
  </si>
  <si>
    <t>東伯郡赤碕町高岡大熊</t>
  </si>
  <si>
    <t>東伯郡赤碕町高岡</t>
  </si>
  <si>
    <t>東伯郡赤碕町太一垣国主</t>
  </si>
  <si>
    <t>東伯郡赤碕町太一垣</t>
  </si>
  <si>
    <t>東伯郡赤碕町佐崎</t>
  </si>
  <si>
    <t>東伯郡赤碕町勝田水口</t>
  </si>
  <si>
    <t>東伯郡赤碕町勝田大石</t>
  </si>
  <si>
    <t>東伯郡赤碕町勝田</t>
  </si>
  <si>
    <t>東伯郡赤碕町尾張</t>
  </si>
  <si>
    <t>東伯郡赤碕町大父平田ケ平</t>
  </si>
  <si>
    <t>東伯郡赤碕町大父木地</t>
  </si>
  <si>
    <t>東伯郡赤碕町大父</t>
  </si>
  <si>
    <t>東伯郡赤碕町梅田</t>
  </si>
  <si>
    <t>東伯郡赤碕町出上東山区</t>
  </si>
  <si>
    <t>東伯郡赤碕町出上東桜ケ丘</t>
  </si>
  <si>
    <t>東伯郡赤碕町出上東出上</t>
  </si>
  <si>
    <t>東伯郡赤碕町出上西出上</t>
  </si>
  <si>
    <t>東伯郡赤碕町出上桜ケ丘</t>
  </si>
  <si>
    <t>東伯郡赤碕町出上6区</t>
  </si>
  <si>
    <t>東伯郡赤碕町出上5区</t>
  </si>
  <si>
    <t>東伯郡赤碕町出上4区</t>
  </si>
  <si>
    <t>東伯郡赤碕町出上3区</t>
  </si>
  <si>
    <t>東伯郡赤碕町出上2区</t>
  </si>
  <si>
    <t>東伯郡赤碕町出上1区</t>
  </si>
  <si>
    <t>東伯郡赤碕町出上</t>
  </si>
  <si>
    <t>東伯郡赤碕町赤碕南荒神町</t>
  </si>
  <si>
    <t>東伯郡赤碕町赤碕港町</t>
  </si>
  <si>
    <t>東伯郡赤碕町赤碕本町</t>
  </si>
  <si>
    <t>東伯郡赤碕町赤碕牧場</t>
  </si>
  <si>
    <t>東伯郡赤碕町赤碕東三軒屋</t>
  </si>
  <si>
    <t>東伯郡赤碕町赤碕東町</t>
  </si>
  <si>
    <t>東伯郡赤碕町赤碕花見町</t>
  </si>
  <si>
    <t>東伯郡赤碕町赤碕八幡町</t>
  </si>
  <si>
    <t>東伯郡赤碕町赤碕西仲町</t>
  </si>
  <si>
    <t>東伯郡赤碕町赤碕西地蔵町</t>
  </si>
  <si>
    <t>東伯郡赤碕町赤碕西町</t>
  </si>
  <si>
    <t>東伯郡赤碕町赤碕仲之町</t>
  </si>
  <si>
    <t>東伯郡赤碕町赤碕大山町</t>
  </si>
  <si>
    <t>東伯郡赤碕町赤碕地蔵町</t>
  </si>
  <si>
    <t>東伯郡赤碕町赤碕塩屋町</t>
  </si>
  <si>
    <t>東伯郡赤碕町赤碕三軒屋</t>
  </si>
  <si>
    <t>東伯郡赤碕町赤碕荒神町</t>
  </si>
  <si>
    <t>東伯郡赤碕町赤碕亀崎町</t>
  </si>
  <si>
    <t>東伯郡赤碕町赤碕駅前通</t>
  </si>
  <si>
    <t>東伯郡赤碕町赤碕上野</t>
  </si>
  <si>
    <t>東伯郡赤碕町赤碕</t>
  </si>
  <si>
    <t>東伯郡赤碕町</t>
  </si>
  <si>
    <t>東伯郡東伯町山田</t>
  </si>
  <si>
    <t>東伯郡東伯町八橋大成</t>
  </si>
  <si>
    <t>東伯郡東伯町八橋岩本</t>
  </si>
  <si>
    <t>東伯郡東伯町八橋一里松</t>
  </si>
  <si>
    <t>東伯郡東伯町八橋</t>
  </si>
  <si>
    <t>東伯郡東伯町矢下</t>
  </si>
  <si>
    <t>東伯郡東伯町森藤</t>
  </si>
  <si>
    <t>東伯郡東伯町美好</t>
  </si>
  <si>
    <t>東伯郡東伯町宮場</t>
  </si>
  <si>
    <t>東伯郡東伯町三保</t>
  </si>
  <si>
    <t>東伯郡東伯町光好下光好</t>
  </si>
  <si>
    <t>東伯郡東伯町光好上光好</t>
  </si>
  <si>
    <t>東伯郡東伯町光好</t>
  </si>
  <si>
    <t>東伯郡東伯町丸尾寿</t>
  </si>
  <si>
    <t>東伯郡東伯町丸尾</t>
  </si>
  <si>
    <t>東伯郡東伯町法万下法万</t>
  </si>
  <si>
    <t>東伯郡東伯町法万上法万</t>
  </si>
  <si>
    <t>東伯郡東伯町法万</t>
  </si>
  <si>
    <t>東伯郡東伯町保</t>
  </si>
  <si>
    <t>東伯郡東伯町別宮</t>
  </si>
  <si>
    <t>東伯郡東伯町古長</t>
  </si>
  <si>
    <t>東伯郡東伯町福永赤松</t>
  </si>
  <si>
    <t>東伯郡東伯町福永</t>
  </si>
  <si>
    <t>東伯郡東伯町八反田</t>
  </si>
  <si>
    <t>東伯郡東伯町野田</t>
  </si>
  <si>
    <t>東伯郡東伯町野井倉</t>
  </si>
  <si>
    <t>東伯郡東伯町中津原</t>
  </si>
  <si>
    <t>東伯郡東伯町中尾伊勢野</t>
  </si>
  <si>
    <t>東伯郡東伯町中尾</t>
  </si>
  <si>
    <t>東伯郡東伯町徳万</t>
  </si>
  <si>
    <t>東伯郡東伯町槻下西山</t>
  </si>
  <si>
    <t>東伯郡東伯町槻下二軒屋</t>
  </si>
  <si>
    <t>東伯郡東伯町槻下斉尾</t>
  </si>
  <si>
    <t>東伯郡東伯町槻下</t>
  </si>
  <si>
    <t>東伯郡東伯町田越</t>
  </si>
  <si>
    <t>東伯郡東伯町杉地</t>
  </si>
  <si>
    <t>東伯郡東伯町杉下平和</t>
  </si>
  <si>
    <t>東伯郡東伯町杉下</t>
  </si>
  <si>
    <t>東伯郡東伯町下大江松井</t>
  </si>
  <si>
    <t>東伯郡東伯町下大江</t>
  </si>
  <si>
    <t>東伯郡東伯町下伊勢東</t>
  </si>
  <si>
    <t>東伯郡東伯町下伊勢西</t>
  </si>
  <si>
    <t>東伯郡東伯町下伊勢</t>
  </si>
  <si>
    <t>東伯郡東伯町三本杉下三本杉</t>
  </si>
  <si>
    <t>東伯郡東伯町三本杉上三本杉</t>
  </si>
  <si>
    <t>東伯郡東伯町三本杉</t>
  </si>
  <si>
    <t>東伯郡東伯町釛上釛</t>
  </si>
  <si>
    <t>東伯郡東伯町釛</t>
  </si>
  <si>
    <t>東伯郡東伯町倉坂一ツ屋</t>
  </si>
  <si>
    <t>東伯郡東伯町倉坂小田股</t>
  </si>
  <si>
    <t>東伯郡東伯町倉坂</t>
  </si>
  <si>
    <t>東伯郡東伯町公文</t>
  </si>
  <si>
    <t>東伯郡東伯町上伊勢</t>
  </si>
  <si>
    <t>東伯郡東伯町金屋</t>
  </si>
  <si>
    <t>東伯郡東伯町笠見</t>
  </si>
  <si>
    <t>東伯郡東伯町大杉今田</t>
  </si>
  <si>
    <t>東伯郡東伯町大杉</t>
  </si>
  <si>
    <t>東伯郡東伯町逢束鐘紡</t>
  </si>
  <si>
    <t>東伯郡東伯町逢束</t>
  </si>
  <si>
    <t>東伯郡東伯町浦安</t>
  </si>
  <si>
    <t>東伯郡東伯町</t>
  </si>
  <si>
    <t>東伯郡大栄町由良宿比山</t>
  </si>
  <si>
    <t>東伯郡大栄町由良宿別所</t>
  </si>
  <si>
    <t>東伯郡大栄町由良宿青木</t>
  </si>
  <si>
    <t>東伯郡大栄町由良宿</t>
  </si>
  <si>
    <t>東伯郡大栄町六尾</t>
  </si>
  <si>
    <t>東伯郡大栄町穂波</t>
  </si>
  <si>
    <t>東伯郡大栄町東高尾</t>
  </si>
  <si>
    <t>東伯郡大栄町東園</t>
  </si>
  <si>
    <t>東伯郡大栄町原</t>
  </si>
  <si>
    <t>東伯郡大栄町西穂波</t>
  </si>
  <si>
    <t>東伯郡大栄町西高尾</t>
  </si>
  <si>
    <t>東伯郡大栄町西園</t>
  </si>
  <si>
    <t>東伯郡大栄町妻波</t>
  </si>
  <si>
    <t>東伯郡大栄町瀬戸</t>
  </si>
  <si>
    <t>東伯郡大栄町下種</t>
  </si>
  <si>
    <t>東伯郡大栄町島</t>
  </si>
  <si>
    <t>東伯郡大栄町亀谷東亀谷</t>
  </si>
  <si>
    <t>東伯郡大栄町亀谷</t>
  </si>
  <si>
    <t>東伯郡大栄町上種</t>
  </si>
  <si>
    <t>東伯郡大栄町大谷</t>
  </si>
  <si>
    <t>東伯郡大栄町岩坪高千穂</t>
  </si>
  <si>
    <t>東伯郡大栄町岩坪</t>
  </si>
  <si>
    <t>東伯郡大栄町</t>
  </si>
  <si>
    <t>東伯郡北条町米里</t>
  </si>
  <si>
    <t>東伯郡北条町弓原浜</t>
  </si>
  <si>
    <t>東伯郡北条町弓原</t>
  </si>
  <si>
    <t>東伯郡北条町松神</t>
  </si>
  <si>
    <t>東伯郡北条町曲</t>
  </si>
  <si>
    <t>東伯郡北条町土下</t>
  </si>
  <si>
    <t>東伯郡北条町田井</t>
  </si>
  <si>
    <t>東伯郡北条町下神駅前</t>
  </si>
  <si>
    <t>東伯郡北条町下神</t>
  </si>
  <si>
    <t>東伯郡北条町島向山</t>
  </si>
  <si>
    <t>東伯郡北条町島</t>
  </si>
  <si>
    <t>東伯郡北条町国坂浜</t>
  </si>
  <si>
    <t>東伯郡北条町国坂大野</t>
  </si>
  <si>
    <t>東伯郡北条町国坂</t>
  </si>
  <si>
    <t>東伯郡北条町北尾</t>
  </si>
  <si>
    <t>東伯郡北条町江北みどり</t>
  </si>
  <si>
    <t>東伯郡北条町江北東新田場</t>
  </si>
  <si>
    <t>東伯郡北条町江北浜</t>
  </si>
  <si>
    <t>東伯郡北条町江北西新田場</t>
  </si>
  <si>
    <t>東伯郡北条町江北</t>
  </si>
  <si>
    <t>東伯郡北条町</t>
  </si>
  <si>
    <t>東伯郡関金町米富</t>
  </si>
  <si>
    <t>東伯郡関金町山口矢櫃</t>
  </si>
  <si>
    <t>東伯郡関金町山口本村</t>
  </si>
  <si>
    <t>東伯郡関金町山口田中</t>
  </si>
  <si>
    <t>東伯郡関金町山口大河原</t>
  </si>
  <si>
    <t>東伯郡関金町山口浅井</t>
  </si>
  <si>
    <t>東伯郡関金町山口</t>
  </si>
  <si>
    <t>東伯郡関金町明高真野原</t>
  </si>
  <si>
    <t>東伯郡関金町明高共和</t>
  </si>
  <si>
    <t>東伯郡関金町明高</t>
  </si>
  <si>
    <t>東伯郡関金町松河原山新</t>
  </si>
  <si>
    <t>東伯郡関金町松河原本村</t>
  </si>
  <si>
    <t>東伯郡関金町松河原上部</t>
  </si>
  <si>
    <t>東伯郡関金町松河原開田</t>
  </si>
  <si>
    <t>東伯郡関金町松河原井手</t>
  </si>
  <si>
    <t>東伯郡関金町松河原</t>
  </si>
  <si>
    <t>東伯郡関金町堀陽西</t>
  </si>
  <si>
    <t>東伯郡関金町堀陽中</t>
  </si>
  <si>
    <t>東伯郡関金町堀鴨ケ丘</t>
  </si>
  <si>
    <t>東伯郡関金町堀</t>
  </si>
  <si>
    <t>東伯郡関金町福原</t>
  </si>
  <si>
    <t>東伯郡関金町野添</t>
  </si>
  <si>
    <t>東伯郡関金町泰久寺</t>
  </si>
  <si>
    <t>東伯郡関金町関金宿本町</t>
  </si>
  <si>
    <t>東伯郡関金町関金宿中町</t>
  </si>
  <si>
    <t>東伯郡関金町関金宿滝川</t>
  </si>
  <si>
    <t>東伯郡関金町関金宿金谷</t>
  </si>
  <si>
    <t>東伯郡関金町関金宿大坪</t>
  </si>
  <si>
    <t>東伯郡関金町関金宿上町</t>
  </si>
  <si>
    <t>東伯郡関金町関金宿</t>
  </si>
  <si>
    <t>東伯郡関金町郡家</t>
  </si>
  <si>
    <t>東伯郡関金町小泉</t>
  </si>
  <si>
    <t>東伯郡関金町大鳥居前条</t>
  </si>
  <si>
    <t>東伯郡関金町大鳥居八王子</t>
  </si>
  <si>
    <t>東伯郡関金町大鳥居新田</t>
  </si>
  <si>
    <t>東伯郡関金町大鳥居上部</t>
  </si>
  <si>
    <t>東伯郡関金町大鳥居開田</t>
  </si>
  <si>
    <t>東伯郡関金町大鳥居朝干</t>
  </si>
  <si>
    <t>東伯郡関金町大鳥居</t>
  </si>
  <si>
    <t>東伯郡関金町今西前条</t>
  </si>
  <si>
    <t>東伯郡関金町今西西条</t>
  </si>
  <si>
    <t>東伯郡関金町今西金谷</t>
  </si>
  <si>
    <t>東伯郡関金町今西</t>
  </si>
  <si>
    <t>東伯郡関金町安歩</t>
  </si>
  <si>
    <t>東伯郡関金町</t>
  </si>
  <si>
    <t>東伯郡三朝町余戸</t>
  </si>
  <si>
    <t>東伯郡三朝町吉田桜ヶ丘</t>
  </si>
  <si>
    <t>東伯郡三朝町吉田</t>
  </si>
  <si>
    <t>東伯郡三朝町吉尾</t>
  </si>
  <si>
    <t>東伯郡三朝町横手徳本</t>
  </si>
  <si>
    <t>東伯郡三朝町横手</t>
  </si>
  <si>
    <t>東伯郡三朝町湯谷</t>
  </si>
  <si>
    <t>東伯郡三朝町山田</t>
  </si>
  <si>
    <t>東伯郡三朝町森天神</t>
  </si>
  <si>
    <t>東伯郡三朝町森</t>
  </si>
  <si>
    <t>東伯郡三朝町本泉</t>
  </si>
  <si>
    <t>東伯郡三朝町三徳恋谷</t>
  </si>
  <si>
    <t>東伯郡三朝町三徳吉原</t>
  </si>
  <si>
    <t>東伯郡三朝町三徳三徳山</t>
  </si>
  <si>
    <t>東伯郡三朝町三徳成</t>
  </si>
  <si>
    <t>東伯郡三朝町三徳合谷</t>
  </si>
  <si>
    <t>東伯郡三朝町三徳</t>
  </si>
  <si>
    <t>東伯郡三朝町三朝恋谷</t>
  </si>
  <si>
    <t>東伯郡三朝町三朝</t>
  </si>
  <si>
    <t>東伯郡三朝町牧</t>
  </si>
  <si>
    <t>東伯郡三朝町福吉</t>
  </si>
  <si>
    <t>東伯郡三朝町福山</t>
  </si>
  <si>
    <t>東伯郡三朝町福本</t>
  </si>
  <si>
    <t>東伯郡三朝町福田</t>
  </si>
  <si>
    <t>東伯郡三朝町東小鹿</t>
  </si>
  <si>
    <t>東伯郡三朝町西小鹿岩本</t>
  </si>
  <si>
    <t>東伯郡三朝町西小鹿</t>
  </si>
  <si>
    <t>東伯郡三朝町西尾波伯山</t>
  </si>
  <si>
    <t>東伯郡三朝町西尾井土</t>
  </si>
  <si>
    <t>東伯郡三朝町西尾</t>
  </si>
  <si>
    <t>東伯郡三朝町鉛山</t>
  </si>
  <si>
    <t>東伯郡三朝町中津</t>
  </si>
  <si>
    <t>東伯郡三朝町笏賀</t>
  </si>
  <si>
    <t>東伯郡三朝町俵原</t>
  </si>
  <si>
    <t>東伯郡三朝町田代</t>
  </si>
  <si>
    <t>東伯郡三朝町高橋</t>
  </si>
  <si>
    <t>東伯郡三朝町曹源寺</t>
  </si>
  <si>
    <t>東伯郡三朝町砂原</t>
  </si>
  <si>
    <t>東伯郡三朝町助谷</t>
  </si>
  <si>
    <t>東伯郡三朝町下畑</t>
  </si>
  <si>
    <t>東伯郡三朝町下西谷</t>
  </si>
  <si>
    <t>東伯郡三朝町下谷</t>
  </si>
  <si>
    <t>東伯郡三朝町坂本</t>
  </si>
  <si>
    <t>東伯郡三朝町久原</t>
  </si>
  <si>
    <t>東伯郡三朝町木地山</t>
  </si>
  <si>
    <t>東伯郡三朝町神倉</t>
  </si>
  <si>
    <t>東伯郡三朝町上西谷</t>
  </si>
  <si>
    <t>東伯郡三朝町鎌田</t>
  </si>
  <si>
    <t>東伯郡三朝町加谷</t>
  </si>
  <si>
    <t>東伯郡三朝町片柴</t>
  </si>
  <si>
    <t>東伯郡三朝町柿谷太郎田</t>
  </si>
  <si>
    <t>東伯郡三朝町柿谷実光</t>
  </si>
  <si>
    <t>東伯郡三朝町柿谷</t>
  </si>
  <si>
    <t>東伯郡三朝町恩地</t>
  </si>
  <si>
    <t>東伯郡三朝町小河内</t>
  </si>
  <si>
    <t>東伯郡三朝町大谷三軒屋</t>
  </si>
  <si>
    <t>東伯郡三朝町大谷</t>
  </si>
  <si>
    <t>東伯郡三朝町大瀬</t>
  </si>
  <si>
    <t>東伯郡三朝町大柿</t>
  </si>
  <si>
    <t>東伯郡三朝町今泉若宮</t>
  </si>
  <si>
    <t>東伯郡三朝町今泉</t>
  </si>
  <si>
    <t>東伯郡三朝町穴鴨</t>
  </si>
  <si>
    <t>東伯郡三朝町赤松</t>
  </si>
  <si>
    <t>東伯郡三朝町</t>
  </si>
  <si>
    <t>東伯郡東郷町龍島</t>
  </si>
  <si>
    <t>東伯郡東郷町宮内</t>
  </si>
  <si>
    <t>東伯郡東郷町松崎</t>
  </si>
  <si>
    <t>東伯郡東郷町方地</t>
  </si>
  <si>
    <t>東伯郡東郷町別所</t>
  </si>
  <si>
    <t>東伯郡東郷町藤津</t>
  </si>
  <si>
    <t>東伯郡東郷町久見</t>
  </si>
  <si>
    <t>東伯郡東郷町引地</t>
  </si>
  <si>
    <t>東伯郡東郷町埴見</t>
  </si>
  <si>
    <t>東伯郡東郷町野花</t>
  </si>
  <si>
    <t>東伯郡東郷町野方</t>
  </si>
  <si>
    <t>東伯郡東郷町長和田</t>
  </si>
  <si>
    <t>東伯郡東郷町長江</t>
  </si>
  <si>
    <t>東伯郡東郷町中興寺</t>
  </si>
  <si>
    <t>東伯郡東郷町田畑</t>
  </si>
  <si>
    <t>東伯郡東郷町高辻</t>
  </si>
  <si>
    <t>東伯郡東郷町白石</t>
  </si>
  <si>
    <t>東伯郡東郷町佐美</t>
  </si>
  <si>
    <t>東伯郡東郷町国信</t>
  </si>
  <si>
    <t>東伯郡東郷町北福</t>
  </si>
  <si>
    <t>東伯郡東郷町川上麻畑</t>
  </si>
  <si>
    <t>東伯郡東郷町川上</t>
  </si>
  <si>
    <t>東伯郡東郷町門田</t>
  </si>
  <si>
    <t>東伯郡東郷町方面</t>
  </si>
  <si>
    <t>東伯郡東郷町小鹿谷</t>
  </si>
  <si>
    <t>東伯郡東郷町漆原</t>
  </si>
  <si>
    <t>東伯郡東郷町羽衣石</t>
  </si>
  <si>
    <t>東伯郡東郷町旭</t>
  </si>
  <si>
    <t>東伯郡東郷町麻畑</t>
  </si>
  <si>
    <t>東伯郡東郷町</t>
  </si>
  <si>
    <t>東伯郡泊村原</t>
  </si>
  <si>
    <t>東伯郡泊村泊</t>
  </si>
  <si>
    <t>東伯郡泊村筒地</t>
  </si>
  <si>
    <t>東伯郡泊村園</t>
  </si>
  <si>
    <t>東伯郡泊村小浜</t>
  </si>
  <si>
    <t>東伯郡泊村宇谷</t>
  </si>
  <si>
    <t>東伯郡泊村石脇</t>
  </si>
  <si>
    <t>東伯郡泊村</t>
  </si>
  <si>
    <t>東伯郡羽合町はわい温泉</t>
  </si>
  <si>
    <t>東伯郡羽合町南谷</t>
  </si>
  <si>
    <t>東伯郡羽合町光吉</t>
  </si>
  <si>
    <t>東伯郡羽合町水下</t>
  </si>
  <si>
    <t>東伯郡羽合町久留</t>
  </si>
  <si>
    <t>東伯郡羽合町橋津</t>
  </si>
  <si>
    <t>東伯郡羽合町長瀬浜</t>
  </si>
  <si>
    <t>東伯郡羽合町長瀬新川</t>
  </si>
  <si>
    <t>東伯郡羽合町長瀬下長瀬</t>
  </si>
  <si>
    <t>東伯郡羽合町長瀬上長瀬</t>
  </si>
  <si>
    <t>東伯郡羽合町長瀬</t>
  </si>
  <si>
    <t>東伯郡羽合町田後</t>
  </si>
  <si>
    <t>東伯郡羽合町下浅津</t>
  </si>
  <si>
    <t>東伯郡羽合町上橋津</t>
  </si>
  <si>
    <t>東伯郡羽合町上浅津温泉</t>
  </si>
  <si>
    <t>東伯郡羽合町上浅津</t>
  </si>
  <si>
    <t>東伯郡羽合町宇野三軒屋</t>
  </si>
  <si>
    <t>東伯郡羽合町宇野</t>
  </si>
  <si>
    <t>東伯郡羽合町赤池</t>
  </si>
  <si>
    <t>東伯郡羽合町</t>
  </si>
  <si>
    <t>東伯郡</t>
  </si>
  <si>
    <t>気高郡青谷町善田下善田</t>
  </si>
  <si>
    <t>気高郡青谷町善田</t>
  </si>
  <si>
    <t>気高郡青谷町吉川</t>
  </si>
  <si>
    <t>気高郡青谷町養郷</t>
  </si>
  <si>
    <t>気高郡青谷町山根</t>
  </si>
  <si>
    <t>気高郡青谷町山田</t>
  </si>
  <si>
    <t>気高郡青谷町早牛</t>
  </si>
  <si>
    <t>気高郡青谷町八葉寺</t>
  </si>
  <si>
    <t>気高郡青谷町鳴滝</t>
  </si>
  <si>
    <t>気高郡青谷町長和瀬</t>
  </si>
  <si>
    <t>気高郡青谷町露谷上露谷</t>
  </si>
  <si>
    <t>気高郡青谷町露谷</t>
  </si>
  <si>
    <t>気高郡青谷町田原谷</t>
  </si>
  <si>
    <t>気高郡青谷町澄水今西</t>
  </si>
  <si>
    <t>気高郡青谷町澄水</t>
  </si>
  <si>
    <t>気高郡青谷町桑原</t>
  </si>
  <si>
    <t>気高郡青谷町蔵内下蔵内</t>
  </si>
  <si>
    <t>気高郡青谷町蔵内</t>
  </si>
  <si>
    <t>気高郡青谷町楠根</t>
  </si>
  <si>
    <t>気高郡青谷町絹見引地</t>
  </si>
  <si>
    <t>気高郡青谷町絹見</t>
  </si>
  <si>
    <t>気高郡青谷町北河原川積</t>
  </si>
  <si>
    <t>気高郡青谷町北河原</t>
  </si>
  <si>
    <t>気高郡青谷町河原</t>
  </si>
  <si>
    <t>気高郡青谷町亀尻</t>
  </si>
  <si>
    <t>気高郡青谷町紙屋</t>
  </si>
  <si>
    <t>気高郡青谷町小畑</t>
  </si>
  <si>
    <t>気高郡青谷町奥崎</t>
  </si>
  <si>
    <t>気高郡青谷町大坪</t>
  </si>
  <si>
    <t>気高郡青谷町井手</t>
  </si>
  <si>
    <t>気高郡青谷町青谷緑町</t>
  </si>
  <si>
    <t>気高郡青谷町青谷前町</t>
  </si>
  <si>
    <t>気高郡青谷町青谷本町</t>
  </si>
  <si>
    <t>気高郡青谷町青谷東町</t>
  </si>
  <si>
    <t>気高郡青谷町青谷浜町</t>
  </si>
  <si>
    <t>気高郡青谷町青谷西町</t>
  </si>
  <si>
    <t>気高郡青谷町青谷夏泊</t>
  </si>
  <si>
    <t>気高郡青谷町青谷灘町</t>
  </si>
  <si>
    <t>気高郡青谷町青谷中町</t>
  </si>
  <si>
    <t>気高郡青谷町青谷駅前</t>
  </si>
  <si>
    <t>気高郡青谷町青谷赤尾谷</t>
  </si>
  <si>
    <t>気高郡青谷町青谷</t>
  </si>
  <si>
    <t>気高郡青谷町</t>
  </si>
  <si>
    <t>気高郡鹿野町宮方</t>
  </si>
  <si>
    <t>気高郡鹿野町水谷小畑</t>
  </si>
  <si>
    <t>気高郡鹿野町水谷</t>
  </si>
  <si>
    <t>気高郡鹿野町広木</t>
  </si>
  <si>
    <t>気高郡鹿野町中園東</t>
  </si>
  <si>
    <t>気高郡鹿野町中園西</t>
  </si>
  <si>
    <t>気高郡鹿野町中園</t>
  </si>
  <si>
    <t>気高郡鹿野町閉野</t>
  </si>
  <si>
    <t>気高郡鹿野町寺内</t>
  </si>
  <si>
    <t>気高郡鹿野町末用法楽寺</t>
  </si>
  <si>
    <t>気高郡鹿野町末用二ツ家</t>
  </si>
  <si>
    <t>気高郡鹿野町末用鬼入道</t>
  </si>
  <si>
    <t>気高郡鹿野町末用</t>
  </si>
  <si>
    <t>気高郡鹿野町鷲峯古仏谷</t>
  </si>
  <si>
    <t>気高郡鹿野町鷲峯来日</t>
  </si>
  <si>
    <t>気高郡鹿野町鷲峯</t>
  </si>
  <si>
    <t>気高郡鹿野町鹿野山根町</t>
  </si>
  <si>
    <t>気高郡鹿野町鹿野水谷</t>
  </si>
  <si>
    <t>気高郡鹿野町鹿野殿町</t>
  </si>
  <si>
    <t>気高郡鹿野町鹿野出百姓</t>
  </si>
  <si>
    <t>気高郡鹿野町鹿野立町</t>
  </si>
  <si>
    <t>気高郡鹿野町鹿野大工町</t>
  </si>
  <si>
    <t>気高郡鹿野町鹿野新町</t>
  </si>
  <si>
    <t>気高郡鹿野町鹿野下町</t>
  </si>
  <si>
    <t>気高郡鹿野町鹿野紺屋町</t>
  </si>
  <si>
    <t>気高郡鹿野町鹿野上町</t>
  </si>
  <si>
    <t>気高郡鹿野町鹿野鍛冶町</t>
  </si>
  <si>
    <t>気高郡鹿野町鹿野</t>
  </si>
  <si>
    <t>気高郡鹿野町小別所</t>
  </si>
  <si>
    <t>気高郡鹿野町河内矢原</t>
  </si>
  <si>
    <t>気高郡鹿野町河内下条</t>
  </si>
  <si>
    <t>気高郡鹿野町河内上条</t>
  </si>
  <si>
    <t>気高郡鹿野町河内</t>
  </si>
  <si>
    <t>気高郡鹿野町乙亥正重山</t>
  </si>
  <si>
    <t>気高郡鹿野町乙亥正梶掛</t>
  </si>
  <si>
    <t>気高郡鹿野町乙亥正</t>
  </si>
  <si>
    <t>気高郡鹿野町岡木木梨</t>
  </si>
  <si>
    <t>気高郡鹿野町岡木岡井</t>
  </si>
  <si>
    <t>気高郡鹿野町岡木</t>
  </si>
  <si>
    <t>気高郡鹿野町今市玉川</t>
  </si>
  <si>
    <t>気高郡鹿野町今市越水</t>
  </si>
  <si>
    <t>気高郡鹿野町今市越路ケ丘</t>
  </si>
  <si>
    <t>気高郡鹿野町今市今町</t>
  </si>
  <si>
    <t>気高郡鹿野町今市</t>
  </si>
  <si>
    <t>気高郡鹿野町</t>
  </si>
  <si>
    <t>気高郡気高町新町3丁目</t>
  </si>
  <si>
    <t>気高郡気高町新町2丁目</t>
  </si>
  <si>
    <t>気高郡気高町新町1丁目</t>
  </si>
  <si>
    <t>気高郡気高町北浜3丁目</t>
  </si>
  <si>
    <t>気高郡気高町北浜2丁目</t>
  </si>
  <si>
    <t>気高郡気高町北浜1丁目</t>
  </si>
  <si>
    <t>気高郡気高町八幡</t>
  </si>
  <si>
    <t>気高郡気高町山宮田仲</t>
  </si>
  <si>
    <t>気高郡気高町山宮</t>
  </si>
  <si>
    <t>気高郡気高町八束水船磯</t>
  </si>
  <si>
    <t>気高郡気高町八束水姫路</t>
  </si>
  <si>
    <t>気高郡気高町八束水姉泊</t>
  </si>
  <si>
    <t>気高郡気高町八束水</t>
  </si>
  <si>
    <t>気高郡気高町睦逢</t>
  </si>
  <si>
    <t>気高郡気高町宝木</t>
  </si>
  <si>
    <t>気高郡気高町浜村温泉</t>
  </si>
  <si>
    <t>気高郡気高町浜村</t>
  </si>
  <si>
    <t>気高郡気高町二本木</t>
  </si>
  <si>
    <t>気高郡気高町日光</t>
  </si>
  <si>
    <t>気高郡気高町土居</t>
  </si>
  <si>
    <t>気高郡気高町冨吉</t>
  </si>
  <si>
    <t>気高郡気高町殿</t>
  </si>
  <si>
    <t>気高郡気高町常松</t>
  </si>
  <si>
    <t>気高郡気高町高江</t>
  </si>
  <si>
    <t>気高郡気高町宿</t>
  </si>
  <si>
    <t>気高郡気高町下光元夏ケ谷</t>
  </si>
  <si>
    <t>気高郡気高町下光元</t>
  </si>
  <si>
    <t>気高郡気高町下原</t>
  </si>
  <si>
    <t>気高郡気高町下坂本</t>
  </si>
  <si>
    <t>気高郡気高町重高</t>
  </si>
  <si>
    <t>気高郡気高町酒津</t>
  </si>
  <si>
    <t>気高郡気高町郡家</t>
  </si>
  <si>
    <t>気高郡気高町上原</t>
  </si>
  <si>
    <t>気高郡気高町上光</t>
  </si>
  <si>
    <t>気高郡気高町勝見新町</t>
  </si>
  <si>
    <t>気高郡気高町勝見新泉</t>
  </si>
  <si>
    <t>気高郡気高町勝見栄町</t>
  </si>
  <si>
    <t>気高郡気高町勝見</t>
  </si>
  <si>
    <t>気高郡気高町下石</t>
  </si>
  <si>
    <t>気高郡気高町奥沢見水尻</t>
  </si>
  <si>
    <t>気高郡気高町奥沢見</t>
  </si>
  <si>
    <t>気高郡気高町会下</t>
  </si>
  <si>
    <t>気高郡気高町飯里</t>
  </si>
  <si>
    <t>気高郡気高町</t>
  </si>
  <si>
    <t>気高郡</t>
  </si>
  <si>
    <t>八頭郡八頭町桜ヶ丘</t>
  </si>
  <si>
    <t>八頭郡八頭町破岩</t>
  </si>
  <si>
    <t>八頭郡八頭町米岡宮岡</t>
  </si>
  <si>
    <t>八頭郡八頭町米岡河原駅前</t>
  </si>
  <si>
    <t>八頭郡八頭町米岡</t>
  </si>
  <si>
    <t>八頭郡八頭町横田</t>
  </si>
  <si>
    <t>八頭郡八頭町横地</t>
  </si>
  <si>
    <t>八頭郡八頭町用呂</t>
  </si>
  <si>
    <t>八頭郡八頭町山上口山の上</t>
  </si>
  <si>
    <t>八頭郡八頭町山上奥山の上</t>
  </si>
  <si>
    <t>八頭郡八頭町山上</t>
  </si>
  <si>
    <t>八頭郡八頭町山田</t>
  </si>
  <si>
    <t>八頭郡八頭町山志谷</t>
  </si>
  <si>
    <t>八頭郡八頭町山路</t>
  </si>
  <si>
    <t>八頭郡八頭町安井宿</t>
  </si>
  <si>
    <t>八頭郡八頭町茂谷</t>
  </si>
  <si>
    <t>八頭郡八頭町茂田</t>
  </si>
  <si>
    <t>八頭郡八頭町妻鹿野</t>
  </si>
  <si>
    <t>八頭郡八頭町三山口</t>
  </si>
  <si>
    <t>八頭郡八頭町宮谷</t>
  </si>
  <si>
    <t>八頭郡八頭町南中南</t>
  </si>
  <si>
    <t>八頭郡八頭町南下南</t>
  </si>
  <si>
    <t>八頭郡八頭町南上南</t>
  </si>
  <si>
    <t>八頭郡八頭町南</t>
  </si>
  <si>
    <t>八頭郡八頭町水口</t>
  </si>
  <si>
    <t>八頭郡八頭町見槻中</t>
  </si>
  <si>
    <t>八頭郡八頭町見槻</t>
  </si>
  <si>
    <t>八頭郡八頭町三浦</t>
  </si>
  <si>
    <t>八頭郡八頭町万代寺上万代寺</t>
  </si>
  <si>
    <t>八頭郡八頭町万代寺</t>
  </si>
  <si>
    <t>八頭郡八頭町堀越</t>
  </si>
  <si>
    <t>八頭郡八頭町別府</t>
  </si>
  <si>
    <t>八頭郡八頭町船岡殿</t>
  </si>
  <si>
    <t>八頭郡八頭町船岡</t>
  </si>
  <si>
    <t>八頭郡八頭町福本賀茂町</t>
  </si>
  <si>
    <t>八頭郡八頭町福本</t>
  </si>
  <si>
    <t>八頭郡八頭町福地</t>
  </si>
  <si>
    <t>八頭郡八頭町福井</t>
  </si>
  <si>
    <t>八頭郡八頭町姫路</t>
  </si>
  <si>
    <t>八頭郡八頭町日田</t>
  </si>
  <si>
    <t>八頭郡八頭町東</t>
  </si>
  <si>
    <t>八頭郡八頭町稗谷</t>
  </si>
  <si>
    <t>八頭郡八頭町隼郡家</t>
  </si>
  <si>
    <t>八頭郡八頭町隼福</t>
  </si>
  <si>
    <t>八頭郡八頭町花原</t>
  </si>
  <si>
    <t>八頭郡八頭町花</t>
  </si>
  <si>
    <t>八頭郡八頭町土師百井</t>
  </si>
  <si>
    <t>八頭郡八頭町橋本</t>
  </si>
  <si>
    <t>八頭郡八頭町野町</t>
  </si>
  <si>
    <t>八頭郡八頭町西御門</t>
  </si>
  <si>
    <t>八頭郡八頭町西谷</t>
  </si>
  <si>
    <t>八頭郡八頭町中</t>
  </si>
  <si>
    <t>八頭郡八頭町富枝細見</t>
  </si>
  <si>
    <t>八頭郡八頭町富枝</t>
  </si>
  <si>
    <t>八頭郡八頭町郡家殿</t>
  </si>
  <si>
    <t>八頭郡八頭町徳丸竹市</t>
  </si>
  <si>
    <t>八頭郡八頭町徳丸下徳丸</t>
  </si>
  <si>
    <t>八頭郡八頭町徳丸上徳丸</t>
  </si>
  <si>
    <t>八頭郡八頭町徳丸</t>
  </si>
  <si>
    <t>八頭郡八頭町大門</t>
  </si>
  <si>
    <t>八頭郡八頭町清徳</t>
  </si>
  <si>
    <t>八頭郡八頭町新興寺</t>
  </si>
  <si>
    <t>八頭郡八頭町下峰寺</t>
  </si>
  <si>
    <t>八頭郡八頭町下濃</t>
  </si>
  <si>
    <t>八頭郡八頭町下野</t>
  </si>
  <si>
    <t>八頭郡八頭町下津黒</t>
  </si>
  <si>
    <t>八頭郡八頭町下門尾</t>
  </si>
  <si>
    <t>八頭郡八頭町島</t>
  </si>
  <si>
    <t>八頭郡八頭町志谷</t>
  </si>
  <si>
    <t>八頭郡八頭町志子部</t>
  </si>
  <si>
    <t>八頭郡八頭町重枝</t>
  </si>
  <si>
    <t>八頭郡八頭町塩上</t>
  </si>
  <si>
    <t>八頭郡八頭町篠波</t>
  </si>
  <si>
    <t>八頭郡八頭町佐崎</t>
  </si>
  <si>
    <t>八頭郡八頭町坂田</t>
  </si>
  <si>
    <t>八頭郡八頭町才代</t>
  </si>
  <si>
    <t>八頭郡八頭町小別府</t>
  </si>
  <si>
    <t>八頭郡八頭町郡家東</t>
  </si>
  <si>
    <t>八頭郡八頭町郡家西</t>
  </si>
  <si>
    <t>八頭郡八頭町郡家中</t>
  </si>
  <si>
    <t>八頭郡八頭町郡家</t>
  </si>
  <si>
    <t>八頭郡八頭町久能寺すくも塚</t>
  </si>
  <si>
    <t>八頭郡八頭町久能寺</t>
  </si>
  <si>
    <t>八頭郡八頭町国中</t>
  </si>
  <si>
    <t>八頭郡八頭町日下部下日下部</t>
  </si>
  <si>
    <t>八頭郡八頭町日下部上日下部</t>
  </si>
  <si>
    <t>八頭郡八頭町日下部</t>
  </si>
  <si>
    <t>八頭郡八頭町北山</t>
  </si>
  <si>
    <t>八頭郡八頭町上峰寺</t>
  </si>
  <si>
    <t>八頭郡八頭町上野</t>
  </si>
  <si>
    <t>八頭郡八頭町上津黒</t>
  </si>
  <si>
    <t>八頭郡八頭町門尾</t>
  </si>
  <si>
    <t>八頭郡八頭町鍛冶屋</t>
  </si>
  <si>
    <t>八頭郡八頭町覚王寺</t>
  </si>
  <si>
    <t>八頭郡八頭町柿原</t>
  </si>
  <si>
    <t>八頭郡八頭町皆原</t>
  </si>
  <si>
    <t>八頭郡八頭町下坂</t>
  </si>
  <si>
    <t>八頭郡八頭町落岩</t>
  </si>
  <si>
    <t>八頭郡八頭町奥野</t>
  </si>
  <si>
    <t>八頭郡八頭町奥谷</t>
  </si>
  <si>
    <t>八頭郡八頭町大坪下大坪</t>
  </si>
  <si>
    <t>八頭郡八頭町大坪上大坪</t>
  </si>
  <si>
    <t>八頭郡八頭町大坪</t>
  </si>
  <si>
    <t>八頭郡八頭町大江</t>
  </si>
  <si>
    <t>八頭郡八頭町延命寺</t>
  </si>
  <si>
    <t>八頭郡八頭町岩渕</t>
  </si>
  <si>
    <t>八頭郡八頭町稲荷</t>
  </si>
  <si>
    <t>八頭郡八頭町市場東市場</t>
  </si>
  <si>
    <t>八頭郡八頭町市場</t>
  </si>
  <si>
    <t>八頭郡八頭町市谷</t>
  </si>
  <si>
    <t>八頭郡八頭町石田百井</t>
  </si>
  <si>
    <t>八頭郡八頭町井古</t>
  </si>
  <si>
    <t>八頭郡八頭町池田</t>
  </si>
  <si>
    <t>八頭郡八頭町麻生</t>
  </si>
  <si>
    <t>八頭郡八頭町明辺</t>
  </si>
  <si>
    <t>八頭郡八頭町</t>
  </si>
  <si>
    <t>八頭郡智頭町横田</t>
  </si>
  <si>
    <t>八頭郡智頭町山根中山根</t>
  </si>
  <si>
    <t>八頭郡智頭町山根戸能</t>
  </si>
  <si>
    <t>八頭郡智頭町山根下山根</t>
  </si>
  <si>
    <t>八頭郡智頭町山根</t>
  </si>
  <si>
    <t>八頭郡智頭町八河谷</t>
  </si>
  <si>
    <t>八頭郡智頭町三吉山田</t>
  </si>
  <si>
    <t>八頭郡智頭町三吉十日市</t>
  </si>
  <si>
    <t>八頭郡智頭町三吉大坪</t>
  </si>
  <si>
    <t>八頭郡智頭町三吉駅前</t>
  </si>
  <si>
    <t>八頭郡智頭町三吉</t>
  </si>
  <si>
    <t>八頭郡智頭町南方米井</t>
  </si>
  <si>
    <t>八頭郡智頭町南方奈留</t>
  </si>
  <si>
    <t>八頭郡智頭町南方沖代</t>
  </si>
  <si>
    <t>八頭郡智頭町南方</t>
  </si>
  <si>
    <t>八頭郡智頭町三田中村</t>
  </si>
  <si>
    <t>八頭郡智頭町三田下中村</t>
  </si>
  <si>
    <t>八頭郡智頭町三田井上</t>
  </si>
  <si>
    <t>八頭郡智頭町三田</t>
  </si>
  <si>
    <t>八頭郡智頭町真鹿野</t>
  </si>
  <si>
    <t>八頭郡智頭町穂見</t>
  </si>
  <si>
    <t>八頭郡智頭町福原樽見</t>
  </si>
  <si>
    <t>八頭郡智頭町福原</t>
  </si>
  <si>
    <t>八頭郡智頭町東宇塚</t>
  </si>
  <si>
    <t>八頭郡智頭町早瀬</t>
  </si>
  <si>
    <t>八頭郡智頭町埴師三明</t>
  </si>
  <si>
    <t>八頭郡智頭町埴師長瀬</t>
  </si>
  <si>
    <t>八頭郡智頭町埴師塩田</t>
  </si>
  <si>
    <t>八頭郡智頭町埴師紺屋土居</t>
  </si>
  <si>
    <t>八頭郡智頭町埴師石田</t>
  </si>
  <si>
    <t>八頭郡智頭町埴師天木</t>
  </si>
  <si>
    <t>八頭郡智頭町埴師</t>
  </si>
  <si>
    <t>八頭郡智頭町波多</t>
  </si>
  <si>
    <t>八頭郡智頭町野原</t>
  </si>
  <si>
    <t>八頭郡智頭町西野米原</t>
  </si>
  <si>
    <t>八頭郡智頭町西野浅見</t>
  </si>
  <si>
    <t>八頭郡智頭町西野</t>
  </si>
  <si>
    <t>八頭郡智頭町西谷新田</t>
  </si>
  <si>
    <t>八頭郡智頭町西谷白坪</t>
  </si>
  <si>
    <t>八頭郡智頭町西谷</t>
  </si>
  <si>
    <t>八頭郡智頭町西宇塚下西</t>
  </si>
  <si>
    <t>八頭郡智頭町西宇塚奥西</t>
  </si>
  <si>
    <t>八頭郡智頭町西宇塚</t>
  </si>
  <si>
    <t>八頭郡智頭町新見</t>
  </si>
  <si>
    <t>八頭郡智頭町中原</t>
  </si>
  <si>
    <t>八頭郡智頭町中田</t>
  </si>
  <si>
    <t>八頭郡智頭町智頭本折</t>
  </si>
  <si>
    <t>八頭郡智頭町智頭緑ケ丘</t>
  </si>
  <si>
    <t>八頭郡智頭町智頭錦町</t>
  </si>
  <si>
    <t>八頭郡智頭町智頭中町</t>
  </si>
  <si>
    <t>八頭郡智頭町智頭段</t>
  </si>
  <si>
    <t>八頭郡智頭町智頭下町</t>
  </si>
  <si>
    <t>八頭郡智頭町智頭久志谷</t>
  </si>
  <si>
    <t>八頭郡智頭町智頭河原町</t>
  </si>
  <si>
    <t>八頭郡智頭町智頭上町</t>
  </si>
  <si>
    <t>八頭郡智頭町智頭上市場</t>
  </si>
  <si>
    <t>八頭郡智頭町智頭</t>
  </si>
  <si>
    <t>八頭郡智頭町惣地</t>
  </si>
  <si>
    <t>八頭郡智頭町篠坂</t>
  </si>
  <si>
    <t>八頭郡智頭町坂原</t>
  </si>
  <si>
    <t>八頭郡智頭町郷原</t>
  </si>
  <si>
    <t>八頭郡智頭町駒帰</t>
  </si>
  <si>
    <t>八頭郡智頭町河津原</t>
  </si>
  <si>
    <t>八頭郡智頭町毛谷</t>
  </si>
  <si>
    <t>八頭郡智頭町慶所</t>
  </si>
  <si>
    <t>八頭郡智頭町口波多</t>
  </si>
  <si>
    <t>八頭郡智頭町口宇波分谷</t>
  </si>
  <si>
    <t>八頭郡智頭町口宇波出合</t>
  </si>
  <si>
    <t>八頭郡智頭町口宇波白玉</t>
  </si>
  <si>
    <t>八頭郡智頭町口宇波</t>
  </si>
  <si>
    <t>八頭郡智頭町木原</t>
  </si>
  <si>
    <t>八頭郡智頭町尾見</t>
  </si>
  <si>
    <t>八頭郡智頭町奥本早野</t>
  </si>
  <si>
    <t>八頭郡智頭町奥本栃本</t>
  </si>
  <si>
    <t>八頭郡智頭町奥本</t>
  </si>
  <si>
    <t>八頭郡智頭町大呂中島</t>
  </si>
  <si>
    <t>八頭郡智頭町大呂池本</t>
  </si>
  <si>
    <t>八頭郡智頭町大呂</t>
  </si>
  <si>
    <t>八頭郡智頭町大屋</t>
  </si>
  <si>
    <t>八頭郡智頭町大内</t>
  </si>
  <si>
    <t>八頭郡智頭町大背宮の本</t>
  </si>
  <si>
    <t>八頭郡智頭町大背水島</t>
  </si>
  <si>
    <t>八頭郡智頭町大背五月田</t>
  </si>
  <si>
    <t>八頭郡智頭町大背口早野</t>
  </si>
  <si>
    <t>八頭郡智頭町大背駅前</t>
  </si>
  <si>
    <t>八頭郡智頭町大背</t>
  </si>
  <si>
    <t>八頭郡智頭町宇波夏明</t>
  </si>
  <si>
    <t>八頭郡智頭町宇波</t>
  </si>
  <si>
    <t>八頭郡智頭町岩神</t>
  </si>
  <si>
    <t>八頭郡智頭町市瀬湯屋</t>
  </si>
  <si>
    <t>八頭郡智頭町市瀬中島</t>
  </si>
  <si>
    <t>八頭郡智頭町市瀬鳥巣</t>
  </si>
  <si>
    <t>八頭郡智頭町市瀬板井原</t>
  </si>
  <si>
    <t>八頭郡智頭町市瀬</t>
  </si>
  <si>
    <t>八頭郡智頭町芦津</t>
  </si>
  <si>
    <t>八頭郡智頭町</t>
  </si>
  <si>
    <t>八頭郡佐治村余戸</t>
  </si>
  <si>
    <t>八頭郡佐治村森坪</t>
  </si>
  <si>
    <t>八頭郡佐治村古市</t>
  </si>
  <si>
    <t>八頭郡佐治村福園</t>
  </si>
  <si>
    <t>八頭郡佐治村畑</t>
  </si>
  <si>
    <t>八頭郡佐治村中</t>
  </si>
  <si>
    <t>八頭郡佐治村栃原</t>
  </si>
  <si>
    <t>八頭郡佐治村津野</t>
  </si>
  <si>
    <t>八頭郡佐治村津無</t>
  </si>
  <si>
    <t>八頭郡佐治村つく谷</t>
  </si>
  <si>
    <t>八頭郡佐治村高山前地</t>
  </si>
  <si>
    <t>八頭郡佐治村高山渕尻</t>
  </si>
  <si>
    <t>八頭郡佐治村高山西谷</t>
  </si>
  <si>
    <t>八頭郡佐治村高山梨原</t>
  </si>
  <si>
    <t>八頭郡佐治村高山上地</t>
  </si>
  <si>
    <t>八頭郡佐治村高山</t>
  </si>
  <si>
    <t>八頭郡佐治村小原</t>
  </si>
  <si>
    <t>八頭郡佐治村河本</t>
  </si>
  <si>
    <t>八頭郡佐治村刈地</t>
  </si>
  <si>
    <t>八頭郡佐治村加茂細尾</t>
  </si>
  <si>
    <t>八頭郡佐治村加茂万蔵</t>
  </si>
  <si>
    <t>八頭郡佐治村加茂小田</t>
  </si>
  <si>
    <t>八頭郡佐治村加茂尾続</t>
  </si>
  <si>
    <t>八頭郡佐治村加茂大水</t>
  </si>
  <si>
    <t>八頭郡佐治村加茂</t>
  </si>
  <si>
    <t>八頭郡佐治村加瀬木下加瀬木</t>
  </si>
  <si>
    <t>八頭郡佐治村加瀬木上加瀬木</t>
  </si>
  <si>
    <t>八頭郡佐治村加瀬木</t>
  </si>
  <si>
    <t>八頭郡佐治村葛谷上葛谷</t>
  </si>
  <si>
    <t>八頭郡佐治村葛谷</t>
  </si>
  <si>
    <t>八頭郡佐治村尾際</t>
  </si>
  <si>
    <t>八頭郡佐治村大井下大井</t>
  </si>
  <si>
    <t>八頭郡佐治村大井上大井</t>
  </si>
  <si>
    <t>八頭郡佐治村大井</t>
  </si>
  <si>
    <t>八頭郡佐治村</t>
  </si>
  <si>
    <t>八頭郡用瀬町屋住</t>
  </si>
  <si>
    <t>八頭郡用瀬町用瀬5区</t>
  </si>
  <si>
    <t>八頭郡用瀬町用瀬4区</t>
  </si>
  <si>
    <t>八頭郡用瀬町用瀬3区</t>
  </si>
  <si>
    <t>八頭郡用瀬町用瀬2区</t>
  </si>
  <si>
    <t>八頭郡用瀬町用瀬1区</t>
  </si>
  <si>
    <t>八頭郡用瀬町用瀬</t>
  </si>
  <si>
    <t>八頭郡用瀬町宮原駅前</t>
  </si>
  <si>
    <t>八頭郡用瀬町宮原</t>
  </si>
  <si>
    <t>八頭郡用瀬町美成</t>
  </si>
  <si>
    <t>八頭郡用瀬町別府</t>
  </si>
  <si>
    <t>八頭郡用瀬町古用瀬下古用瀬</t>
  </si>
  <si>
    <t>八頭郡用瀬町古用瀬</t>
  </si>
  <si>
    <t>八頭郡用瀬町鷹狩旭ケ丘</t>
  </si>
  <si>
    <t>八頭郡用瀬町鷹狩杉森</t>
  </si>
  <si>
    <t>八頭郡用瀬町鷹狩馬橋</t>
  </si>
  <si>
    <t>八頭郡用瀬町鷹狩板井原</t>
  </si>
  <si>
    <t>八頭郡用瀬町鷹狩</t>
  </si>
  <si>
    <t>八頭郡用瀬町樟原</t>
  </si>
  <si>
    <t>八頭郡用瀬町川中鳥井野</t>
  </si>
  <si>
    <t>八頭郡用瀬町川中</t>
  </si>
  <si>
    <t>八頭郡用瀬町金屋</t>
  </si>
  <si>
    <t>八頭郡用瀬町江波</t>
  </si>
  <si>
    <t>八頭郡用瀬町家奥</t>
  </si>
  <si>
    <t>八頭郡用瀬町安蔵山口</t>
  </si>
  <si>
    <t>八頭郡用瀬町安蔵松原</t>
  </si>
  <si>
    <t>八頭郡用瀬町安蔵塚ノ原</t>
  </si>
  <si>
    <t>八頭郡用瀬町安蔵鹿ノ子</t>
  </si>
  <si>
    <t>八頭郡用瀬町安蔵岡</t>
  </si>
  <si>
    <t>八頭郡用瀬町安蔵</t>
  </si>
  <si>
    <t>八頭郡用瀬町赤波杉森</t>
  </si>
  <si>
    <t>八頭郡用瀬町赤波板井原</t>
  </si>
  <si>
    <t>八頭郡用瀬町赤波馬路</t>
  </si>
  <si>
    <t>八頭郡用瀬町赤波下平</t>
  </si>
  <si>
    <t>八頭郡用瀬町赤波下土居</t>
  </si>
  <si>
    <t>八頭郡用瀬町赤波上土居</t>
  </si>
  <si>
    <t>八頭郡用瀬町赤波</t>
  </si>
  <si>
    <t>八頭郡用瀬町</t>
  </si>
  <si>
    <t>八頭郡若桜町若桜山田町</t>
  </si>
  <si>
    <t>八頭郡若桜町若桜農人町</t>
  </si>
  <si>
    <t>八頭郡若桜町若桜西町</t>
  </si>
  <si>
    <t>八頭郡若桜町若桜中町</t>
  </si>
  <si>
    <t>八頭郡若桜町若桜新町</t>
  </si>
  <si>
    <t>八頭郡若桜町若桜下町</t>
  </si>
  <si>
    <t>八頭郡若桜町若桜上町</t>
  </si>
  <si>
    <t>八頭郡若桜町若桜</t>
  </si>
  <si>
    <t>八頭郡若桜町吉川</t>
  </si>
  <si>
    <t>八頭郡若桜町湯原</t>
  </si>
  <si>
    <t>八頭郡若桜町屋堂羅口屋堂羅</t>
  </si>
  <si>
    <t>八頭郡若桜町屋堂羅奥屋堂羅</t>
  </si>
  <si>
    <t>八頭郡若桜町屋堂羅</t>
  </si>
  <si>
    <t>八頭郡若桜町諸鹿</t>
  </si>
  <si>
    <t>八頭郡若桜町茗荷谷</t>
  </si>
  <si>
    <t>八頭郡若桜町三倉</t>
  </si>
  <si>
    <t>八頭郡若桜町渕見</t>
  </si>
  <si>
    <t>八頭郡若桜町香田</t>
  </si>
  <si>
    <t>八頭郡若桜町根安</t>
  </si>
  <si>
    <t>八頭郡若桜町長砂</t>
  </si>
  <si>
    <t>八頭郡若桜町中原栃原</t>
  </si>
  <si>
    <t>八頭郡若桜町中原加地</t>
  </si>
  <si>
    <t>八頭郡若桜町中原</t>
  </si>
  <si>
    <t>八頭郡若桜町つく米</t>
  </si>
  <si>
    <t>八頭郡若桜町高野上高野</t>
  </si>
  <si>
    <t>八頭郡若桜町高野</t>
  </si>
  <si>
    <t>八頭郡若桜町須澄</t>
  </si>
  <si>
    <t>八頭郡若桜町来見野</t>
  </si>
  <si>
    <t>八頭郡若桜町岸野</t>
  </si>
  <si>
    <t>八頭郡若桜町小船</t>
  </si>
  <si>
    <t>八頭郡若桜町落折</t>
  </si>
  <si>
    <t>八頭郡若桜町大野</t>
  </si>
  <si>
    <t>八頭郡若桜町大炊</t>
  </si>
  <si>
    <t>八頭郡若桜町岩屋堂</t>
  </si>
  <si>
    <t>八頭郡若桜町糸白見</t>
  </si>
  <si>
    <t>八頭郡若桜町浅井</t>
  </si>
  <si>
    <t>八頭郡若桜町赤松馬場</t>
  </si>
  <si>
    <t>八頭郡若桜町赤松寺所</t>
  </si>
  <si>
    <t>八頭郡若桜町赤松内町</t>
  </si>
  <si>
    <t>八頭郡若桜町赤松</t>
  </si>
  <si>
    <t>八頭郡若桜町</t>
  </si>
  <si>
    <t>八頭郡八東町横田</t>
  </si>
  <si>
    <t>八頭郡八東町横地</t>
  </si>
  <si>
    <t>八頭郡八東町用呂</t>
  </si>
  <si>
    <t>八頭郡八東町安井宿</t>
  </si>
  <si>
    <t>八頭郡八東町茂田</t>
  </si>
  <si>
    <t>八頭郡八東町茂谷</t>
  </si>
  <si>
    <t>八頭郡八東町妻鹿野</t>
  </si>
  <si>
    <t>八頭郡八東町三山口</t>
  </si>
  <si>
    <t>八頭郡八東町南中南</t>
  </si>
  <si>
    <t>八頭郡八東町南下南</t>
  </si>
  <si>
    <t>八頭郡八東町南上南</t>
  </si>
  <si>
    <t>八頭郡八東町南</t>
  </si>
  <si>
    <t>八頭郡八東町三浦</t>
  </si>
  <si>
    <t>八頭郡八東町日田</t>
  </si>
  <si>
    <t>八頭郡八東町東</t>
  </si>
  <si>
    <t>八頭郡八東町稗谷</t>
  </si>
  <si>
    <t>八頭郡八東町中</t>
  </si>
  <si>
    <t>八頭郡八東町富枝細見</t>
  </si>
  <si>
    <t>八頭郡八東町富枝</t>
  </si>
  <si>
    <t>八頭郡八東町徳丸竹市</t>
  </si>
  <si>
    <t>八頭郡八東町徳丸下徳丸</t>
  </si>
  <si>
    <t>八頭郡八東町徳丸上徳丸</t>
  </si>
  <si>
    <t>八頭郡八東町徳丸</t>
  </si>
  <si>
    <t>八頭郡八東町清徳</t>
  </si>
  <si>
    <t>八頭郡八東町新興寺</t>
  </si>
  <si>
    <t>八頭郡八東町島</t>
  </si>
  <si>
    <t>八頭郡八東町志谷</t>
  </si>
  <si>
    <t>八頭郡八東町重枝</t>
  </si>
  <si>
    <t>八頭郡八東町佐崎</t>
  </si>
  <si>
    <t>八頭郡八東町才代</t>
  </si>
  <si>
    <t>八頭郡八東町小別府</t>
  </si>
  <si>
    <t>八頭郡八東町日下部下日下部</t>
  </si>
  <si>
    <t>八頭郡八東町日下部上日下部</t>
  </si>
  <si>
    <t>八頭郡八東町日下部</t>
  </si>
  <si>
    <t>八頭郡八東町北山</t>
  </si>
  <si>
    <t>八頭郡八東町鍛冶屋</t>
  </si>
  <si>
    <t>八頭郡八東町柿原</t>
  </si>
  <si>
    <t>八頭郡八東町皆原</t>
  </si>
  <si>
    <t>八頭郡八東町奥野</t>
  </si>
  <si>
    <t>八頭郡八東町岩淵</t>
  </si>
  <si>
    <t>八頭郡八東町</t>
  </si>
  <si>
    <t>八頭郡河原町和奈見</t>
  </si>
  <si>
    <t>八頭郡河原町渡一木下渡一木</t>
  </si>
  <si>
    <t>八頭郡河原町渡一木上渡一木</t>
  </si>
  <si>
    <t>八頭郡河原町渡一木</t>
  </si>
  <si>
    <t>八頭郡河原町八日市</t>
  </si>
  <si>
    <t>八頭郡河原町弓河内</t>
  </si>
  <si>
    <t>八頭郡河原町湯谷</t>
  </si>
  <si>
    <t>八頭郡河原町山手上山手</t>
  </si>
  <si>
    <t>八頭郡河原町山手加賀瀬</t>
  </si>
  <si>
    <t>八頭郡河原町山手</t>
  </si>
  <si>
    <t>八頭郡河原町山上</t>
  </si>
  <si>
    <t>八頭郡河原町三谷</t>
  </si>
  <si>
    <t>八頭郡河原町水根</t>
  </si>
  <si>
    <t>八頭郡河原町本鹿本角</t>
  </si>
  <si>
    <t>八頭郡河原町本鹿鹿野</t>
  </si>
  <si>
    <t>八頭郡河原町本鹿</t>
  </si>
  <si>
    <t>八頭郡河原町布袋</t>
  </si>
  <si>
    <t>八頭郡河原町袋河原</t>
  </si>
  <si>
    <t>八頭郡河原町曳田下曳田</t>
  </si>
  <si>
    <t>八頭郡河原町曳田</t>
  </si>
  <si>
    <t>八頭郡河原町長瀬</t>
  </si>
  <si>
    <t>八頭郡河原町中井</t>
  </si>
  <si>
    <t>八頭郡河原町徳吉</t>
  </si>
  <si>
    <t>八頭郡河原町天神原</t>
  </si>
  <si>
    <t>八頭郡河原町谷一木</t>
  </si>
  <si>
    <t>八頭郡河原町高福福和田</t>
  </si>
  <si>
    <t>八頭郡河原町高福高津原</t>
  </si>
  <si>
    <t>八頭郡河原町高福</t>
  </si>
  <si>
    <t>八頭郡河原町佐貫下佐貫</t>
  </si>
  <si>
    <t>八頭郡河原町佐貫</t>
  </si>
  <si>
    <t>八頭郡河原町郷原</t>
  </si>
  <si>
    <t>八頭郡河原町北村杣小屋</t>
  </si>
  <si>
    <t>八頭郡河原町北村落河内</t>
  </si>
  <si>
    <t>八頭郡河原町北村</t>
  </si>
  <si>
    <t>八頭郡河原町神馬</t>
  </si>
  <si>
    <t>八頭郡河原町河原</t>
  </si>
  <si>
    <t>八頭郡河原町釜口六日市</t>
  </si>
  <si>
    <t>八頭郡河原町釜口</t>
  </si>
  <si>
    <t>八頭郡河原町片山</t>
  </si>
  <si>
    <t>八頭郡河原町小畑</t>
  </si>
  <si>
    <t>八頭郡河原町小河内新田</t>
  </si>
  <si>
    <t>八頭郡河原町小河内</t>
  </si>
  <si>
    <t>八頭郡河原町小倉今西</t>
  </si>
  <si>
    <t>八頭郡河原町小倉</t>
  </si>
  <si>
    <t>八頭郡河原町牛戸</t>
  </si>
  <si>
    <t>八頭郡河原町今在家</t>
  </si>
  <si>
    <t>八頭郡河原町稲常</t>
  </si>
  <si>
    <t>八頭郡河原町</t>
  </si>
  <si>
    <t>八頭郡船岡町破岩</t>
  </si>
  <si>
    <t>八頭郡船岡町水口</t>
  </si>
  <si>
    <t>八頭郡船岡町見槻中</t>
  </si>
  <si>
    <t>八頭郡船岡町見槻</t>
  </si>
  <si>
    <t>八頭郡船岡町船岡</t>
  </si>
  <si>
    <t>八頭郡船岡町福井</t>
  </si>
  <si>
    <t>八頭郡船岡町隼福</t>
  </si>
  <si>
    <t>八頭郡船岡町橋本</t>
  </si>
  <si>
    <t>八頭郡船岡町西谷</t>
  </si>
  <si>
    <t>八頭郡船岡町殿</t>
  </si>
  <si>
    <t>八頭郡船岡町下濃</t>
  </si>
  <si>
    <t>八頭郡船岡町下野</t>
  </si>
  <si>
    <t>八頭郡船岡町志子部</t>
  </si>
  <si>
    <t>八頭郡船岡町塩上</t>
  </si>
  <si>
    <t>八頭郡船岡町坂田</t>
  </si>
  <si>
    <t>八頭郡船岡町郡家</t>
  </si>
  <si>
    <t>八頭郡船岡町上野</t>
  </si>
  <si>
    <t>八頭郡船岡町大江</t>
  </si>
  <si>
    <t>八頭郡船岡町</t>
  </si>
  <si>
    <t>八頭郡郡家町国中</t>
  </si>
  <si>
    <t>八頭郡郡家町米岡宮岡</t>
  </si>
  <si>
    <t>八頭郡郡家町米岡河原駅前</t>
  </si>
  <si>
    <t>八頭郡郡家町米岡</t>
  </si>
  <si>
    <t>八頭郡郡家町山上口山の上</t>
  </si>
  <si>
    <t>八頭郡郡家町山上奥山の上</t>
  </si>
  <si>
    <t>八頭郡郡家町山上</t>
  </si>
  <si>
    <t>八頭郡郡家町山田</t>
  </si>
  <si>
    <t>八頭郡郡家町山路</t>
  </si>
  <si>
    <t>八頭郡郡家町山志谷</t>
  </si>
  <si>
    <t>八頭郡郡家町宮谷</t>
  </si>
  <si>
    <t>八頭郡郡家町万代寺上万代寺</t>
  </si>
  <si>
    <t>八頭郡郡家町万代寺</t>
  </si>
  <si>
    <t>八頭郡郡家町堀越</t>
  </si>
  <si>
    <t>八頭郡郡家町別府</t>
  </si>
  <si>
    <t>八頭郡郡家町福本賀茂町</t>
  </si>
  <si>
    <t>八頭郡郡家町福本</t>
  </si>
  <si>
    <t>八頭郡郡家町福地</t>
  </si>
  <si>
    <t>八頭郡郡家町姫路</t>
  </si>
  <si>
    <t>八頭郡郡家町花原</t>
  </si>
  <si>
    <t>八頭郡郡家町花</t>
  </si>
  <si>
    <t>八頭郡郡家町土師百井</t>
  </si>
  <si>
    <t>八頭郡郡家町野町</t>
  </si>
  <si>
    <t>八頭郡郡家町西御門</t>
  </si>
  <si>
    <t>八頭郡郡家町殿</t>
  </si>
  <si>
    <t>八頭郡郡家町大門</t>
  </si>
  <si>
    <t>八頭郡郡家町下峰寺</t>
  </si>
  <si>
    <t>八頭郡郡家町下津黒</t>
  </si>
  <si>
    <t>八頭郡郡家町下門尾</t>
  </si>
  <si>
    <t>八頭郡郡家町篠波</t>
  </si>
  <si>
    <t>八頭郡郡家町郡家東</t>
  </si>
  <si>
    <t>八頭郡郡家町郡家西</t>
  </si>
  <si>
    <t>八頭郡郡家町郡家中</t>
  </si>
  <si>
    <t>八頭郡郡家町郡家</t>
  </si>
  <si>
    <t>八頭郡郡家町久能寺すくも塚</t>
  </si>
  <si>
    <t>八頭郡郡家町久能寺</t>
  </si>
  <si>
    <t>八頭郡郡家町上峰寺</t>
  </si>
  <si>
    <t>八頭郡郡家町上津黒</t>
  </si>
  <si>
    <t>八頭郡郡家町門尾</t>
  </si>
  <si>
    <t>八頭郡郡家町覚王寺</t>
  </si>
  <si>
    <t>八頭郡郡家町下坂</t>
  </si>
  <si>
    <t>八頭郡郡家町落岩</t>
  </si>
  <si>
    <t>八頭郡郡家町奥谷</t>
  </si>
  <si>
    <t>八頭郡郡家町大坪下大坪</t>
  </si>
  <si>
    <t>八頭郡郡家町大坪上大坪</t>
  </si>
  <si>
    <t>八頭郡郡家町大坪</t>
  </si>
  <si>
    <t>八頭郡郡家町延命寺</t>
  </si>
  <si>
    <t>八頭郡郡家町稲荷</t>
  </si>
  <si>
    <t>八頭郡郡家町市場東市場</t>
  </si>
  <si>
    <t>八頭郡郡家町市場</t>
  </si>
  <si>
    <t>八頭郡郡家町市谷</t>
  </si>
  <si>
    <t>八頭郡郡家町石田百井</t>
  </si>
  <si>
    <t>八頭郡郡家町井古</t>
  </si>
  <si>
    <t>八頭郡郡家町池田</t>
  </si>
  <si>
    <t>八頭郡郡家町麻生</t>
  </si>
  <si>
    <t>八頭郡郡家町明辺</t>
  </si>
  <si>
    <t>八頭郡郡家町</t>
  </si>
  <si>
    <t>八頭郡</t>
  </si>
  <si>
    <t>岩美郡福部村湯山山湯山</t>
  </si>
  <si>
    <t>岩美郡福部村湯山浜湯山</t>
  </si>
  <si>
    <t>岩美郡福部村湯山砂丘</t>
  </si>
  <si>
    <t>岩美郡福部村湯山</t>
  </si>
  <si>
    <t>岩美郡福部村箭渓</t>
  </si>
  <si>
    <t>岩美郡福部村八重原</t>
  </si>
  <si>
    <t>岩美郡福部村細川</t>
  </si>
  <si>
    <t>岩美郡福部村南田</t>
  </si>
  <si>
    <t>岩美郡福部村中</t>
  </si>
  <si>
    <t>岩美郡福部村高江</t>
  </si>
  <si>
    <t>岩美郡福部村左近清内谷</t>
  </si>
  <si>
    <t>岩美郡福部村左近上野</t>
  </si>
  <si>
    <t>岩美郡福部村左近</t>
  </si>
  <si>
    <t>岩美郡福部村栗谷</t>
  </si>
  <si>
    <t>岩美郡福部村蔵見</t>
  </si>
  <si>
    <t>岩美郡福部村久志羅上野</t>
  </si>
  <si>
    <t>岩美郡福部村久志羅</t>
  </si>
  <si>
    <t>岩美郡福部村岩戸</t>
  </si>
  <si>
    <t>岩美郡福部村海士西海士</t>
  </si>
  <si>
    <t>岩美郡福部村海士県</t>
  </si>
  <si>
    <t>岩美郡福部村海士</t>
  </si>
  <si>
    <t>岩美郡福部村</t>
  </si>
  <si>
    <t>岩美郡岩美町真名</t>
  </si>
  <si>
    <t>岩美郡岩美町牧谷</t>
  </si>
  <si>
    <t>岩美郡岩美町本庄</t>
  </si>
  <si>
    <t>岩美郡岩美町馬場</t>
  </si>
  <si>
    <t>岩美郡岩美町新井</t>
  </si>
  <si>
    <t>岩美郡岩美町長谷</t>
  </si>
  <si>
    <t>岩美郡岩美町鳥越</t>
  </si>
  <si>
    <t>岩美郡岩美町外邑</t>
  </si>
  <si>
    <t>岩美郡岩美町長郷</t>
  </si>
  <si>
    <t>岩美郡岩美町田河内</t>
  </si>
  <si>
    <t>岩美郡岩美町田後</t>
  </si>
  <si>
    <t>岩美郡岩美町高山</t>
  </si>
  <si>
    <t>岩美郡岩美町高住</t>
  </si>
  <si>
    <t>岩美郡岩美町白地</t>
  </si>
  <si>
    <t>岩美郡岩美町小羽尾</t>
  </si>
  <si>
    <t>岩美郡岩美町黒谷</t>
  </si>
  <si>
    <t>岩美郡岩美町陸上</t>
  </si>
  <si>
    <t>岩美郡岩美町銀山</t>
  </si>
  <si>
    <t>岩美郡岩美町蒲生</t>
  </si>
  <si>
    <t>岩美郡岩美町河崎</t>
  </si>
  <si>
    <t>岩美郡岩美町唐川</t>
  </si>
  <si>
    <t>岩美郡岩美町恩志</t>
  </si>
  <si>
    <t>岩美郡岩美町小田</t>
  </si>
  <si>
    <t>岩美郡岩美町大羽尾</t>
  </si>
  <si>
    <t>岩美郡岩美町大谷</t>
  </si>
  <si>
    <t>岩美郡岩美町太田</t>
  </si>
  <si>
    <t>岩美郡岩美町大坂</t>
  </si>
  <si>
    <t>岩美郡岩美町延興寺</t>
  </si>
  <si>
    <t>岩美郡岩美町浦富</t>
  </si>
  <si>
    <t>岩美郡岩美町宇治</t>
  </si>
  <si>
    <t>岩美郡岩美町院内</t>
  </si>
  <si>
    <t>岩美郡岩美町岩本</t>
  </si>
  <si>
    <t>岩美郡岩美町岩常</t>
  </si>
  <si>
    <t>岩美郡岩美町岩井</t>
  </si>
  <si>
    <t>岩美郡岩美町池谷</t>
  </si>
  <si>
    <t>岩美郡岩美町荒金</t>
  </si>
  <si>
    <t>岩美郡岩美町洗井</t>
  </si>
  <si>
    <t>岩美郡岩美町網代</t>
  </si>
  <si>
    <t>岩美郡岩美町相山</t>
  </si>
  <si>
    <t>岩美郡岩美町相谷</t>
  </si>
  <si>
    <t>岩美郡岩美町</t>
  </si>
  <si>
    <t>岩美郡国府町宮下</t>
  </si>
  <si>
    <t>岩美郡国府町分上4丁目</t>
  </si>
  <si>
    <t>岩美郡国府町分上3丁目</t>
  </si>
  <si>
    <t>岩美郡国府町分上2丁目</t>
  </si>
  <si>
    <t>岩美郡国府町分上1丁目</t>
  </si>
  <si>
    <t>岩美郡国府町新町2丁目</t>
  </si>
  <si>
    <t>岩美郡国府町新町1丁目</t>
  </si>
  <si>
    <t>岩美郡国府町新通り4丁目</t>
  </si>
  <si>
    <t>岩美郡国府町新通り3丁目</t>
  </si>
  <si>
    <t>岩美郡国府町新通り2丁目</t>
  </si>
  <si>
    <t>岩美郡国府町新通り1丁目</t>
  </si>
  <si>
    <t>岩美郡国府町奥谷3丁目</t>
  </si>
  <si>
    <t>岩美郡国府町奥谷2丁目</t>
  </si>
  <si>
    <t>岩美郡国府町奥谷1丁目</t>
  </si>
  <si>
    <t>岩美郡国府町稲葉丘3丁目</t>
  </si>
  <si>
    <t>岩美郡国府町稲葉丘2丁目</t>
  </si>
  <si>
    <t>岩美郡国府町稲葉丘1丁目</t>
  </si>
  <si>
    <t>岩美郡国府町上地</t>
  </si>
  <si>
    <t>岩美郡国府町吉野</t>
  </si>
  <si>
    <t>岩美郡国府町山根</t>
  </si>
  <si>
    <t>岩美郡国府町山崎</t>
  </si>
  <si>
    <t>岩美郡国府町南広西</t>
  </si>
  <si>
    <t>岩美郡国府町美歎</t>
  </si>
  <si>
    <t>岩美郡国府町松尾</t>
  </si>
  <si>
    <t>岩美郡国府町町屋</t>
  </si>
  <si>
    <t>岩美郡国府町法花寺</t>
  </si>
  <si>
    <t>岩美郡国府町広西笑道</t>
  </si>
  <si>
    <t>岩美郡国府町広西</t>
  </si>
  <si>
    <t>岩美郡国府町新井</t>
  </si>
  <si>
    <t>岩美郡国府町楠城</t>
  </si>
  <si>
    <t>岩美郡国府町中河原</t>
  </si>
  <si>
    <t>岩美郡国府町殿</t>
  </si>
  <si>
    <t>岩美郡国府町栃本</t>
  </si>
  <si>
    <t>岩美郡国府町庁</t>
  </si>
  <si>
    <t>岩美郡国府町中郷</t>
  </si>
  <si>
    <t>岩美郡国府町玉鉾</t>
  </si>
  <si>
    <t>岩美郡国府町谷</t>
  </si>
  <si>
    <t>岩美郡国府町高岡</t>
  </si>
  <si>
    <t>岩美郡国府町清水</t>
  </si>
  <si>
    <t>岩美郡国府町菅野</t>
  </si>
  <si>
    <t>岩美郡国府町拾石</t>
  </si>
  <si>
    <t>岩美郡国府町下木原</t>
  </si>
  <si>
    <t>岩美郡国府町三代寺</t>
  </si>
  <si>
    <t>岩美郡国府町国分寺</t>
  </si>
  <si>
    <t>岩美郡国府町神垣</t>
  </si>
  <si>
    <t>岩美郡国府町木原</t>
  </si>
  <si>
    <t>岩美郡国府町神護</t>
  </si>
  <si>
    <t>岩美郡国府町上上地</t>
  </si>
  <si>
    <t>岩美郡国府町上町屋</t>
  </si>
  <si>
    <t>岩美郡国府町上荒舟</t>
  </si>
  <si>
    <t>岩美郡国府町上麻生</t>
  </si>
  <si>
    <t>岩美郡国府町奥谷</t>
  </si>
  <si>
    <t>岩美郡国府町岡益</t>
  </si>
  <si>
    <t>岩美郡国府町大石</t>
  </si>
  <si>
    <t>岩美郡国府町石井谷</t>
  </si>
  <si>
    <t>岩美郡国府町糸谷</t>
  </si>
  <si>
    <t>岩美郡国府町安田</t>
  </si>
  <si>
    <t>岩美郡国府町荒舟</t>
  </si>
  <si>
    <t>岩美郡国府町雨滝</t>
  </si>
  <si>
    <t>岩美郡国府町麻生</t>
  </si>
  <si>
    <t>岩美郡国府町</t>
  </si>
  <si>
    <t>岩美郡</t>
  </si>
  <si>
    <t>境港市夕日ヶ丘2丁目</t>
  </si>
  <si>
    <t>境港市夕日ヶ丘1丁目</t>
  </si>
  <si>
    <t>境港市西工業団地</t>
  </si>
  <si>
    <t>境港市潮見町</t>
  </si>
  <si>
    <t>境港市中海干拓地</t>
  </si>
  <si>
    <t>境港市竹内団地</t>
  </si>
  <si>
    <t>境港市清水町</t>
  </si>
  <si>
    <t>境港市芝町</t>
  </si>
  <si>
    <t>境港市渡町</t>
  </si>
  <si>
    <t>境港市米川町</t>
  </si>
  <si>
    <t>境港市弥生町</t>
  </si>
  <si>
    <t>境港市森岡町</t>
  </si>
  <si>
    <t>境港市元町</t>
  </si>
  <si>
    <t>境港市明治町</t>
  </si>
  <si>
    <t>境港市麦垣町</t>
  </si>
  <si>
    <t>境港市美保町</t>
  </si>
  <si>
    <t>境港市湊町</t>
  </si>
  <si>
    <t>境港市岬町</t>
  </si>
  <si>
    <t>境港市松ケ枝町</t>
  </si>
  <si>
    <t>境港市本町</t>
  </si>
  <si>
    <t>境港市福定町</t>
  </si>
  <si>
    <t>境港市日ノ出町</t>
  </si>
  <si>
    <t>境港市東本町</t>
  </si>
  <si>
    <t>境港市馬場崎町</t>
  </si>
  <si>
    <t>境港市浜ノ町</t>
  </si>
  <si>
    <t>境港市花町</t>
  </si>
  <si>
    <t>境港市蓮池町</t>
  </si>
  <si>
    <t>境港市入船町</t>
  </si>
  <si>
    <t>境港市新屋町</t>
  </si>
  <si>
    <t>境港市中町</t>
  </si>
  <si>
    <t>境港市中野町</t>
  </si>
  <si>
    <t>境港市外江町</t>
  </si>
  <si>
    <t>境港市竹内町</t>
  </si>
  <si>
    <t>境港市高松町</t>
  </si>
  <si>
    <t>境港市大正町</t>
  </si>
  <si>
    <t>境港市誠道町</t>
  </si>
  <si>
    <t>境港市末広町</t>
  </si>
  <si>
    <t>境港市昭和町</t>
  </si>
  <si>
    <t>境港市東雲町</t>
  </si>
  <si>
    <t>境港市三軒屋町</t>
  </si>
  <si>
    <t>境港市財ノ木町</t>
  </si>
  <si>
    <t>境港市佐斐神町</t>
  </si>
  <si>
    <t>境港市小篠津町</t>
  </si>
  <si>
    <t>境港市幸神町</t>
  </si>
  <si>
    <t>境港市京町</t>
  </si>
  <si>
    <t>境港市栄町</t>
  </si>
  <si>
    <t>境港市朝日町</t>
  </si>
  <si>
    <t>境港市上道町</t>
  </si>
  <si>
    <t>境港市相生町</t>
  </si>
  <si>
    <t>境港市</t>
  </si>
  <si>
    <t>倉吉市関金町米富</t>
  </si>
  <si>
    <t>倉吉市関金町山口矢櫃</t>
  </si>
  <si>
    <t>倉吉市関金町山口本村</t>
  </si>
  <si>
    <t>倉吉市関金町山口田中</t>
  </si>
  <si>
    <t>倉吉市関金町山口大河原</t>
  </si>
  <si>
    <t>倉吉市関金町山口浅井</t>
  </si>
  <si>
    <t>倉吉市関金町山口</t>
  </si>
  <si>
    <t>倉吉市関金町明高真野原</t>
  </si>
  <si>
    <t>倉吉市関金町明高共和</t>
  </si>
  <si>
    <t>倉吉市関金町明高</t>
  </si>
  <si>
    <t>倉吉市関金町松河原山新</t>
  </si>
  <si>
    <t>倉吉市関金町松河原本村</t>
  </si>
  <si>
    <t>倉吉市関金町松河原上部</t>
  </si>
  <si>
    <t>倉吉市関金町松河原開田</t>
  </si>
  <si>
    <t>倉吉市関金町松河原井手</t>
  </si>
  <si>
    <t>倉吉市関金町松河原</t>
  </si>
  <si>
    <t>倉吉市関金町堀陽西</t>
  </si>
  <si>
    <t>倉吉市関金町堀陽中</t>
  </si>
  <si>
    <t>倉吉市関金町堀鴨ケ丘</t>
  </si>
  <si>
    <t>倉吉市関金町堀</t>
  </si>
  <si>
    <t>倉吉市関金町福原</t>
  </si>
  <si>
    <t>倉吉市関金町野添</t>
  </si>
  <si>
    <t>倉吉市関金町泰久寺</t>
  </si>
  <si>
    <t>倉吉市関金町関金宿本町</t>
  </si>
  <si>
    <t>倉吉市関金町関金宿中町</t>
  </si>
  <si>
    <t>倉吉市関金町関金宿滝川</t>
  </si>
  <si>
    <t>倉吉市関金町関金宿金谷</t>
  </si>
  <si>
    <t>倉吉市関金町関金宿大坪</t>
  </si>
  <si>
    <t>倉吉市関金町関金宿上町</t>
  </si>
  <si>
    <t>倉吉市関金町関金宿</t>
  </si>
  <si>
    <t>倉吉市関金町郡家</t>
  </si>
  <si>
    <t>倉吉市関金町小泉</t>
  </si>
  <si>
    <t>倉吉市関金町大鳥居前条</t>
  </si>
  <si>
    <t>倉吉市関金町大鳥居八王子</t>
  </si>
  <si>
    <t>倉吉市関金町大鳥居新田</t>
  </si>
  <si>
    <t>倉吉市関金町大鳥居上部</t>
  </si>
  <si>
    <t>倉吉市関金町大鳥居開田</t>
  </si>
  <si>
    <t>倉吉市関金町大鳥居朝干</t>
  </si>
  <si>
    <t>倉吉市関金町大鳥居</t>
  </si>
  <si>
    <t>倉吉市関金町今西前条</t>
  </si>
  <si>
    <t>倉吉市関金町今西西条</t>
  </si>
  <si>
    <t>倉吉市関金町今西金谷</t>
  </si>
  <si>
    <t>倉吉市関金町今西</t>
  </si>
  <si>
    <t>倉吉市関金町安歩</t>
  </si>
  <si>
    <t>倉吉市大谷茶屋</t>
  </si>
  <si>
    <t>倉吉市福庭町2丁目</t>
  </si>
  <si>
    <t>倉吉市福庭町1丁目</t>
  </si>
  <si>
    <t>倉吉市清谷町2丁目</t>
  </si>
  <si>
    <t>倉吉市清谷町1丁目</t>
  </si>
  <si>
    <t>倉吉市虹ケ丘町</t>
  </si>
  <si>
    <t>倉吉市秋喜西町</t>
  </si>
  <si>
    <t>倉吉市見日町</t>
  </si>
  <si>
    <t>倉吉市南昭和町</t>
  </si>
  <si>
    <t>倉吉市東昭和町</t>
  </si>
  <si>
    <t>倉吉市東巌城町</t>
  </si>
  <si>
    <t>倉吉市新陽町</t>
  </si>
  <si>
    <t>倉吉市下田中町</t>
  </si>
  <si>
    <t>倉吉市円谷町</t>
  </si>
  <si>
    <t>倉吉市上灘町</t>
  </si>
  <si>
    <t>倉吉市和田東町</t>
  </si>
  <si>
    <t>倉吉市和田</t>
  </si>
  <si>
    <t>倉吉市米田町2丁目</t>
  </si>
  <si>
    <t>倉吉市米田町</t>
  </si>
  <si>
    <t>倉吉市余戸谷町</t>
  </si>
  <si>
    <t>倉吉市横田</t>
  </si>
  <si>
    <t>倉吉市山根茶屋</t>
  </si>
  <si>
    <t>倉吉市山根</t>
  </si>
  <si>
    <t>倉吉市八屋</t>
  </si>
  <si>
    <t>倉吉市森</t>
  </si>
  <si>
    <t>倉吉市椋波</t>
  </si>
  <si>
    <t>倉吉市明治町2丁目</t>
  </si>
  <si>
    <t>倉吉市明治町</t>
  </si>
  <si>
    <t>倉吉市宮川町2丁目</t>
  </si>
  <si>
    <t>倉吉市宮川町</t>
  </si>
  <si>
    <t>倉吉市耳</t>
  </si>
  <si>
    <t>倉吉市湊町</t>
  </si>
  <si>
    <t>倉吉市みどり町</t>
  </si>
  <si>
    <t>倉吉市三江才が崎</t>
  </si>
  <si>
    <t>倉吉市三江</t>
  </si>
  <si>
    <t>倉吉市丸山町</t>
  </si>
  <si>
    <t>倉吉市別所半坂</t>
  </si>
  <si>
    <t>倉吉市別所穴田</t>
  </si>
  <si>
    <t>倉吉市別所</t>
  </si>
  <si>
    <t>倉吉市古川沢</t>
  </si>
  <si>
    <t>倉吉市不入岡</t>
  </si>
  <si>
    <t>倉吉市福吉町2丁目</t>
  </si>
  <si>
    <t>倉吉市福吉町</t>
  </si>
  <si>
    <t>倉吉市福山</t>
  </si>
  <si>
    <t>倉吉市福守町</t>
  </si>
  <si>
    <t>倉吉市福本</t>
  </si>
  <si>
    <t>倉吉市福光</t>
  </si>
  <si>
    <t>倉吉市福庭</t>
  </si>
  <si>
    <t>倉吉市福富</t>
  </si>
  <si>
    <t>倉吉市福積</t>
  </si>
  <si>
    <t>倉吉市広瀬町</t>
  </si>
  <si>
    <t>倉吉市広瀬</t>
  </si>
  <si>
    <t>倉吉市東町</t>
  </si>
  <si>
    <t>倉吉市東仲町</t>
  </si>
  <si>
    <t>倉吉市東鴨新町</t>
  </si>
  <si>
    <t>倉吉市東鴨弓削</t>
  </si>
  <si>
    <t>倉吉市東鴨長坂</t>
  </si>
  <si>
    <t>倉吉市東鴨</t>
  </si>
  <si>
    <t>倉吉市東岩倉町</t>
  </si>
  <si>
    <t>倉吉市馬場町</t>
  </si>
  <si>
    <t>倉吉市般若</t>
  </si>
  <si>
    <t>倉吉市服部旭原</t>
  </si>
  <si>
    <t>倉吉市服部</t>
  </si>
  <si>
    <t>倉吉市八幡町</t>
  </si>
  <si>
    <t>倉吉市西町</t>
  </si>
  <si>
    <t>倉吉市西福守町</t>
  </si>
  <si>
    <t>倉吉市西仲町</t>
  </si>
  <si>
    <t>倉吉市西倉吉町</t>
  </si>
  <si>
    <t>倉吉市西岩倉町</t>
  </si>
  <si>
    <t>倉吉市長谷</t>
  </si>
  <si>
    <t>倉吉市長坂町</t>
  </si>
  <si>
    <t>倉吉市長坂新町</t>
  </si>
  <si>
    <t>倉吉市仲ノ町</t>
  </si>
  <si>
    <t>倉吉市中野</t>
  </si>
  <si>
    <t>倉吉市中河原</t>
  </si>
  <si>
    <t>倉吉市中江</t>
  </si>
  <si>
    <t>倉吉市富海</t>
  </si>
  <si>
    <t>倉吉市研屋町</t>
  </si>
  <si>
    <t>倉吉市天神町</t>
  </si>
  <si>
    <t>倉吉市寺谷</t>
  </si>
  <si>
    <t>倉吉市津原</t>
  </si>
  <si>
    <t>倉吉市駄経寺町2丁目</t>
  </si>
  <si>
    <t>倉吉市駄経寺町</t>
  </si>
  <si>
    <t>倉吉市谷</t>
  </si>
  <si>
    <t>倉吉市立見</t>
  </si>
  <si>
    <t>倉吉市大正町2丁目</t>
  </si>
  <si>
    <t>倉吉市大正町</t>
  </si>
  <si>
    <t>倉吉市瀬崎町</t>
  </si>
  <si>
    <t>倉吉市清谷</t>
  </si>
  <si>
    <t>倉吉市住吉町</t>
  </si>
  <si>
    <t>倉吉市菅原</t>
  </si>
  <si>
    <t>倉吉市杉野</t>
  </si>
  <si>
    <t>倉吉市鋤</t>
  </si>
  <si>
    <t>倉吉市新町3丁目</t>
  </si>
  <si>
    <t>倉吉市新町2丁目</t>
  </si>
  <si>
    <t>倉吉市新町1丁目</t>
  </si>
  <si>
    <t>倉吉市新田</t>
  </si>
  <si>
    <t>倉吉市昭和町2丁目</t>
  </si>
  <si>
    <t>倉吉市昭和町1丁目</t>
  </si>
  <si>
    <t>倉吉市昭和町</t>
  </si>
  <si>
    <t>倉吉市秋喜</t>
  </si>
  <si>
    <t>倉吉市下米積</t>
  </si>
  <si>
    <t>倉吉市下余戸</t>
  </si>
  <si>
    <t>倉吉市下古川</t>
  </si>
  <si>
    <t>倉吉市下福田昭和開拓</t>
  </si>
  <si>
    <t>倉吉市下福田</t>
  </si>
  <si>
    <t>倉吉市下田中</t>
  </si>
  <si>
    <t>倉吉市下大江</t>
  </si>
  <si>
    <t>倉吉市志津横谷</t>
  </si>
  <si>
    <t>倉吉市志津藤井谷</t>
  </si>
  <si>
    <t>倉吉市志津仙隠</t>
  </si>
  <si>
    <t>倉吉市志津</t>
  </si>
  <si>
    <t>倉吉市沢谷</t>
  </si>
  <si>
    <t>倉吉市桜</t>
  </si>
  <si>
    <t>倉吉市堺町3丁目</t>
  </si>
  <si>
    <t>倉吉市堺町2丁目</t>
  </si>
  <si>
    <t>倉吉市堺町1丁目</t>
  </si>
  <si>
    <t>倉吉市幸町</t>
  </si>
  <si>
    <t>倉吉市小田小田東</t>
  </si>
  <si>
    <t>倉吉市小田</t>
  </si>
  <si>
    <t>倉吉市越殿町</t>
  </si>
  <si>
    <t>倉吉市国分寺</t>
  </si>
  <si>
    <t>倉吉市荒神町</t>
  </si>
  <si>
    <t>倉吉市広栄町</t>
  </si>
  <si>
    <t>倉吉市国府大沢</t>
  </si>
  <si>
    <t>倉吉市国府</t>
  </si>
  <si>
    <t>倉吉市黒見</t>
  </si>
  <si>
    <t>倉吉市栗尾</t>
  </si>
  <si>
    <t>倉吉市蔵内</t>
  </si>
  <si>
    <t>倉吉市北面</t>
  </si>
  <si>
    <t>倉吉市北野天神野</t>
  </si>
  <si>
    <t>倉吉市北野</t>
  </si>
  <si>
    <t>倉吉市河原町</t>
  </si>
  <si>
    <t>倉吉市河来見</t>
  </si>
  <si>
    <t>倉吉市鴨河内若土</t>
  </si>
  <si>
    <t>倉吉市鴨河内生竹</t>
  </si>
  <si>
    <t>倉吉市鴨河内中田</t>
  </si>
  <si>
    <t>倉吉市鴨河内仙隠</t>
  </si>
  <si>
    <t>倉吉市鴨河内</t>
  </si>
  <si>
    <t>倉吉市鴨川町南</t>
  </si>
  <si>
    <t>倉吉市鴨川町</t>
  </si>
  <si>
    <t>倉吉市上米積本郷</t>
  </si>
  <si>
    <t>倉吉市上米積東</t>
  </si>
  <si>
    <t>倉吉市上米積西</t>
  </si>
  <si>
    <t>倉吉市上米積</t>
  </si>
  <si>
    <t>倉吉市上余戸</t>
  </si>
  <si>
    <t>倉吉市上古川住吉</t>
  </si>
  <si>
    <t>倉吉市上古川</t>
  </si>
  <si>
    <t>倉吉市上福田勝負谷</t>
  </si>
  <si>
    <t>倉吉市上福田妻の神</t>
  </si>
  <si>
    <t>倉吉市上福田</t>
  </si>
  <si>
    <t>倉吉市上大立</t>
  </si>
  <si>
    <t>倉吉市河北町</t>
  </si>
  <si>
    <t>倉吉市金森町</t>
  </si>
  <si>
    <t>倉吉市忰谷</t>
  </si>
  <si>
    <t>倉吉市上神</t>
  </si>
  <si>
    <t>倉吉市鍛冶町2丁目</t>
  </si>
  <si>
    <t>倉吉市鍛冶町1丁目</t>
  </si>
  <si>
    <t>倉吉市海田南町</t>
  </si>
  <si>
    <t>倉吉市海田東町</t>
  </si>
  <si>
    <t>倉吉市海田西町2丁目</t>
  </si>
  <si>
    <t>倉吉市海田西町1丁目</t>
  </si>
  <si>
    <t>倉吉市海田西町</t>
  </si>
  <si>
    <t>倉吉市尾原</t>
  </si>
  <si>
    <t>倉吉市大原</t>
  </si>
  <si>
    <t>倉吉市尾田</t>
  </si>
  <si>
    <t>倉吉市小鴨西鴨</t>
  </si>
  <si>
    <t>倉吉市小鴨</t>
  </si>
  <si>
    <t>倉吉市岡</t>
  </si>
  <si>
    <t>倉吉市大宮</t>
  </si>
  <si>
    <t>倉吉市大平町</t>
  </si>
  <si>
    <t>倉吉市大塚</t>
  </si>
  <si>
    <t>倉吉市大谷</t>
  </si>
  <si>
    <t>倉吉市大立横手</t>
  </si>
  <si>
    <t>倉吉市大立</t>
  </si>
  <si>
    <t>倉吉市大河内寿開拓</t>
  </si>
  <si>
    <t>倉吉市大河内汗干</t>
  </si>
  <si>
    <t>倉吉市大河内</t>
  </si>
  <si>
    <t>倉吉市円谷</t>
  </si>
  <si>
    <t>倉吉市越中町</t>
  </si>
  <si>
    <t>倉吉市魚町</t>
  </si>
  <si>
    <t>倉吉市岩倉</t>
  </si>
  <si>
    <t>倉吉市巌城田内</t>
  </si>
  <si>
    <t>倉吉市巌城三明寺東</t>
  </si>
  <si>
    <t>倉吉市巌城三明寺西</t>
  </si>
  <si>
    <t>倉吉市巌城</t>
  </si>
  <si>
    <t>倉吉市今在家</t>
  </si>
  <si>
    <t>倉吉市井手畑</t>
  </si>
  <si>
    <t>倉吉市石塚</t>
  </si>
  <si>
    <t>倉吉市生田</t>
  </si>
  <si>
    <t>倉吉市伊木</t>
  </si>
  <si>
    <t>倉吉市穴沢</t>
  </si>
  <si>
    <t>倉吉市穴窪</t>
  </si>
  <si>
    <t>倉吉市旭田町</t>
  </si>
  <si>
    <t>倉吉市上井町2丁目</t>
  </si>
  <si>
    <t>倉吉市上井町1丁目</t>
  </si>
  <si>
    <t>倉吉市上井柳町</t>
  </si>
  <si>
    <t>倉吉市上井本町</t>
  </si>
  <si>
    <t>倉吉市上井旭南</t>
  </si>
  <si>
    <t>倉吉市上井旭東</t>
  </si>
  <si>
    <t>倉吉市上井旭西</t>
  </si>
  <si>
    <t>倉吉市上井旭北</t>
  </si>
  <si>
    <t>倉吉市上井</t>
  </si>
  <si>
    <t>倉吉市葵町</t>
  </si>
  <si>
    <t>倉吉市</t>
  </si>
  <si>
    <t>米子市淀江町淀江8区</t>
  </si>
  <si>
    <t>米子市淀江町淀江7区</t>
  </si>
  <si>
    <t>米子市淀江町淀江6区</t>
  </si>
  <si>
    <t>米子市淀江町淀江5区</t>
  </si>
  <si>
    <t>米子市淀江町淀江4区</t>
  </si>
  <si>
    <t>米子市淀江町淀江3区</t>
  </si>
  <si>
    <t>米子市淀江町淀江2区</t>
  </si>
  <si>
    <t>米子市淀江町淀江1区</t>
  </si>
  <si>
    <t>米子市淀江町淀江</t>
  </si>
  <si>
    <t>米子市淀江町本宮</t>
  </si>
  <si>
    <t>米子市淀江町福頼</t>
  </si>
  <si>
    <t>米子市淀江町福岡北尾</t>
  </si>
  <si>
    <t>米子市淀江町福岡上淀</t>
  </si>
  <si>
    <t>米子市淀江町福岡</t>
  </si>
  <si>
    <t>米子市淀江町福井</t>
  </si>
  <si>
    <t>米子市淀江町平岡</t>
  </si>
  <si>
    <t>米子市淀江町西原11区</t>
  </si>
  <si>
    <t>米子市淀江町西原1０区</t>
  </si>
  <si>
    <t>米子市淀江町西原9区</t>
  </si>
  <si>
    <t>米子市淀江町西原</t>
  </si>
  <si>
    <t>米子市淀江町西尾原</t>
  </si>
  <si>
    <t>米子市淀江町中間亀甲新道</t>
  </si>
  <si>
    <t>米子市淀江町中間亀甲</t>
  </si>
  <si>
    <t>米子市淀江町中間</t>
  </si>
  <si>
    <t>米子市淀江町中西尾</t>
  </si>
  <si>
    <t>米子市淀江町富繁</t>
  </si>
  <si>
    <t>米子市淀江町高井谷</t>
  </si>
  <si>
    <t>米子市淀江町佐陀新田</t>
  </si>
  <si>
    <t>米子市淀江町佐陀桜台</t>
  </si>
  <si>
    <t>米子市淀江町佐陀</t>
  </si>
  <si>
    <t>米子市淀江町小波浜</t>
  </si>
  <si>
    <t>米子市淀江町小波上</t>
  </si>
  <si>
    <t>米子市淀江町小波</t>
  </si>
  <si>
    <t>米子市淀江町今津</t>
  </si>
  <si>
    <t>米子市淀江町稲吉</t>
  </si>
  <si>
    <t>米子市車尾南2丁目</t>
  </si>
  <si>
    <t>米子市車尾南1丁目</t>
  </si>
  <si>
    <t>米子市観音寺新町5丁目</t>
  </si>
  <si>
    <t>米子市観音寺新町4丁目</t>
  </si>
  <si>
    <t>米子市観音寺新町3丁目</t>
  </si>
  <si>
    <t>米子市観音寺新町2丁目</t>
  </si>
  <si>
    <t>米子市観音寺新町1丁目</t>
  </si>
  <si>
    <t>米子市流通町</t>
  </si>
  <si>
    <t>米子市新開7丁目</t>
  </si>
  <si>
    <t>米子市新開6丁目</t>
  </si>
  <si>
    <t>米子市新開5丁目</t>
  </si>
  <si>
    <t>米子市新開4丁目</t>
  </si>
  <si>
    <t>米子市新開3丁目</t>
  </si>
  <si>
    <t>米子市新開2丁目</t>
  </si>
  <si>
    <t>米子市新開1丁目</t>
  </si>
  <si>
    <t>米子市皆生温泉4丁目</t>
  </si>
  <si>
    <t>米子市皆生温泉3丁目</t>
  </si>
  <si>
    <t>米子市皆生温泉2丁目</t>
  </si>
  <si>
    <t>米子市皆生温泉1丁目</t>
  </si>
  <si>
    <t>米子市彦名新田</t>
  </si>
  <si>
    <t>米子市三本松4丁目</t>
  </si>
  <si>
    <t>米子市三本松3丁目</t>
  </si>
  <si>
    <t>米子市三本松2丁目</t>
  </si>
  <si>
    <t>米子市三本松1丁目</t>
  </si>
  <si>
    <t>米子市義方町</t>
  </si>
  <si>
    <t>米子市錦海町3丁目</t>
  </si>
  <si>
    <t>米子市錦海町2丁目</t>
  </si>
  <si>
    <t>米子市錦海町1丁目</t>
  </si>
  <si>
    <t>米子市皆生新田3丁目</t>
  </si>
  <si>
    <t>米子市皆生新田2丁目</t>
  </si>
  <si>
    <t>米子市皆生新田1丁目</t>
  </si>
  <si>
    <t>米子市和田町</t>
  </si>
  <si>
    <t>米子市両三柳</t>
  </si>
  <si>
    <t>米子市夜見町</t>
  </si>
  <si>
    <t>米子市米原9丁目</t>
  </si>
  <si>
    <t>米子市米原8丁目</t>
  </si>
  <si>
    <t>米子市米原7丁目</t>
  </si>
  <si>
    <t>米子市米原6丁目</t>
  </si>
  <si>
    <t>米子市米原5丁目</t>
  </si>
  <si>
    <t>米子市米原4丁目</t>
  </si>
  <si>
    <t>米子市米原3丁目</t>
  </si>
  <si>
    <t>米子市米原2丁目</t>
  </si>
  <si>
    <t>米子市米原1丁目</t>
  </si>
  <si>
    <t>米子市米原</t>
  </si>
  <si>
    <t>米子市四日市町</t>
  </si>
  <si>
    <t>米子市葭津</t>
  </si>
  <si>
    <t>米子市吉谷</t>
  </si>
  <si>
    <t>米子市吉岡</t>
  </si>
  <si>
    <t>米子市陽田町</t>
  </si>
  <si>
    <t>米子市八幡</t>
  </si>
  <si>
    <t>米子市弥生町</t>
  </si>
  <si>
    <t>米子市目久美町</t>
  </si>
  <si>
    <t>米子市明治町</t>
  </si>
  <si>
    <t>米子市宗像</t>
  </si>
  <si>
    <t>米子市美吉</t>
  </si>
  <si>
    <t>米子市三旗町</t>
  </si>
  <si>
    <t>米子市水浜</t>
  </si>
  <si>
    <t>米子市万能町</t>
  </si>
  <si>
    <t>米子市法勝寺町</t>
  </si>
  <si>
    <t>米子市別所</t>
  </si>
  <si>
    <t>米子市古市</t>
  </si>
  <si>
    <t>米子市冨士見町2丁目</t>
  </si>
  <si>
    <t>米子市冨士見町1丁目</t>
  </si>
  <si>
    <t>米子市冨士見町</t>
  </si>
  <si>
    <t>米子市福万</t>
  </si>
  <si>
    <t>米子市福市</t>
  </si>
  <si>
    <t>米子市日原</t>
  </si>
  <si>
    <t>米子市日野町</t>
  </si>
  <si>
    <t>米子市日ノ出町2丁目</t>
  </si>
  <si>
    <t>米子市日ノ出町1丁目</t>
  </si>
  <si>
    <t>米子市日ノ出町</t>
  </si>
  <si>
    <t>米子市彦名町</t>
  </si>
  <si>
    <t>米子市東八幡</t>
  </si>
  <si>
    <t>米子市東山町</t>
  </si>
  <si>
    <t>米子市東福原8丁目</t>
  </si>
  <si>
    <t>米子市東福原7丁目</t>
  </si>
  <si>
    <t>米子市東福原6丁目</t>
  </si>
  <si>
    <t>米子市東福原5丁目</t>
  </si>
  <si>
    <t>米子市東福原4丁目</t>
  </si>
  <si>
    <t>米子市東福原3丁目</t>
  </si>
  <si>
    <t>米子市東福原2丁目</t>
  </si>
  <si>
    <t>米子市東福原1丁目</t>
  </si>
  <si>
    <t>米子市東福原</t>
  </si>
  <si>
    <t>米子市東町</t>
  </si>
  <si>
    <t>米子市東倉吉町</t>
  </si>
  <si>
    <t>米子市博労町4丁目</t>
  </si>
  <si>
    <t>米子市博労町3丁目</t>
  </si>
  <si>
    <t>米子市博労町2丁目</t>
  </si>
  <si>
    <t>米子市博労町1丁目</t>
  </si>
  <si>
    <t>米子市花園町</t>
  </si>
  <si>
    <t>米子市旗ヶ崎9丁目</t>
  </si>
  <si>
    <t>米子市旗ヶ崎8丁目</t>
  </si>
  <si>
    <t>米子市旗ヶ崎7丁目</t>
  </si>
  <si>
    <t>米子市旗ヶ崎6丁目</t>
  </si>
  <si>
    <t>米子市旗ヶ崎5丁目</t>
  </si>
  <si>
    <t>米子市旗ヶ崎4丁目</t>
  </si>
  <si>
    <t>米子市旗ヶ崎3丁目</t>
  </si>
  <si>
    <t>米子市旗ヶ崎2丁目</t>
  </si>
  <si>
    <t>米子市旗ヶ崎1丁目</t>
  </si>
  <si>
    <t>米子市旗ヶ崎</t>
  </si>
  <si>
    <t>米子市橋本</t>
  </si>
  <si>
    <t>米子市二本木</t>
  </si>
  <si>
    <t>米子市西福原9丁目</t>
  </si>
  <si>
    <t>米子市西福原8丁目</t>
  </si>
  <si>
    <t>米子市西福原7丁目</t>
  </si>
  <si>
    <t>米子市西福原6丁目</t>
  </si>
  <si>
    <t>米子市西福原5丁目</t>
  </si>
  <si>
    <t>米子市西福原4丁目</t>
  </si>
  <si>
    <t>米子市西福原3丁目</t>
  </si>
  <si>
    <t>米子市西福原2丁目</t>
  </si>
  <si>
    <t>米子市西福原1丁目</t>
  </si>
  <si>
    <t>米子市西福原</t>
  </si>
  <si>
    <t>米子市西町</t>
  </si>
  <si>
    <t>米子市西倉吉町</t>
  </si>
  <si>
    <t>米子市錦町3丁目</t>
  </si>
  <si>
    <t>米子市錦町2丁目</t>
  </si>
  <si>
    <t>米子市錦町1丁目</t>
  </si>
  <si>
    <t>米子市新山</t>
  </si>
  <si>
    <t>米子市灘町3丁目</t>
  </si>
  <si>
    <t>米子市灘町2丁目</t>
  </si>
  <si>
    <t>米子市灘町1丁目</t>
  </si>
  <si>
    <t>米子市奈喜良</t>
  </si>
  <si>
    <t>米子市長砂町</t>
  </si>
  <si>
    <t>米子市永江</t>
  </si>
  <si>
    <t>米子市中町</t>
  </si>
  <si>
    <t>米子市中島2丁目</t>
  </si>
  <si>
    <t>米子市中島1丁目</t>
  </si>
  <si>
    <t>米子市中島</t>
  </si>
  <si>
    <t>米子市道笑町4丁目</t>
  </si>
  <si>
    <t>米子市道笑町3丁目</t>
  </si>
  <si>
    <t>米子市道笑町2丁目</t>
  </si>
  <si>
    <t>米子市道笑町1丁目</t>
  </si>
  <si>
    <t>米子市富益町</t>
  </si>
  <si>
    <t>米子市天神町2丁目</t>
  </si>
  <si>
    <t>米子市天神町1丁目</t>
  </si>
  <si>
    <t>米子市寺町</t>
  </si>
  <si>
    <t>米子市茶町</t>
  </si>
  <si>
    <t>米子市大工町</t>
  </si>
  <si>
    <t>米子市立町4丁目</t>
  </si>
  <si>
    <t>米子市立町3丁目</t>
  </si>
  <si>
    <t>米子市立町2丁目</t>
  </si>
  <si>
    <t>米子市立町1丁目</t>
  </si>
  <si>
    <t>米子市高島</t>
  </si>
  <si>
    <t>米子市石州府</t>
  </si>
  <si>
    <t>米子市諏訪</t>
  </si>
  <si>
    <t>米子市末広町</t>
  </si>
  <si>
    <t>米子市昭和町</t>
  </si>
  <si>
    <t>米子市下郷</t>
  </si>
  <si>
    <t>米子市下新印</t>
  </si>
  <si>
    <t>米子市下安曇</t>
  </si>
  <si>
    <t>米子市塩町</t>
  </si>
  <si>
    <t>米子市古豊千</t>
  </si>
  <si>
    <t>米子市紺屋町</t>
  </si>
  <si>
    <t>米子市糀町2丁目</t>
  </si>
  <si>
    <t>米子市糀町1丁目</t>
  </si>
  <si>
    <t>米子市久米町</t>
  </si>
  <si>
    <t>米子市熊党</t>
  </si>
  <si>
    <t>米子市車尾7丁目</t>
  </si>
  <si>
    <t>米子市車尾6丁目</t>
  </si>
  <si>
    <t>米子市車尾5丁目</t>
  </si>
  <si>
    <t>米子市車尾4丁目</t>
  </si>
  <si>
    <t>米子市車尾3丁目</t>
  </si>
  <si>
    <t>米子市車尾2丁目</t>
  </si>
  <si>
    <t>米子市車尾1丁目</t>
  </si>
  <si>
    <t>米子市車尾</t>
  </si>
  <si>
    <t>米子市日下</t>
  </si>
  <si>
    <t>米子市祇園町2丁目</t>
  </si>
  <si>
    <t>米子市祇園町1丁目</t>
  </si>
  <si>
    <t>米子市観音寺</t>
  </si>
  <si>
    <t>米子市勝田町</t>
  </si>
  <si>
    <t>米子市河崎</t>
  </si>
  <si>
    <t>米子市河岡</t>
  </si>
  <si>
    <t>米子市蚊屋</t>
  </si>
  <si>
    <t>米子市加茂町2丁目</t>
  </si>
  <si>
    <t>米子市加茂町1丁目</t>
  </si>
  <si>
    <t>米子市上福原7丁目</t>
  </si>
  <si>
    <t>米子市上福原6丁目</t>
  </si>
  <si>
    <t>米子市上福原5丁目</t>
  </si>
  <si>
    <t>米子市上福原4丁目</t>
  </si>
  <si>
    <t>米子市上福原3丁目</t>
  </si>
  <si>
    <t>米子市上福原2丁目</t>
  </si>
  <si>
    <t>米子市上福原1丁目</t>
  </si>
  <si>
    <t>米子市上福原</t>
  </si>
  <si>
    <t>米子市上新印</t>
  </si>
  <si>
    <t>米子市上後藤8丁目</t>
  </si>
  <si>
    <t>米子市上後藤7丁目</t>
  </si>
  <si>
    <t>米子市上後藤6丁目</t>
  </si>
  <si>
    <t>米子市上後藤5丁目</t>
  </si>
  <si>
    <t>米子市上後藤4丁目</t>
  </si>
  <si>
    <t>米子市上後藤3丁目</t>
  </si>
  <si>
    <t>米子市上後藤2丁目</t>
  </si>
  <si>
    <t>米子市上後藤1丁目</t>
  </si>
  <si>
    <t>米子市上後藤</t>
  </si>
  <si>
    <t>米子市上安曇</t>
  </si>
  <si>
    <t>米子市兼久</t>
  </si>
  <si>
    <t>米子市角盤町4丁目</t>
  </si>
  <si>
    <t>米子市角盤町3丁目</t>
  </si>
  <si>
    <t>米子市角盤町2丁目</t>
  </si>
  <si>
    <t>米子市角盤町1丁目</t>
  </si>
  <si>
    <t>米子市皆生6丁目</t>
  </si>
  <si>
    <t>米子市皆生5丁目</t>
  </si>
  <si>
    <t>米子市皆生4丁目</t>
  </si>
  <si>
    <t>米子市皆生3丁目</t>
  </si>
  <si>
    <t>米子市皆生2丁目</t>
  </si>
  <si>
    <t>米子市皆生1丁目</t>
  </si>
  <si>
    <t>米子市皆生</t>
  </si>
  <si>
    <t>米子市尾高町</t>
  </si>
  <si>
    <t>米子市尾高</t>
  </si>
  <si>
    <t>米子市奥谷</t>
  </si>
  <si>
    <t>米子市岡成</t>
  </si>
  <si>
    <t>米子市大袋</t>
  </si>
  <si>
    <t>米子市大谷町</t>
  </si>
  <si>
    <t>米子市大篠津町</t>
  </si>
  <si>
    <t>米子市大崎</t>
  </si>
  <si>
    <t>米子市榎原</t>
  </si>
  <si>
    <t>米子市浦津</t>
  </si>
  <si>
    <t>米子市内町</t>
  </si>
  <si>
    <t>米子市陰田町</t>
  </si>
  <si>
    <t>米子市岩倉町</t>
  </si>
  <si>
    <t>米子市今在家</t>
  </si>
  <si>
    <t>米子市一部</t>
  </si>
  <si>
    <t>米子市泉</t>
  </si>
  <si>
    <t>米子市石井</t>
  </si>
  <si>
    <t>米子市安倍</t>
  </si>
  <si>
    <t>米子市愛宕町</t>
  </si>
  <si>
    <t>米子市朝日町</t>
  </si>
  <si>
    <t>米子市赤井手</t>
  </si>
  <si>
    <t>米子市青木</t>
  </si>
  <si>
    <t>米子市</t>
  </si>
  <si>
    <t>鳥取市河原町西円通寺</t>
  </si>
  <si>
    <t>鳥取市山城町</t>
  </si>
  <si>
    <t>鳥取市青谷町栄町</t>
  </si>
  <si>
    <t>鳥取市用瀬町屋住</t>
  </si>
  <si>
    <t>鳥取市用瀬町用瀬5区</t>
  </si>
  <si>
    <t>鳥取市用瀬町用瀬4区</t>
  </si>
  <si>
    <t>鳥取市用瀬町用瀬3区</t>
  </si>
  <si>
    <t>鳥取市用瀬町用瀬2区</t>
  </si>
  <si>
    <t>鳥取市用瀬町用瀬1区</t>
  </si>
  <si>
    <t>鳥取市用瀬町用瀬</t>
  </si>
  <si>
    <t>鳥取市用瀬町宮原駅前</t>
  </si>
  <si>
    <t>鳥取市用瀬町宮原</t>
  </si>
  <si>
    <t>鳥取市用瀬町美成</t>
  </si>
  <si>
    <t>鳥取市用瀬町別府</t>
  </si>
  <si>
    <t>鳥取市用瀬町古用瀬下古用瀬</t>
  </si>
  <si>
    <t>鳥取市用瀬町古用瀬</t>
  </si>
  <si>
    <t>鳥取市用瀬町鷹狩馬橋</t>
  </si>
  <si>
    <t>鳥取市用瀬町鷹狩旭ケ丘</t>
  </si>
  <si>
    <t>鳥取市用瀬町鷹狩</t>
  </si>
  <si>
    <t>鳥取市用瀬町樟原</t>
  </si>
  <si>
    <t>鳥取市用瀬町川中鳥井野</t>
  </si>
  <si>
    <t>鳥取市用瀬町川中</t>
  </si>
  <si>
    <t>鳥取市用瀬町金屋</t>
  </si>
  <si>
    <t>鳥取市用瀬町江波</t>
  </si>
  <si>
    <t>鳥取市用瀬町家奥</t>
  </si>
  <si>
    <t>鳥取市用瀬町安蔵山口</t>
  </si>
  <si>
    <t>鳥取市用瀬町安蔵松原</t>
  </si>
  <si>
    <t>鳥取市用瀬町安蔵塚ノ原</t>
  </si>
  <si>
    <t>鳥取市用瀬町安蔵鹿ノ子</t>
  </si>
  <si>
    <t>鳥取市用瀬町安蔵岡</t>
  </si>
  <si>
    <t>鳥取市用瀬町安蔵</t>
  </si>
  <si>
    <t>鳥取市用瀬町赤波馬路</t>
  </si>
  <si>
    <t>鳥取市用瀬町赤波杉森</t>
  </si>
  <si>
    <t>鳥取市用瀬町赤波下平</t>
  </si>
  <si>
    <t>鳥取市用瀬町赤波下土居</t>
  </si>
  <si>
    <t>鳥取市用瀬町赤波上土居</t>
  </si>
  <si>
    <t>鳥取市用瀬町赤波板井原</t>
  </si>
  <si>
    <t>鳥取市用瀬町赤波</t>
  </si>
  <si>
    <t>鳥取市福部町湯山山湯山</t>
  </si>
  <si>
    <t>鳥取市福部町湯山浜湯山</t>
  </si>
  <si>
    <t>鳥取市福部町湯山砂丘</t>
  </si>
  <si>
    <t>鳥取市福部町湯山</t>
  </si>
  <si>
    <t>鳥取市福部町箭溪</t>
  </si>
  <si>
    <t>鳥取市福部町八重原</t>
  </si>
  <si>
    <t>鳥取市福部町細川</t>
  </si>
  <si>
    <t>鳥取市福部町南田</t>
  </si>
  <si>
    <t>鳥取市福部町中</t>
  </si>
  <si>
    <t>鳥取市福部町高江</t>
  </si>
  <si>
    <t>鳥取市福部町左近清内谷</t>
  </si>
  <si>
    <t>鳥取市福部町左近上野</t>
  </si>
  <si>
    <t>鳥取市福部町左近</t>
  </si>
  <si>
    <t>鳥取市福部町栗谷</t>
  </si>
  <si>
    <t>鳥取市福部町蔵見</t>
  </si>
  <si>
    <t>鳥取市福部町久志羅上野</t>
  </si>
  <si>
    <t>鳥取市福部町久志羅</t>
  </si>
  <si>
    <t>鳥取市福部町岩戸</t>
  </si>
  <si>
    <t>鳥取市福部町海士西海士</t>
  </si>
  <si>
    <t>鳥取市福部町海士県</t>
  </si>
  <si>
    <t>鳥取市福部町海士</t>
  </si>
  <si>
    <t>鳥取市鹿野町宮方</t>
  </si>
  <si>
    <t>鳥取市鹿野町水谷小畑</t>
  </si>
  <si>
    <t>鳥取市鹿野町水谷</t>
  </si>
  <si>
    <t>鳥取市鹿野町広木</t>
  </si>
  <si>
    <t>鳥取市鹿野町中園東</t>
  </si>
  <si>
    <t>鳥取市鹿野町中園西</t>
  </si>
  <si>
    <t>鳥取市鹿野町中園</t>
  </si>
  <si>
    <t>鳥取市鹿野町閉野</t>
  </si>
  <si>
    <t>鳥取市鹿野町寺内</t>
  </si>
  <si>
    <t>鳥取市鹿野町末用法楽寺</t>
  </si>
  <si>
    <t>鳥取市鹿野町末用二ツ家</t>
  </si>
  <si>
    <t>鳥取市鹿野町末用鬼入道</t>
  </si>
  <si>
    <t>鳥取市鹿野町末用</t>
  </si>
  <si>
    <t>鳥取市鹿野町鷲峯古仏谷</t>
  </si>
  <si>
    <t>鳥取市鹿野町鷲峯来日</t>
  </si>
  <si>
    <t>鳥取市鹿野町鷲峯</t>
  </si>
  <si>
    <t>鳥取市鹿野町鹿野山根町</t>
  </si>
  <si>
    <t>鳥取市鹿野町鹿野水谷</t>
  </si>
  <si>
    <t>鳥取市鹿野町鹿野殿町</t>
  </si>
  <si>
    <t>鳥取市鹿野町鹿野出百姓</t>
  </si>
  <si>
    <t>鳥取市鹿野町鹿野立町</t>
  </si>
  <si>
    <t>鳥取市鹿野町鹿野大工町</t>
  </si>
  <si>
    <t>鳥取市鹿野町鹿野新町</t>
  </si>
  <si>
    <t>鳥取市鹿野町鹿野下町</t>
  </si>
  <si>
    <t>鳥取市鹿野町鹿野紺屋町</t>
  </si>
  <si>
    <t>鳥取市鹿野町鹿野上町</t>
  </si>
  <si>
    <t>鳥取市鹿野町鹿野鍛冶町</t>
  </si>
  <si>
    <t>鳥取市鹿野町鹿野</t>
  </si>
  <si>
    <t>鳥取市鹿野町小別所</t>
  </si>
  <si>
    <t>鳥取市鹿野町河内矢原</t>
  </si>
  <si>
    <t>鳥取市鹿野町河内下条</t>
  </si>
  <si>
    <t>鳥取市鹿野町河内上条</t>
  </si>
  <si>
    <t>鳥取市鹿野町河内</t>
  </si>
  <si>
    <t>鳥取市鹿野町乙亥正重山</t>
  </si>
  <si>
    <t>鳥取市鹿野町乙亥正梶掛</t>
  </si>
  <si>
    <t>鳥取市鹿野町乙亥正</t>
  </si>
  <si>
    <t>鳥取市鹿野町岡木木梨</t>
  </si>
  <si>
    <t>鳥取市鹿野町岡木岡井</t>
  </si>
  <si>
    <t>鳥取市鹿野町岡木</t>
  </si>
  <si>
    <t>鳥取市鹿野町今市玉川</t>
  </si>
  <si>
    <t>鳥取市鹿野町今市越水</t>
  </si>
  <si>
    <t>鳥取市鹿野町今市越路ケ丘</t>
  </si>
  <si>
    <t>鳥取市鹿野町今市今町</t>
  </si>
  <si>
    <t>鳥取市鹿野町今市</t>
  </si>
  <si>
    <t>鳥取市佐治町余戸</t>
  </si>
  <si>
    <t>鳥取市佐治町森坪</t>
  </si>
  <si>
    <t>鳥取市佐治町古市</t>
  </si>
  <si>
    <t>鳥取市佐治町福園</t>
  </si>
  <si>
    <t>鳥取市佐治町畑</t>
  </si>
  <si>
    <t>鳥取市佐治町中</t>
  </si>
  <si>
    <t>鳥取市佐治町栃原</t>
  </si>
  <si>
    <t>鳥取市佐治町津野</t>
  </si>
  <si>
    <t>鳥取市佐治町津無</t>
  </si>
  <si>
    <t>鳥取市佐治町つく谷</t>
  </si>
  <si>
    <t>鳥取市佐治町高山前地</t>
  </si>
  <si>
    <t>鳥取市佐治町高山渕尻</t>
  </si>
  <si>
    <t>鳥取市佐治町高山西谷</t>
  </si>
  <si>
    <t>鳥取市佐治町高山梨原</t>
  </si>
  <si>
    <t>鳥取市佐治町高山上地</t>
  </si>
  <si>
    <t>鳥取市佐治町高山</t>
  </si>
  <si>
    <t>鳥取市佐治町小原</t>
  </si>
  <si>
    <t>鳥取市佐治町河本</t>
  </si>
  <si>
    <t>鳥取市佐治町刈地</t>
  </si>
  <si>
    <t>鳥取市佐治町加茂細尾</t>
  </si>
  <si>
    <t>鳥取市佐治町加茂万蔵</t>
  </si>
  <si>
    <t>鳥取市佐治町加茂小田</t>
  </si>
  <si>
    <t>鳥取市佐治町加茂尾続</t>
  </si>
  <si>
    <t>鳥取市佐治町加茂大水</t>
  </si>
  <si>
    <t>鳥取市佐治町加茂</t>
  </si>
  <si>
    <t>鳥取市佐治町加瀬木下加瀬木</t>
  </si>
  <si>
    <t>鳥取市佐治町加瀬木上加瀬木</t>
  </si>
  <si>
    <t>鳥取市佐治町加瀬木</t>
  </si>
  <si>
    <t>鳥取市佐治町葛谷上葛谷</t>
  </si>
  <si>
    <t>鳥取市佐治町葛谷</t>
  </si>
  <si>
    <t>鳥取市佐治町尾際</t>
  </si>
  <si>
    <t>鳥取市佐治町大井下大井</t>
  </si>
  <si>
    <t>鳥取市佐治町大井上大井</t>
  </si>
  <si>
    <t>鳥取市佐治町大井</t>
  </si>
  <si>
    <t>鳥取市国府町上地上上地</t>
  </si>
  <si>
    <t>鳥取市国府町上地</t>
  </si>
  <si>
    <t>鳥取市国府町吉野</t>
  </si>
  <si>
    <t>鳥取市国府町山根</t>
  </si>
  <si>
    <t>鳥取市国府町山崎</t>
  </si>
  <si>
    <t>鳥取市国府町宮下</t>
  </si>
  <si>
    <t>鳥取市国府町南広西</t>
  </si>
  <si>
    <t>鳥取市国府町美歎</t>
  </si>
  <si>
    <t>鳥取市国府町松尾</t>
  </si>
  <si>
    <t>鳥取市国府町町屋</t>
  </si>
  <si>
    <t>鳥取市国府町法花寺</t>
  </si>
  <si>
    <t>鳥取市国府町分上4丁目</t>
  </si>
  <si>
    <t>鳥取市国府町分上3丁目</t>
  </si>
  <si>
    <t>鳥取市国府町分上2丁目</t>
  </si>
  <si>
    <t>鳥取市国府町分上1丁目</t>
  </si>
  <si>
    <t>鳥取市国府町広西笑道</t>
  </si>
  <si>
    <t>鳥取市国府町広西</t>
  </si>
  <si>
    <t>鳥取市国府町新井</t>
  </si>
  <si>
    <t>鳥取市国府町楠城</t>
  </si>
  <si>
    <t>鳥取市国府町中河原</t>
  </si>
  <si>
    <t>鳥取市国府町殿</t>
  </si>
  <si>
    <t>鳥取市国府町栃本</t>
  </si>
  <si>
    <t>鳥取市国府町庁</t>
  </si>
  <si>
    <t>鳥取市国府町中郷</t>
  </si>
  <si>
    <t>鳥取市国府町玉鉾</t>
  </si>
  <si>
    <t>鳥取市国府町谷</t>
  </si>
  <si>
    <t>鳥取市国府町高岡</t>
  </si>
  <si>
    <t>鳥取市国府町清水</t>
  </si>
  <si>
    <t>鳥取市国府町菅野</t>
  </si>
  <si>
    <t>鳥取市国府町新町2丁目</t>
  </si>
  <si>
    <t>鳥取市国府町新町1丁目</t>
  </si>
  <si>
    <t>鳥取市国府町新通り4丁目</t>
  </si>
  <si>
    <t>鳥取市国府町新通り3丁目</t>
  </si>
  <si>
    <t>鳥取市国府町新通り2丁目</t>
  </si>
  <si>
    <t>鳥取市国府町新通り1丁目</t>
  </si>
  <si>
    <t>鳥取市国府町下木原</t>
  </si>
  <si>
    <t>鳥取市国府町拾石</t>
  </si>
  <si>
    <t>鳥取市国府町三代寺</t>
  </si>
  <si>
    <t>鳥取市国府町国分寺</t>
  </si>
  <si>
    <t>鳥取市国府町神垣</t>
  </si>
  <si>
    <t>鳥取市国府町木原</t>
  </si>
  <si>
    <t>鳥取市国府町神護</t>
  </si>
  <si>
    <t>鳥取市国府町上上地</t>
  </si>
  <si>
    <t>鳥取市国府町上町屋</t>
  </si>
  <si>
    <t>鳥取市国府町上荒舟</t>
  </si>
  <si>
    <t>鳥取市国府町上麻生</t>
  </si>
  <si>
    <t>鳥取市国府町奥谷3丁目</t>
  </si>
  <si>
    <t>鳥取市国府町奥谷2丁目</t>
  </si>
  <si>
    <t>鳥取市国府町奥谷1丁目</t>
  </si>
  <si>
    <t>鳥取市国府町奥谷</t>
  </si>
  <si>
    <t>鳥取市国府町岡益</t>
  </si>
  <si>
    <t>鳥取市国府町大石</t>
  </si>
  <si>
    <t>鳥取市国府町石井谷</t>
  </si>
  <si>
    <t>鳥取市国府町稲葉丘3丁目</t>
  </si>
  <si>
    <t>鳥取市国府町稲葉丘2丁目</t>
  </si>
  <si>
    <t>鳥取市国府町稲葉丘1丁目</t>
  </si>
  <si>
    <t>鳥取市国府町糸谷</t>
  </si>
  <si>
    <t>鳥取市国府町安田</t>
  </si>
  <si>
    <t>鳥取市国府町荒舟</t>
  </si>
  <si>
    <t>鳥取市国府町雨滝</t>
  </si>
  <si>
    <t>鳥取市国府町麻生</t>
  </si>
  <si>
    <t>鳥取市気高町八幡</t>
  </si>
  <si>
    <t>鳥取市気高町山宮田仲</t>
  </si>
  <si>
    <t>鳥取市気高町山宮</t>
  </si>
  <si>
    <t>鳥取市気高町八束水船磯</t>
  </si>
  <si>
    <t>鳥取市気高町八束水姫路</t>
  </si>
  <si>
    <t>鳥取市気高町八束水姉泊</t>
  </si>
  <si>
    <t>鳥取市気高町八束水</t>
  </si>
  <si>
    <t>鳥取市気高町睦逢</t>
  </si>
  <si>
    <t>鳥取市気高町宝木</t>
  </si>
  <si>
    <t>鳥取市気高町浜村温泉</t>
  </si>
  <si>
    <t>鳥取市気高町浜村</t>
  </si>
  <si>
    <t>鳥取市気高町二本木</t>
  </si>
  <si>
    <t>鳥取市気高町日光</t>
  </si>
  <si>
    <t>鳥取市気高町冨吉</t>
  </si>
  <si>
    <t>鳥取市気高町殿</t>
  </si>
  <si>
    <t>鳥取市気高町土居</t>
  </si>
  <si>
    <t>鳥取市気高町常松</t>
  </si>
  <si>
    <t>鳥取市気高町高江</t>
  </si>
  <si>
    <t>鳥取市気高町新町3丁目</t>
  </si>
  <si>
    <t>鳥取市気高町新町2丁目</t>
  </si>
  <si>
    <t>鳥取市気高町新町1丁目</t>
  </si>
  <si>
    <t>鳥取市気高町宿</t>
  </si>
  <si>
    <t>鳥取市気高町下光元夏ケ谷</t>
  </si>
  <si>
    <t>鳥取市気高町下光元</t>
  </si>
  <si>
    <t>鳥取市気高町下原</t>
  </si>
  <si>
    <t>鳥取市気高町下坂本</t>
  </si>
  <si>
    <t>鳥取市気高町重高</t>
  </si>
  <si>
    <t>鳥取市気高町酒津</t>
  </si>
  <si>
    <t>鳥取市気高町郡家</t>
  </si>
  <si>
    <t>鳥取市気高町北浜3丁目</t>
  </si>
  <si>
    <t>鳥取市気高町北浜2丁目</t>
  </si>
  <si>
    <t>鳥取市気高町北浜1丁目</t>
  </si>
  <si>
    <t>鳥取市気高町上原</t>
  </si>
  <si>
    <t>鳥取市気高町上光</t>
  </si>
  <si>
    <t>鳥取市気高町勝見新町</t>
  </si>
  <si>
    <t>鳥取市気高町勝見新泉</t>
  </si>
  <si>
    <t>鳥取市気高町勝見栄町</t>
  </si>
  <si>
    <t>鳥取市気高町勝見</t>
  </si>
  <si>
    <t>鳥取市気高町下石</t>
  </si>
  <si>
    <t>鳥取市気高町奥沢見水尻</t>
  </si>
  <si>
    <t>鳥取市気高町奥沢見</t>
  </si>
  <si>
    <t>鳥取市気高町会下</t>
  </si>
  <si>
    <t>鳥取市気高町飯里</t>
  </si>
  <si>
    <t>鳥取市河原町和奈見</t>
  </si>
  <si>
    <t>鳥取市河原町渡一木下渡一木</t>
  </si>
  <si>
    <t>鳥取市河原町渡一木上渡一木</t>
  </si>
  <si>
    <t>鳥取市河原町渡一木</t>
  </si>
  <si>
    <t>鳥取市河原町八日市</t>
  </si>
  <si>
    <t>鳥取市河原町弓河内</t>
  </si>
  <si>
    <t>鳥取市河原町湯谷</t>
  </si>
  <si>
    <t>鳥取市河原町山手上山手</t>
  </si>
  <si>
    <t>鳥取市河原町山手加賀瀬</t>
  </si>
  <si>
    <t>鳥取市河原町山手</t>
  </si>
  <si>
    <t>鳥取市河原町山上</t>
  </si>
  <si>
    <t>鳥取市河原町三谷</t>
  </si>
  <si>
    <t>鳥取市河原町水根</t>
  </si>
  <si>
    <t>鳥取市河原町本鹿本角</t>
  </si>
  <si>
    <t>鳥取市河原町本鹿鹿野</t>
  </si>
  <si>
    <t>鳥取市河原町本鹿</t>
  </si>
  <si>
    <t>鳥取市河原町布袋</t>
  </si>
  <si>
    <t>鳥取市河原町袋河原</t>
  </si>
  <si>
    <t>鳥取市河原町曳田下曳田</t>
  </si>
  <si>
    <t>鳥取市河原町曳田</t>
  </si>
  <si>
    <t>鳥取市河原町長瀬</t>
  </si>
  <si>
    <t>鳥取市河原町中井</t>
  </si>
  <si>
    <t>鳥取市河原町徳吉</t>
  </si>
  <si>
    <t>鳥取市河原町天神原</t>
  </si>
  <si>
    <t>鳥取市河原町谷一木</t>
  </si>
  <si>
    <t>鳥取市河原町高福福和田</t>
  </si>
  <si>
    <t>鳥取市河原町高福高津原</t>
  </si>
  <si>
    <t>鳥取市河原町高福</t>
  </si>
  <si>
    <t>鳥取市河原町佐貫下佐貫</t>
  </si>
  <si>
    <t>鳥取市河原町佐貫</t>
  </si>
  <si>
    <t>鳥取市河原町郷原</t>
  </si>
  <si>
    <t>鳥取市河原町北村杣小屋</t>
  </si>
  <si>
    <t>鳥取市河原町北村落河内</t>
  </si>
  <si>
    <t>鳥取市河原町北村</t>
  </si>
  <si>
    <t>鳥取市河原町神馬</t>
  </si>
  <si>
    <t>鳥取市河原町河原</t>
  </si>
  <si>
    <t>鳥取市河原町釜口六日市</t>
  </si>
  <si>
    <t>鳥取市河原町釜口</t>
  </si>
  <si>
    <t>鳥取市河原町片山</t>
  </si>
  <si>
    <t>鳥取市河原町小畑</t>
  </si>
  <si>
    <t>鳥取市河原町小河内新田</t>
  </si>
  <si>
    <t>鳥取市河原町小河内</t>
  </si>
  <si>
    <t>鳥取市河原町小倉今西</t>
  </si>
  <si>
    <t>鳥取市河原町小倉</t>
  </si>
  <si>
    <t>鳥取市河原町牛戸</t>
  </si>
  <si>
    <t>鳥取市河原町今在家</t>
  </si>
  <si>
    <t>鳥取市河原町稲常</t>
  </si>
  <si>
    <t>鳥取市河原町鮎ケ丘</t>
  </si>
  <si>
    <t>鳥取市青谷町善田下善田</t>
  </si>
  <si>
    <t>鳥取市青谷町善田</t>
  </si>
  <si>
    <t>鳥取市青谷町吉川</t>
  </si>
  <si>
    <t>鳥取市青谷町養郷</t>
  </si>
  <si>
    <t>鳥取市青谷町山根</t>
  </si>
  <si>
    <t>鳥取市青谷町山田</t>
  </si>
  <si>
    <t>鳥取市青谷町早牛</t>
  </si>
  <si>
    <t>鳥取市青谷町八葉寺</t>
  </si>
  <si>
    <t>鳥取市青谷町鳴瀧</t>
  </si>
  <si>
    <t>鳥取市青谷町長和瀬</t>
  </si>
  <si>
    <t>鳥取市青谷町露谷上露谷</t>
  </si>
  <si>
    <t>鳥取市青谷町露谷</t>
  </si>
  <si>
    <t>鳥取市青谷町田原谷</t>
  </si>
  <si>
    <t>鳥取市青谷町澄水今西</t>
  </si>
  <si>
    <t>鳥取市青谷町澄水</t>
  </si>
  <si>
    <t>鳥取市青谷町桑原</t>
  </si>
  <si>
    <t>鳥取市青谷町蔵内下蔵内</t>
  </si>
  <si>
    <t>鳥取市青谷町蔵内</t>
  </si>
  <si>
    <t>鳥取市青谷町楠根</t>
  </si>
  <si>
    <t>鳥取市青谷町絹見引地</t>
  </si>
  <si>
    <t>鳥取市青谷町絹見</t>
  </si>
  <si>
    <t>鳥取市青谷町北河原川積</t>
  </si>
  <si>
    <t>鳥取市青谷町北河原</t>
  </si>
  <si>
    <t>鳥取市青谷町河原</t>
  </si>
  <si>
    <t>鳥取市青谷町亀尻</t>
  </si>
  <si>
    <t>鳥取市青谷町紙屋</t>
  </si>
  <si>
    <t>鳥取市青谷町小畑</t>
  </si>
  <si>
    <t>鳥取市青谷町奥崎</t>
  </si>
  <si>
    <t>鳥取市青谷町大坪</t>
  </si>
  <si>
    <t>鳥取市青谷町井手</t>
  </si>
  <si>
    <t>鳥取市青谷町青谷緑町</t>
  </si>
  <si>
    <t>鳥取市青谷町青谷前町</t>
  </si>
  <si>
    <t>鳥取市青谷町青谷本町</t>
  </si>
  <si>
    <t>鳥取市青谷町青谷東町</t>
  </si>
  <si>
    <t>鳥取市青谷町青谷浜町</t>
  </si>
  <si>
    <t>鳥取市青谷町青谷西町</t>
  </si>
  <si>
    <t>鳥取市青谷町青谷夏泊</t>
  </si>
  <si>
    <t>鳥取市青谷町青谷灘町</t>
  </si>
  <si>
    <t>鳥取市青谷町青谷中町</t>
  </si>
  <si>
    <t>鳥取市青谷町青谷駅前</t>
  </si>
  <si>
    <t>鳥取市青谷町青谷赤尾谷</t>
  </si>
  <si>
    <t>鳥取市青谷町青谷</t>
  </si>
  <si>
    <t>鳥取市賀露町南6丁目</t>
  </si>
  <si>
    <t>鳥取市賀露町南5丁目</t>
  </si>
  <si>
    <t>鳥取市賀露町南4丁目</t>
  </si>
  <si>
    <t>鳥取市賀露町南3丁目</t>
  </si>
  <si>
    <t>鳥取市賀露町南2丁目</t>
  </si>
  <si>
    <t>鳥取市賀露町南1丁目</t>
  </si>
  <si>
    <t>鳥取市賀露町西4丁目</t>
  </si>
  <si>
    <t>鳥取市賀露町西3丁目</t>
  </si>
  <si>
    <t>鳥取市賀露町西2丁目</t>
  </si>
  <si>
    <t>鳥取市賀露町西1丁目</t>
  </si>
  <si>
    <t>鳥取市賀露町北4丁目</t>
  </si>
  <si>
    <t>鳥取市賀露町北3丁目</t>
  </si>
  <si>
    <t>鳥取市賀露町北2丁目</t>
  </si>
  <si>
    <t>鳥取市賀露町北1丁目</t>
  </si>
  <si>
    <t>鳥取市南安長3丁目</t>
  </si>
  <si>
    <t>鳥取市南安長2丁目</t>
  </si>
  <si>
    <t>鳥取市南安長1丁目</t>
  </si>
  <si>
    <t>鳥取市緑ケ丘3丁目</t>
  </si>
  <si>
    <t>鳥取市緑ケ丘2丁目</t>
  </si>
  <si>
    <t>鳥取市緑ケ丘1丁目</t>
  </si>
  <si>
    <t>鳥取市若葉台北6丁目</t>
  </si>
  <si>
    <t>鳥取市若葉台北5丁目</t>
  </si>
  <si>
    <t>鳥取市若葉台北4丁目</t>
  </si>
  <si>
    <t>鳥取市若葉台北3丁目</t>
  </si>
  <si>
    <t>鳥取市若葉台北2丁目</t>
  </si>
  <si>
    <t>鳥取市若葉台北1丁目</t>
  </si>
  <si>
    <t>鳥取市千代水4丁目</t>
  </si>
  <si>
    <t>鳥取市千代水3丁目</t>
  </si>
  <si>
    <t>鳥取市千代水2丁目</t>
  </si>
  <si>
    <t>鳥取市千代水1丁目</t>
  </si>
  <si>
    <t>鳥取市面影2丁目</t>
  </si>
  <si>
    <t>鳥取市面影1丁目</t>
  </si>
  <si>
    <t>鳥取市若葉台南7丁目</t>
  </si>
  <si>
    <t>鳥取市若葉台南6丁目</t>
  </si>
  <si>
    <t>鳥取市若葉台南5丁目</t>
  </si>
  <si>
    <t>鳥取市若葉台南4丁目</t>
  </si>
  <si>
    <t>鳥取市若葉台南3丁目</t>
  </si>
  <si>
    <t>鳥取市若葉台南2丁目</t>
  </si>
  <si>
    <t>鳥取市若葉台南1丁目</t>
  </si>
  <si>
    <t>鳥取市浜坂東1丁目</t>
  </si>
  <si>
    <t>鳥取市北園2丁目</t>
  </si>
  <si>
    <t>鳥取市北園1丁目</t>
  </si>
  <si>
    <t>鳥取市港町</t>
  </si>
  <si>
    <t>鳥取市吉成南町2丁目</t>
  </si>
  <si>
    <t>鳥取市吉成南町1丁目</t>
  </si>
  <si>
    <t>鳥取市若桜町</t>
  </si>
  <si>
    <t>鳥取市六反田</t>
  </si>
  <si>
    <t>鳥取市吉成3丁目</t>
  </si>
  <si>
    <t>鳥取市吉成2丁目</t>
  </si>
  <si>
    <t>鳥取市吉成1丁目</t>
  </si>
  <si>
    <t>鳥取市吉成</t>
  </si>
  <si>
    <t>鳥取市良田</t>
  </si>
  <si>
    <t>鳥取市吉方町2丁目</t>
  </si>
  <si>
    <t>鳥取市吉方町1丁目</t>
  </si>
  <si>
    <t>鳥取市吉方温泉4丁目</t>
  </si>
  <si>
    <t>鳥取市吉方温泉3丁目</t>
  </si>
  <si>
    <t>鳥取市吉方温泉2丁目</t>
  </si>
  <si>
    <t>鳥取市吉方温泉1丁目</t>
  </si>
  <si>
    <t>鳥取市吉方</t>
  </si>
  <si>
    <t>鳥取市吉岡温泉町</t>
  </si>
  <si>
    <t>鳥取市横枕</t>
  </si>
  <si>
    <t>鳥取市湯所町2丁目</t>
  </si>
  <si>
    <t>鳥取市湯所町1丁目</t>
  </si>
  <si>
    <t>鳥取市弥生町</t>
  </si>
  <si>
    <t>鳥取市矢矯</t>
  </si>
  <si>
    <t>鳥取市安長</t>
  </si>
  <si>
    <t>鳥取市薬師町</t>
  </si>
  <si>
    <t>鳥取市百谷</t>
  </si>
  <si>
    <t>鳥取市元町</t>
  </si>
  <si>
    <t>鳥取市本高</t>
  </si>
  <si>
    <t>鳥取市元大工町</t>
  </si>
  <si>
    <t>鳥取市元魚町4丁目</t>
  </si>
  <si>
    <t>鳥取市元魚町3丁目</t>
  </si>
  <si>
    <t>鳥取市元魚町2丁目</t>
  </si>
  <si>
    <t>鳥取市元魚町1丁目</t>
  </si>
  <si>
    <t>鳥取市向国安</t>
  </si>
  <si>
    <t>鳥取市美和</t>
  </si>
  <si>
    <t>000</t>
    <phoneticPr fontId="40"/>
  </si>
  <si>
    <t>018</t>
  </si>
  <si>
    <t>吉原</t>
    <rPh sb="0" eb="2">
      <t>ヨシハラ</t>
    </rPh>
    <phoneticPr fontId="40"/>
  </si>
  <si>
    <t>日野郡江府町</t>
    <rPh sb="0" eb="2">
      <t>ヒノ</t>
    </rPh>
    <rPh sb="2" eb="3">
      <t>グン</t>
    </rPh>
    <rPh sb="3" eb="6">
      <t>コウフチョウ</t>
    </rPh>
    <phoneticPr fontId="40"/>
  </si>
  <si>
    <t>鳥取市妙徳寺</t>
  </si>
  <si>
    <t>017</t>
  </si>
  <si>
    <t>武庫</t>
    <rPh sb="0" eb="2">
      <t>ムコ</t>
    </rPh>
    <phoneticPr fontId="40"/>
  </si>
  <si>
    <t>鳥取市三山口</t>
  </si>
  <si>
    <t>016</t>
  </si>
  <si>
    <t>美用</t>
    <rPh sb="0" eb="1">
      <t>ミ</t>
    </rPh>
    <rPh sb="1" eb="2">
      <t>ヨウ</t>
    </rPh>
    <phoneticPr fontId="40"/>
  </si>
  <si>
    <t>鳥取市宮長</t>
  </si>
  <si>
    <t>015</t>
  </si>
  <si>
    <t>宮市</t>
    <rPh sb="0" eb="2">
      <t>ミヤイチ</t>
    </rPh>
    <phoneticPr fontId="40"/>
  </si>
  <si>
    <t>鳥取市宮谷</t>
  </si>
  <si>
    <t>014</t>
  </si>
  <si>
    <t>御机</t>
    <rPh sb="0" eb="1">
      <t>ミ</t>
    </rPh>
    <rPh sb="1" eb="2">
      <t>ツクエ</t>
    </rPh>
    <phoneticPr fontId="40"/>
  </si>
  <si>
    <t>鳥取市美萩野5丁目</t>
  </si>
  <si>
    <t>013</t>
  </si>
  <si>
    <t>俣野</t>
    <rPh sb="0" eb="2">
      <t>マタノ</t>
    </rPh>
    <phoneticPr fontId="40"/>
  </si>
  <si>
    <t>鳥取市美萩野4丁目</t>
  </si>
  <si>
    <t>012</t>
  </si>
  <si>
    <t>助澤</t>
    <rPh sb="0" eb="2">
      <t>スケザワ</t>
    </rPh>
    <phoneticPr fontId="40"/>
  </si>
  <si>
    <t>鳥取市美萩野3丁目</t>
  </si>
  <si>
    <t>011</t>
  </si>
  <si>
    <t>杉谷</t>
    <rPh sb="0" eb="2">
      <t>スギタニ</t>
    </rPh>
    <phoneticPr fontId="40"/>
  </si>
  <si>
    <t>鳥取市美萩野2丁目</t>
  </si>
  <si>
    <t>010</t>
  </si>
  <si>
    <t>洲河崎</t>
    <rPh sb="0" eb="3">
      <t>スガサキ</t>
    </rPh>
    <phoneticPr fontId="40"/>
  </si>
  <si>
    <t>鳥取市美萩野1丁目</t>
  </si>
  <si>
    <t>009</t>
  </si>
  <si>
    <t>下安井</t>
    <rPh sb="0" eb="1">
      <t>シモ</t>
    </rPh>
    <rPh sb="1" eb="3">
      <t>ヤスイ</t>
    </rPh>
    <phoneticPr fontId="40"/>
  </si>
  <si>
    <t>鳥取市南吉方3丁目</t>
  </si>
  <si>
    <t>008</t>
  </si>
  <si>
    <t>佐川</t>
    <rPh sb="0" eb="2">
      <t>サガワ</t>
    </rPh>
    <phoneticPr fontId="40"/>
  </si>
  <si>
    <t>鳥取市南吉方2丁目</t>
  </si>
  <si>
    <t>007</t>
  </si>
  <si>
    <t>下蚊屋</t>
    <rPh sb="0" eb="3">
      <t>サガリカヤ</t>
    </rPh>
    <phoneticPr fontId="40"/>
  </si>
  <si>
    <t>鳥取市南吉方1丁目</t>
  </si>
  <si>
    <t>006</t>
  </si>
  <si>
    <t>小江尾</t>
    <rPh sb="0" eb="3">
      <t>コエビ</t>
    </rPh>
    <phoneticPr fontId="40"/>
  </si>
  <si>
    <t>鳥取市南町</t>
  </si>
  <si>
    <t>005</t>
  </si>
  <si>
    <t>久連</t>
    <rPh sb="0" eb="2">
      <t>クレ</t>
    </rPh>
    <phoneticPr fontId="40"/>
  </si>
  <si>
    <t>鳥取市南隈</t>
  </si>
  <si>
    <t>004</t>
  </si>
  <si>
    <t>柿原</t>
    <rPh sb="0" eb="2">
      <t>カキハラ</t>
    </rPh>
    <phoneticPr fontId="40"/>
  </si>
  <si>
    <t>鳥取市三津</t>
  </si>
  <si>
    <t>003</t>
  </si>
  <si>
    <t>貝田</t>
    <rPh sb="0" eb="2">
      <t>カイダ</t>
    </rPh>
    <phoneticPr fontId="40"/>
  </si>
  <si>
    <t>鳥取市御熊</t>
  </si>
  <si>
    <t>002</t>
  </si>
  <si>
    <t>大河原</t>
    <rPh sb="0" eb="3">
      <t>オオカワラ</t>
    </rPh>
    <phoneticPr fontId="40"/>
  </si>
  <si>
    <t>鳥取市丸山町</t>
  </si>
  <si>
    <t>001</t>
    <phoneticPr fontId="40"/>
  </si>
  <si>
    <t>江尾</t>
    <rPh sb="0" eb="2">
      <t>エビ</t>
    </rPh>
    <phoneticPr fontId="40"/>
  </si>
  <si>
    <t>鳥取市的場4丁目</t>
  </si>
  <si>
    <t>000</t>
    <phoneticPr fontId="40"/>
  </si>
  <si>
    <t>027</t>
  </si>
  <si>
    <t>安原</t>
    <phoneticPr fontId="40"/>
  </si>
  <si>
    <t>日野郡日野町</t>
    <rPh sb="0" eb="3">
      <t>ヒノグン</t>
    </rPh>
    <rPh sb="3" eb="6">
      <t>ヒノチョウ</t>
    </rPh>
    <phoneticPr fontId="40"/>
  </si>
  <si>
    <t>鳥取市的場3丁目</t>
  </si>
  <si>
    <t>000</t>
    <phoneticPr fontId="40"/>
  </si>
  <si>
    <t>026</t>
  </si>
  <si>
    <t>三土</t>
    <rPh sb="0" eb="2">
      <t>ミツチ</t>
    </rPh>
    <phoneticPr fontId="40"/>
  </si>
  <si>
    <t>鳥取市的場2丁目</t>
  </si>
  <si>
    <t>000</t>
    <phoneticPr fontId="40"/>
  </si>
  <si>
    <t>025</t>
  </si>
  <si>
    <t>三谷</t>
    <rPh sb="0" eb="2">
      <t>ミタニ</t>
    </rPh>
    <phoneticPr fontId="40"/>
  </si>
  <si>
    <t>鳥取市的場1丁目</t>
  </si>
  <si>
    <t>000</t>
    <phoneticPr fontId="40"/>
  </si>
  <si>
    <t>024</t>
  </si>
  <si>
    <t>本郷</t>
    <rPh sb="0" eb="2">
      <t>ホンゴウ</t>
    </rPh>
    <phoneticPr fontId="40"/>
  </si>
  <si>
    <t>鳥取市的場</t>
  </si>
  <si>
    <t>000</t>
    <phoneticPr fontId="40"/>
  </si>
  <si>
    <t>023</t>
  </si>
  <si>
    <t>別所</t>
    <rPh sb="0" eb="2">
      <t>ベッショ</t>
    </rPh>
    <phoneticPr fontId="40"/>
  </si>
  <si>
    <t>鳥取市松原</t>
  </si>
  <si>
    <t>022</t>
  </si>
  <si>
    <t>舟場</t>
    <rPh sb="0" eb="2">
      <t>フナバ</t>
    </rPh>
    <phoneticPr fontId="40"/>
  </si>
  <si>
    <t>鳥取市松並町3丁目</t>
  </si>
  <si>
    <t>000</t>
    <phoneticPr fontId="40"/>
  </si>
  <si>
    <t>021</t>
  </si>
  <si>
    <t>福長</t>
    <rPh sb="0" eb="2">
      <t>フクナガ</t>
    </rPh>
    <phoneticPr fontId="40"/>
  </si>
  <si>
    <t>鳥取市松並町2丁目</t>
  </si>
  <si>
    <t>000</t>
    <phoneticPr fontId="40"/>
  </si>
  <si>
    <t>020</t>
  </si>
  <si>
    <t>野田</t>
    <phoneticPr fontId="40"/>
  </si>
  <si>
    <t>鳥取市松並町1丁目</t>
  </si>
  <si>
    <t>000</t>
    <phoneticPr fontId="40"/>
  </si>
  <si>
    <t>019</t>
  </si>
  <si>
    <t>根雨</t>
    <rPh sb="0" eb="2">
      <t>ネウ</t>
    </rPh>
    <phoneticPr fontId="40"/>
  </si>
  <si>
    <t>鳥取市松上</t>
  </si>
  <si>
    <t>000</t>
    <phoneticPr fontId="40"/>
  </si>
  <si>
    <t>濁谷</t>
    <rPh sb="0" eb="2">
      <t>ニゴタニ</t>
    </rPh>
    <phoneticPr fontId="40"/>
  </si>
  <si>
    <t>鳥取市槇原</t>
  </si>
  <si>
    <t>000</t>
    <phoneticPr fontId="40"/>
  </si>
  <si>
    <t>中菅</t>
    <rPh sb="0" eb="1">
      <t>ナカ</t>
    </rPh>
    <rPh sb="1" eb="2">
      <t>スゲ</t>
    </rPh>
    <phoneticPr fontId="40"/>
  </si>
  <si>
    <t>鳥取市卯垣5丁目</t>
  </si>
  <si>
    <t>津地</t>
    <rPh sb="0" eb="2">
      <t>ツチ</t>
    </rPh>
    <phoneticPr fontId="40"/>
  </si>
  <si>
    <t>鳥取市卯垣4丁目</t>
  </si>
  <si>
    <t>下菅</t>
    <rPh sb="0" eb="1">
      <t>シモ</t>
    </rPh>
    <rPh sb="1" eb="2">
      <t>スゲ</t>
    </rPh>
    <phoneticPr fontId="40"/>
  </si>
  <si>
    <t>鳥取市卯垣3丁目</t>
  </si>
  <si>
    <t>000</t>
    <phoneticPr fontId="40"/>
  </si>
  <si>
    <t>下黒坂</t>
    <rPh sb="0" eb="1">
      <t>シモ</t>
    </rPh>
    <rPh sb="1" eb="3">
      <t>クロサカ</t>
    </rPh>
    <phoneticPr fontId="40"/>
  </si>
  <si>
    <t>鳥取市卯垣2丁目</t>
  </si>
  <si>
    <t>下榎</t>
    <rPh sb="0" eb="1">
      <t>シモ</t>
    </rPh>
    <rPh sb="1" eb="2">
      <t>エノキ</t>
    </rPh>
    <phoneticPr fontId="40"/>
  </si>
  <si>
    <t>鳥取市卯垣1丁目</t>
  </si>
  <si>
    <t>小原</t>
    <rPh sb="0" eb="2">
      <t>コバラ</t>
    </rPh>
    <phoneticPr fontId="40"/>
  </si>
  <si>
    <t>鳥取市卯垣</t>
  </si>
  <si>
    <t>000</t>
    <phoneticPr fontId="40"/>
  </si>
  <si>
    <t>高尾</t>
    <rPh sb="0" eb="2">
      <t>コオ</t>
    </rPh>
    <phoneticPr fontId="40"/>
  </si>
  <si>
    <t>鳥取市本町5丁目</t>
  </si>
  <si>
    <t>黒坂</t>
    <rPh sb="0" eb="2">
      <t>クロサカ</t>
    </rPh>
    <phoneticPr fontId="40"/>
  </si>
  <si>
    <t>鳥取市本町4丁目</t>
  </si>
  <si>
    <t>久住</t>
    <rPh sb="0" eb="2">
      <t>クスミ</t>
    </rPh>
    <phoneticPr fontId="40"/>
  </si>
  <si>
    <t>鳥取市本町3丁目</t>
  </si>
  <si>
    <t>000</t>
    <phoneticPr fontId="40"/>
  </si>
  <si>
    <t>金持</t>
    <rPh sb="0" eb="2">
      <t>カモチ</t>
    </rPh>
    <phoneticPr fontId="40"/>
  </si>
  <si>
    <t>鳥取市本町2丁目</t>
  </si>
  <si>
    <t>000</t>
    <phoneticPr fontId="40"/>
  </si>
  <si>
    <t>上菅</t>
    <rPh sb="0" eb="2">
      <t>カミスゲ</t>
    </rPh>
    <phoneticPr fontId="40"/>
  </si>
  <si>
    <t>鳥取市本町1丁目</t>
  </si>
  <si>
    <t>門谷</t>
    <rPh sb="0" eb="2">
      <t>カドタニ</t>
    </rPh>
    <phoneticPr fontId="40"/>
  </si>
  <si>
    <t>鳥取市洞谷</t>
  </si>
  <si>
    <t>貝原</t>
    <rPh sb="0" eb="2">
      <t>カイハラ</t>
    </rPh>
    <phoneticPr fontId="40"/>
  </si>
  <si>
    <t>鳥取市細見</t>
  </si>
  <si>
    <t>小河内</t>
    <rPh sb="0" eb="1">
      <t>オ</t>
    </rPh>
    <rPh sb="1" eb="3">
      <t>ゴウチ</t>
    </rPh>
    <phoneticPr fontId="40"/>
  </si>
  <si>
    <t>鳥取市庖丁人町</t>
  </si>
  <si>
    <t>榎市</t>
    <rPh sb="0" eb="2">
      <t>エノキイチ</t>
    </rPh>
    <phoneticPr fontId="40"/>
  </si>
  <si>
    <t>鳥取市古海</t>
  </si>
  <si>
    <t>板井原</t>
    <rPh sb="0" eb="3">
      <t>イタイバラ</t>
    </rPh>
    <phoneticPr fontId="40"/>
  </si>
  <si>
    <t>鳥取市古市</t>
  </si>
  <si>
    <t>001</t>
    <phoneticPr fontId="40"/>
  </si>
  <si>
    <t>秋縄</t>
    <rPh sb="0" eb="1">
      <t>アキ</t>
    </rPh>
    <rPh sb="1" eb="2">
      <t>ナワ</t>
    </rPh>
    <phoneticPr fontId="40"/>
  </si>
  <si>
    <t>鳥取市船木</t>
  </si>
  <si>
    <t>032</t>
  </si>
  <si>
    <t>湯河</t>
    <rPh sb="0" eb="2">
      <t>ユカワ</t>
    </rPh>
    <phoneticPr fontId="40"/>
  </si>
  <si>
    <t>日野郡日南町</t>
    <rPh sb="0" eb="3">
      <t>ヒノグン</t>
    </rPh>
    <rPh sb="3" eb="6">
      <t>ニチナンチョウ</t>
    </rPh>
    <phoneticPr fontId="40"/>
  </si>
  <si>
    <t>鳥取市布勢</t>
  </si>
  <si>
    <t>000</t>
    <phoneticPr fontId="40"/>
  </si>
  <si>
    <t>031</t>
  </si>
  <si>
    <t>矢戸</t>
    <rPh sb="0" eb="2">
      <t>ヤト</t>
    </rPh>
    <phoneticPr fontId="40"/>
  </si>
  <si>
    <t>鳥取市伏野</t>
  </si>
  <si>
    <t>000</t>
    <phoneticPr fontId="40"/>
  </si>
  <si>
    <t>030</t>
  </si>
  <si>
    <t>三吉</t>
    <rPh sb="0" eb="2">
      <t>ミヨシ</t>
    </rPh>
    <phoneticPr fontId="40"/>
  </si>
  <si>
    <t>鳥取市福井</t>
  </si>
  <si>
    <t>000</t>
    <phoneticPr fontId="40"/>
  </si>
  <si>
    <t>029</t>
  </si>
  <si>
    <t>宮内</t>
    <phoneticPr fontId="40"/>
  </si>
  <si>
    <t>鳥取市広岡</t>
  </si>
  <si>
    <t>028</t>
  </si>
  <si>
    <t>三栄</t>
    <rPh sb="0" eb="2">
      <t>ミサカエ</t>
    </rPh>
    <phoneticPr fontId="40"/>
  </si>
  <si>
    <t>鳥取市久末</t>
  </si>
  <si>
    <t>丸山</t>
    <rPh sb="0" eb="2">
      <t>マルヤマ</t>
    </rPh>
    <phoneticPr fontId="40"/>
  </si>
  <si>
    <t>鳥取市東町3丁目</t>
  </si>
  <si>
    <t>福万来</t>
    <rPh sb="0" eb="3">
      <t>フクマキ</t>
    </rPh>
    <phoneticPr fontId="40"/>
  </si>
  <si>
    <t>鳥取市東町2丁目</t>
  </si>
  <si>
    <t>福塚</t>
    <rPh sb="0" eb="1">
      <t>フク</t>
    </rPh>
    <rPh sb="1" eb="2">
      <t>ヅカ</t>
    </rPh>
    <phoneticPr fontId="40"/>
  </si>
  <si>
    <t>鳥取市東町1丁目</t>
  </si>
  <si>
    <t>福寿実</t>
    <rPh sb="0" eb="3">
      <t>フクスミ</t>
    </rPh>
    <phoneticPr fontId="40"/>
  </si>
  <si>
    <t>鳥取市東品治町</t>
  </si>
  <si>
    <t>花口</t>
    <rPh sb="0" eb="1">
      <t>ハナ</t>
    </rPh>
    <rPh sb="1" eb="2">
      <t>グチ</t>
    </rPh>
    <phoneticPr fontId="40"/>
  </si>
  <si>
    <t>鳥取市東大路</t>
  </si>
  <si>
    <t>萩原</t>
    <rPh sb="0" eb="2">
      <t>ハギハラ</t>
    </rPh>
    <phoneticPr fontId="40"/>
  </si>
  <si>
    <t>鳥取市東今在家</t>
  </si>
  <si>
    <t>新屋</t>
    <rPh sb="0" eb="2">
      <t>ニイヤ</t>
    </rPh>
    <phoneticPr fontId="40"/>
  </si>
  <si>
    <t>鳥取市馬場町</t>
  </si>
  <si>
    <t>000</t>
    <phoneticPr fontId="40"/>
  </si>
  <si>
    <t>中石見</t>
    <rPh sb="0" eb="1">
      <t>ナカ</t>
    </rPh>
    <rPh sb="1" eb="3">
      <t>イワミ</t>
    </rPh>
    <phoneticPr fontId="40"/>
  </si>
  <si>
    <t>鳥取市馬場</t>
  </si>
  <si>
    <t>豊栄</t>
    <rPh sb="0" eb="2">
      <t>トヨサカエ</t>
    </rPh>
    <phoneticPr fontId="40"/>
  </si>
  <si>
    <t>鳥取市浜坂8丁目</t>
  </si>
  <si>
    <t>茶屋</t>
    <rPh sb="0" eb="2">
      <t>チャヤ</t>
    </rPh>
    <phoneticPr fontId="40"/>
  </si>
  <si>
    <t>鳥取市浜坂7丁目</t>
  </si>
  <si>
    <t>000</t>
    <phoneticPr fontId="40"/>
  </si>
  <si>
    <t>多里</t>
    <rPh sb="0" eb="2">
      <t>タリ</t>
    </rPh>
    <phoneticPr fontId="40"/>
  </si>
  <si>
    <t>鳥取市浜坂6丁目</t>
  </si>
  <si>
    <t>000</t>
    <phoneticPr fontId="40"/>
  </si>
  <si>
    <t>宝谷</t>
    <rPh sb="0" eb="2">
      <t>タカラダニ</t>
    </rPh>
    <phoneticPr fontId="40"/>
  </si>
  <si>
    <t>鳥取市浜坂5丁目</t>
  </si>
  <si>
    <t>菅沢</t>
    <rPh sb="0" eb="2">
      <t>スゲサワ</t>
    </rPh>
    <phoneticPr fontId="40"/>
  </si>
  <si>
    <t>鳥取市浜坂4丁目</t>
  </si>
  <si>
    <t>生山</t>
    <rPh sb="0" eb="2">
      <t>ショウヤマ</t>
    </rPh>
    <phoneticPr fontId="40"/>
  </si>
  <si>
    <t>鳥取市浜坂3丁目</t>
  </si>
  <si>
    <t>下石見</t>
    <rPh sb="0" eb="1">
      <t>シモ</t>
    </rPh>
    <rPh sb="1" eb="3">
      <t>イワミ</t>
    </rPh>
    <phoneticPr fontId="40"/>
  </si>
  <si>
    <t>鳥取市浜坂2丁目</t>
  </si>
  <si>
    <t>下阿毘縁</t>
    <rPh sb="0" eb="1">
      <t>シモ</t>
    </rPh>
    <rPh sb="1" eb="4">
      <t>アビレ</t>
    </rPh>
    <phoneticPr fontId="40"/>
  </si>
  <si>
    <t>鳥取市浜坂1丁目</t>
  </si>
  <si>
    <t>佐木谷</t>
    <rPh sb="0" eb="2">
      <t>サギ</t>
    </rPh>
    <rPh sb="2" eb="3">
      <t>タニ</t>
    </rPh>
    <phoneticPr fontId="40"/>
  </si>
  <si>
    <t>鳥取市浜坂</t>
  </si>
  <si>
    <t>河上</t>
    <rPh sb="0" eb="2">
      <t>カワカミ</t>
    </rPh>
    <phoneticPr fontId="40"/>
  </si>
  <si>
    <t>鳥取市服部</t>
  </si>
  <si>
    <t>神福</t>
    <rPh sb="0" eb="1">
      <t>カミ</t>
    </rPh>
    <rPh sb="1" eb="2">
      <t>フク</t>
    </rPh>
    <phoneticPr fontId="40"/>
  </si>
  <si>
    <t>鳥取市八坂</t>
  </si>
  <si>
    <t>上萩山</t>
    <rPh sb="0" eb="1">
      <t>カミ</t>
    </rPh>
    <rPh sb="1" eb="3">
      <t>ハギヤマ</t>
    </rPh>
    <phoneticPr fontId="40"/>
  </si>
  <si>
    <t>鳥取市長谷</t>
  </si>
  <si>
    <t>上石見</t>
    <rPh sb="0" eb="3">
      <t>カミイワミ</t>
    </rPh>
    <phoneticPr fontId="40"/>
  </si>
  <si>
    <t>鳥取市橋本</t>
  </si>
  <si>
    <t>神戸上</t>
    <rPh sb="0" eb="3">
      <t>カドノカミ</t>
    </rPh>
    <phoneticPr fontId="40"/>
  </si>
  <si>
    <t>鳥取市白兎</t>
  </si>
  <si>
    <t>霞</t>
    <rPh sb="0" eb="1">
      <t>カスミ</t>
    </rPh>
    <phoneticPr fontId="40"/>
  </si>
  <si>
    <t>鳥取市野寺</t>
  </si>
  <si>
    <t>笠木</t>
    <rPh sb="0" eb="2">
      <t>カサギ</t>
    </rPh>
    <phoneticPr fontId="40"/>
  </si>
  <si>
    <t>鳥取市野坂</t>
  </si>
  <si>
    <t>折渡</t>
    <rPh sb="0" eb="2">
      <t>オリワタリ</t>
    </rPh>
    <phoneticPr fontId="40"/>
  </si>
  <si>
    <t>鳥取市祢宜谷</t>
  </si>
  <si>
    <t>印賀</t>
    <rPh sb="0" eb="2">
      <t>インガ</t>
    </rPh>
    <phoneticPr fontId="40"/>
  </si>
  <si>
    <t>鳥取市西町5丁目</t>
  </si>
  <si>
    <t>000</t>
    <phoneticPr fontId="40"/>
  </si>
  <si>
    <t>001</t>
    <phoneticPr fontId="40"/>
  </si>
  <si>
    <t>阿毘縁</t>
    <rPh sb="0" eb="3">
      <t>アビレ</t>
    </rPh>
    <phoneticPr fontId="40"/>
  </si>
  <si>
    <t>鳥取市西町4丁目</t>
  </si>
  <si>
    <t>000</t>
    <phoneticPr fontId="40"/>
  </si>
  <si>
    <t>056</t>
  </si>
  <si>
    <t>吉長</t>
    <rPh sb="0" eb="2">
      <t>ヨシナガ</t>
    </rPh>
    <phoneticPr fontId="40"/>
  </si>
  <si>
    <t>西伯郡伯耆町</t>
    <rPh sb="0" eb="3">
      <t>サイハクグン</t>
    </rPh>
    <rPh sb="3" eb="6">
      <t>ホウキチョウ</t>
    </rPh>
    <phoneticPr fontId="40"/>
  </si>
  <si>
    <t>鳥取市西町3丁目</t>
  </si>
  <si>
    <t>055</t>
  </si>
  <si>
    <t>吉定</t>
    <rPh sb="0" eb="2">
      <t>ヨシサダ</t>
    </rPh>
    <phoneticPr fontId="40"/>
  </si>
  <si>
    <t>鳥取市西町2丁目</t>
  </si>
  <si>
    <t>054</t>
  </si>
  <si>
    <t>焼杉</t>
    <rPh sb="0" eb="2">
      <t>ヤケスギ</t>
    </rPh>
    <phoneticPr fontId="40"/>
  </si>
  <si>
    <t>鳥取市西町1丁目</t>
  </si>
  <si>
    <t>053</t>
  </si>
  <si>
    <t>宮原</t>
    <rPh sb="0" eb="2">
      <t>ミヤバラ</t>
    </rPh>
    <phoneticPr fontId="40"/>
  </si>
  <si>
    <t>鳥取市西品治</t>
  </si>
  <si>
    <t>052</t>
  </si>
  <si>
    <t>溝口</t>
    <rPh sb="0" eb="2">
      <t>ミゾグチ</t>
    </rPh>
    <phoneticPr fontId="40"/>
  </si>
  <si>
    <t>鳥取市西大路</t>
  </si>
  <si>
    <t>051</t>
  </si>
  <si>
    <t>鳥取市西円通寺</t>
  </si>
  <si>
    <t>050</t>
  </si>
  <si>
    <t>真野</t>
    <rPh sb="0" eb="2">
      <t>マノ</t>
    </rPh>
    <phoneticPr fontId="40"/>
  </si>
  <si>
    <t>鳥取市西今在家</t>
  </si>
  <si>
    <t>000</t>
    <phoneticPr fontId="40"/>
  </si>
  <si>
    <t>049</t>
  </si>
  <si>
    <t>古市</t>
    <rPh sb="0" eb="2">
      <t>フルイチ</t>
    </rPh>
    <phoneticPr fontId="40"/>
  </si>
  <si>
    <t>鳥取市二階町4丁目</t>
  </si>
  <si>
    <t>048</t>
  </si>
  <si>
    <t>船越</t>
    <rPh sb="0" eb="2">
      <t>フナコシ</t>
    </rPh>
    <phoneticPr fontId="40"/>
  </si>
  <si>
    <t>鳥取市二階町3丁目</t>
  </si>
  <si>
    <t>047</t>
  </si>
  <si>
    <t>福吉</t>
    <rPh sb="0" eb="2">
      <t>フクヨシ</t>
    </rPh>
    <phoneticPr fontId="40"/>
  </si>
  <si>
    <t>鳥取市二階町2丁目</t>
  </si>
  <si>
    <t>046</t>
  </si>
  <si>
    <t>福島</t>
    <rPh sb="0" eb="2">
      <t>フクジマ</t>
    </rPh>
    <phoneticPr fontId="40"/>
  </si>
  <si>
    <t>鳥取市二階町1丁目</t>
  </si>
  <si>
    <t>045</t>
  </si>
  <si>
    <t>福金</t>
    <rPh sb="0" eb="1">
      <t>フク</t>
    </rPh>
    <rPh sb="1" eb="2">
      <t>カネ</t>
    </rPh>
    <phoneticPr fontId="40"/>
  </si>
  <si>
    <t>鳥取市南栄町</t>
  </si>
  <si>
    <t>044</t>
  </si>
  <si>
    <t>福岡原</t>
    <rPh sb="0" eb="2">
      <t>フクオカ</t>
    </rPh>
    <rPh sb="2" eb="3">
      <t>ハラ</t>
    </rPh>
    <phoneticPr fontId="40"/>
  </si>
  <si>
    <t>鳥取市長柄</t>
  </si>
  <si>
    <t>043</t>
  </si>
  <si>
    <t>福岡</t>
    <rPh sb="0" eb="2">
      <t>フクオカ</t>
    </rPh>
    <phoneticPr fontId="40"/>
  </si>
  <si>
    <t>鳥取市中村</t>
  </si>
  <si>
    <t>042</t>
  </si>
  <si>
    <t>福居</t>
    <rPh sb="0" eb="2">
      <t>フクイ</t>
    </rPh>
    <phoneticPr fontId="40"/>
  </si>
  <si>
    <t>鳥取市中町</t>
  </si>
  <si>
    <t>000</t>
    <phoneticPr fontId="40"/>
  </si>
  <si>
    <t>041</t>
  </si>
  <si>
    <t>番原</t>
    <rPh sb="0" eb="2">
      <t>バンバラ</t>
    </rPh>
    <phoneticPr fontId="40"/>
  </si>
  <si>
    <t>鳥取市中砂見</t>
  </si>
  <si>
    <t>040</t>
  </si>
  <si>
    <t>畑池</t>
    <rPh sb="0" eb="2">
      <t>ハタイケ</t>
    </rPh>
    <phoneticPr fontId="40"/>
  </si>
  <si>
    <t>鳥取市中大路</t>
  </si>
  <si>
    <t>000</t>
    <phoneticPr fontId="40"/>
  </si>
  <si>
    <t>039</t>
  </si>
  <si>
    <t>根雨原</t>
    <rPh sb="0" eb="3">
      <t>ネウバラ</t>
    </rPh>
    <phoneticPr fontId="40"/>
  </si>
  <si>
    <t>鳥取市富安2丁目</t>
  </si>
  <si>
    <t>038</t>
  </si>
  <si>
    <t>二部</t>
    <rPh sb="0" eb="2">
      <t>ニブ</t>
    </rPh>
    <phoneticPr fontId="40"/>
  </si>
  <si>
    <t>鳥取市富安1丁目</t>
  </si>
  <si>
    <t>037</t>
  </si>
  <si>
    <t>長山</t>
    <rPh sb="0" eb="2">
      <t>ナガヤマ</t>
    </rPh>
    <phoneticPr fontId="40"/>
  </si>
  <si>
    <t>鳥取市富安</t>
  </si>
  <si>
    <t>036</t>
  </si>
  <si>
    <t>中祖</t>
    <rPh sb="0" eb="2">
      <t>ナカゾ</t>
    </rPh>
    <phoneticPr fontId="40"/>
  </si>
  <si>
    <t>鳥取市徳吉</t>
  </si>
  <si>
    <t>000</t>
    <phoneticPr fontId="40"/>
  </si>
  <si>
    <t>035</t>
  </si>
  <si>
    <t>富江</t>
    <rPh sb="0" eb="2">
      <t>トミエ</t>
    </rPh>
    <phoneticPr fontId="40"/>
  </si>
  <si>
    <t>鳥取市徳尾</t>
  </si>
  <si>
    <t>000</t>
    <phoneticPr fontId="40"/>
  </si>
  <si>
    <t>034</t>
  </si>
  <si>
    <t>栃原</t>
    <rPh sb="0" eb="2">
      <t>トチバラ</t>
    </rPh>
    <phoneticPr fontId="40"/>
  </si>
  <si>
    <t>鳥取市田園町4丁目</t>
  </si>
  <si>
    <t>033</t>
  </si>
  <si>
    <t>父原</t>
    <rPh sb="0" eb="2">
      <t>チチバラ</t>
    </rPh>
    <phoneticPr fontId="40"/>
  </si>
  <si>
    <t>鳥取市田園町3丁目</t>
  </si>
  <si>
    <t>谷川</t>
    <rPh sb="0" eb="2">
      <t>タニガワ</t>
    </rPh>
    <phoneticPr fontId="40"/>
  </si>
  <si>
    <t>鳥取市田園町2丁目</t>
  </si>
  <si>
    <t>立岩</t>
    <rPh sb="0" eb="2">
      <t>タテイワ</t>
    </rPh>
    <phoneticPr fontId="40"/>
  </si>
  <si>
    <t>鳥取市田園町1丁目</t>
  </si>
  <si>
    <t>添谷</t>
    <rPh sb="0" eb="2">
      <t>ソエダニ</t>
    </rPh>
    <phoneticPr fontId="40"/>
  </si>
  <si>
    <t>鳥取市天神町</t>
  </si>
  <si>
    <t>須村</t>
    <rPh sb="0" eb="2">
      <t>スムラ</t>
    </rPh>
    <phoneticPr fontId="40"/>
  </si>
  <si>
    <t>鳥取市寺町</t>
  </si>
  <si>
    <t>000</t>
    <phoneticPr fontId="40"/>
  </si>
  <si>
    <t>白水</t>
    <rPh sb="0" eb="2">
      <t>シラミ</t>
    </rPh>
    <phoneticPr fontId="40"/>
  </si>
  <si>
    <t>鳥取市津ノ井</t>
  </si>
  <si>
    <t>000</t>
    <phoneticPr fontId="40"/>
  </si>
  <si>
    <t>荘</t>
    <rPh sb="0" eb="1">
      <t>ショウ</t>
    </rPh>
    <phoneticPr fontId="40"/>
  </si>
  <si>
    <t>鳥取市茶町</t>
  </si>
  <si>
    <t>三部</t>
    <rPh sb="0" eb="2">
      <t>サンブ</t>
    </rPh>
    <phoneticPr fontId="40"/>
  </si>
  <si>
    <t>鳥取市大工町頭</t>
  </si>
  <si>
    <t>000</t>
    <phoneticPr fontId="40"/>
  </si>
  <si>
    <t>坂長</t>
    <rPh sb="0" eb="2">
      <t>サカチョウ</t>
    </rPh>
    <phoneticPr fontId="40"/>
  </si>
  <si>
    <t>鳥取市大覚寺</t>
  </si>
  <si>
    <t>小町</t>
    <rPh sb="0" eb="2">
      <t>コマチ</t>
    </rPh>
    <phoneticPr fontId="40"/>
  </si>
  <si>
    <t>鳥取市大桷</t>
  </si>
  <si>
    <t>小林</t>
    <rPh sb="0" eb="2">
      <t>コバヤシ</t>
    </rPh>
    <phoneticPr fontId="40"/>
  </si>
  <si>
    <t>鳥取市足山</t>
  </si>
  <si>
    <t>口別所</t>
    <rPh sb="0" eb="1">
      <t>クチ</t>
    </rPh>
    <rPh sb="1" eb="3">
      <t>ベッショ</t>
    </rPh>
    <phoneticPr fontId="40"/>
  </si>
  <si>
    <t>鳥取市玉津</t>
  </si>
  <si>
    <t>久古</t>
    <rPh sb="0" eb="2">
      <t>クゴ</t>
    </rPh>
    <phoneticPr fontId="40"/>
  </si>
  <si>
    <t>鳥取市立川町7丁目</t>
  </si>
  <si>
    <t>清原</t>
    <phoneticPr fontId="40"/>
  </si>
  <si>
    <t>鳥取市立川町6丁目</t>
  </si>
  <si>
    <t>貴住</t>
    <rPh sb="0" eb="1">
      <t>キ</t>
    </rPh>
    <rPh sb="1" eb="2">
      <t>ズミ</t>
    </rPh>
    <phoneticPr fontId="40"/>
  </si>
  <si>
    <t>鳥取市立川町5丁目</t>
  </si>
  <si>
    <t>岸本</t>
    <rPh sb="0" eb="2">
      <t>キシモト</t>
    </rPh>
    <phoneticPr fontId="40"/>
  </si>
  <si>
    <t>鳥取市立川町4丁目</t>
  </si>
  <si>
    <t>上細見</t>
    <rPh sb="0" eb="1">
      <t>カミ</t>
    </rPh>
    <rPh sb="1" eb="3">
      <t>ホソミ</t>
    </rPh>
    <phoneticPr fontId="40"/>
  </si>
  <si>
    <t>鳥取市立川町3丁目</t>
  </si>
  <si>
    <t>金屋谷</t>
    <rPh sb="0" eb="2">
      <t>カナヤ</t>
    </rPh>
    <rPh sb="2" eb="3">
      <t>ダニ</t>
    </rPh>
    <phoneticPr fontId="40"/>
  </si>
  <si>
    <t>鳥取市立川町2丁目</t>
  </si>
  <si>
    <t>金廻</t>
    <rPh sb="0" eb="2">
      <t>カナマワリ</t>
    </rPh>
    <phoneticPr fontId="40"/>
  </si>
  <si>
    <t>鳥取市立川町1丁目</t>
  </si>
  <si>
    <t>小野</t>
    <rPh sb="0" eb="2">
      <t>オノ</t>
    </rPh>
    <phoneticPr fontId="40"/>
  </si>
  <si>
    <t>鳥取市田島</t>
  </si>
  <si>
    <t>000</t>
    <phoneticPr fontId="40"/>
  </si>
  <si>
    <t>押口</t>
    <rPh sb="0" eb="2">
      <t>オサエグチ</t>
    </rPh>
    <phoneticPr fontId="40"/>
  </si>
  <si>
    <t>鳥取市竹生</t>
  </si>
  <si>
    <t>大原</t>
    <rPh sb="0" eb="2">
      <t>オオハラ</t>
    </rPh>
    <phoneticPr fontId="40"/>
  </si>
  <si>
    <t>鳥取市滝山</t>
  </si>
  <si>
    <t>大殿</t>
    <rPh sb="0" eb="2">
      <t>オオトノ</t>
    </rPh>
    <phoneticPr fontId="40"/>
  </si>
  <si>
    <t>鳥取市高住</t>
  </si>
  <si>
    <t>大滝</t>
    <rPh sb="0" eb="2">
      <t>オオタキ</t>
    </rPh>
    <phoneticPr fontId="40"/>
  </si>
  <si>
    <t>鳥取市双六原</t>
  </si>
  <si>
    <t>大坂</t>
    <rPh sb="0" eb="2">
      <t>オオサカ</t>
    </rPh>
    <phoneticPr fontId="40"/>
  </si>
  <si>
    <t>鳥取市瀬田蔵</t>
  </si>
  <si>
    <t>大倉</t>
    <rPh sb="0" eb="2">
      <t>オオクラ</t>
    </rPh>
    <phoneticPr fontId="40"/>
  </si>
  <si>
    <t>鳥取市数津</t>
  </si>
  <si>
    <t>000</t>
    <phoneticPr fontId="40"/>
  </si>
  <si>
    <t>大江</t>
    <rPh sb="0" eb="2">
      <t>オオエ</t>
    </rPh>
    <phoneticPr fontId="40"/>
  </si>
  <si>
    <t>鳥取市杉崎</t>
  </si>
  <si>
    <t>大内</t>
    <rPh sb="0" eb="2">
      <t>オオウチ</t>
    </rPh>
    <phoneticPr fontId="40"/>
  </si>
  <si>
    <t>鳥取市末広温泉町</t>
  </si>
  <si>
    <t>遠藤</t>
    <rPh sb="0" eb="2">
      <t>エンドウ</t>
    </rPh>
    <phoneticPr fontId="40"/>
  </si>
  <si>
    <t>鳥取市新町</t>
  </si>
  <si>
    <t>宇代</t>
    <rPh sb="0" eb="2">
      <t>ウダイ</t>
    </rPh>
    <phoneticPr fontId="40"/>
  </si>
  <si>
    <t>鳥取市新品治町</t>
  </si>
  <si>
    <t>000</t>
    <phoneticPr fontId="40"/>
  </si>
  <si>
    <t>上野</t>
    <phoneticPr fontId="40"/>
  </si>
  <si>
    <t>鳥取市新</t>
  </si>
  <si>
    <t>岩屋谷</t>
    <rPh sb="0" eb="3">
      <t>イワヤダニ</t>
    </rPh>
    <phoneticPr fontId="40"/>
  </si>
  <si>
    <t>鳥取市職人町</t>
  </si>
  <si>
    <t>001</t>
    <phoneticPr fontId="40"/>
  </si>
  <si>
    <t>岩立</t>
    <rPh sb="0" eb="2">
      <t>イワタテ</t>
    </rPh>
    <phoneticPr fontId="40"/>
  </si>
  <si>
    <t>鳥取市正蓮寺</t>
  </si>
  <si>
    <t>与一谷</t>
    <rPh sb="0" eb="2">
      <t>ヨイチ</t>
    </rPh>
    <rPh sb="2" eb="3">
      <t>ダニ</t>
    </rPh>
    <phoneticPr fontId="40"/>
  </si>
  <si>
    <t>西伯郡南部町</t>
    <rPh sb="0" eb="3">
      <t>サイハクグン</t>
    </rPh>
    <rPh sb="3" eb="5">
      <t>ナンブ</t>
    </rPh>
    <rPh sb="5" eb="6">
      <t>チョウ</t>
    </rPh>
    <phoneticPr fontId="40"/>
  </si>
  <si>
    <t>鳥取市菖蒲</t>
  </si>
  <si>
    <t>倭</t>
    <rPh sb="0" eb="1">
      <t>ヤマト</t>
    </rPh>
    <phoneticPr fontId="40"/>
  </si>
  <si>
    <t>鳥取市尚徳町</t>
  </si>
  <si>
    <t>八金</t>
    <rPh sb="0" eb="2">
      <t>ヤカネ</t>
    </rPh>
    <phoneticPr fontId="40"/>
  </si>
  <si>
    <t>鳥取市生山</t>
  </si>
  <si>
    <t>諸木</t>
    <rPh sb="0" eb="2">
      <t>モロギ</t>
    </rPh>
    <phoneticPr fontId="40"/>
  </si>
  <si>
    <t>鳥取市商栄町</t>
  </si>
  <si>
    <t>000</t>
    <phoneticPr fontId="40"/>
  </si>
  <si>
    <t>宮前</t>
    <rPh sb="0" eb="2">
      <t>ミヤマエ</t>
    </rPh>
    <phoneticPr fontId="40"/>
  </si>
  <si>
    <t>鳥取市下段</t>
  </si>
  <si>
    <t>三崎</t>
    <rPh sb="0" eb="2">
      <t>ミサキ</t>
    </rPh>
    <phoneticPr fontId="40"/>
  </si>
  <si>
    <t>鳥取市下砂見</t>
  </si>
  <si>
    <t>御内谷</t>
    <rPh sb="0" eb="3">
      <t>ミウチダニ</t>
    </rPh>
    <phoneticPr fontId="40"/>
  </si>
  <si>
    <t>鳥取市下味野</t>
  </si>
  <si>
    <t>円山</t>
    <rPh sb="0" eb="2">
      <t>マルヤマ</t>
    </rPh>
    <phoneticPr fontId="40"/>
  </si>
  <si>
    <t>鳥取市嶋</t>
  </si>
  <si>
    <t>法勝寺</t>
    <rPh sb="0" eb="3">
      <t>ホッショウジ</t>
    </rPh>
    <phoneticPr fontId="40"/>
  </si>
  <si>
    <t>鳥取市篠坂</t>
  </si>
  <si>
    <t>福頼</t>
    <rPh sb="0" eb="2">
      <t>フクヨリ</t>
    </rPh>
    <phoneticPr fontId="40"/>
  </si>
  <si>
    <t>鳥取市倭文</t>
  </si>
  <si>
    <t>福成</t>
    <rPh sb="0" eb="2">
      <t>フクナリ</t>
    </rPh>
    <phoneticPr fontId="40"/>
  </si>
  <si>
    <t>鳥取市材木町</t>
  </si>
  <si>
    <t>福里</t>
    <rPh sb="0" eb="2">
      <t>フクサト</t>
    </rPh>
    <phoneticPr fontId="40"/>
  </si>
  <si>
    <t>鳥取市里仁</t>
  </si>
  <si>
    <t>東町</t>
    <rPh sb="0" eb="1">
      <t>ヒガシ</t>
    </rPh>
    <rPh sb="1" eb="2">
      <t>マチ</t>
    </rPh>
    <phoneticPr fontId="40"/>
  </si>
  <si>
    <t>鳥取市桜谷</t>
  </si>
  <si>
    <t>原</t>
    <rPh sb="0" eb="1">
      <t>ハラ</t>
    </rPh>
    <phoneticPr fontId="40"/>
  </si>
  <si>
    <t>鳥取市栄町</t>
  </si>
  <si>
    <t>000</t>
    <phoneticPr fontId="40"/>
  </si>
  <si>
    <t>馬場</t>
    <rPh sb="0" eb="2">
      <t>ババ</t>
    </rPh>
    <phoneticPr fontId="40"/>
  </si>
  <si>
    <t>鳥取市幸町</t>
  </si>
  <si>
    <t>000</t>
    <phoneticPr fontId="40"/>
  </si>
  <si>
    <t>馬佐良</t>
    <rPh sb="0" eb="3">
      <t>バサラ</t>
    </rPh>
    <phoneticPr fontId="40"/>
  </si>
  <si>
    <t>鳥取市五反田町</t>
  </si>
  <si>
    <t>能竹</t>
    <rPh sb="0" eb="1">
      <t>ノウ</t>
    </rPh>
    <rPh sb="1" eb="2">
      <t>チク</t>
    </rPh>
    <phoneticPr fontId="40"/>
  </si>
  <si>
    <t>鳥取市湖山町南5丁目</t>
  </si>
  <si>
    <t>西町</t>
    <rPh sb="0" eb="1">
      <t>ニシ</t>
    </rPh>
    <rPh sb="1" eb="2">
      <t>マチ</t>
    </rPh>
    <phoneticPr fontId="40"/>
  </si>
  <si>
    <t>鳥取市湖山町南4丁目</t>
  </si>
  <si>
    <t>西</t>
    <phoneticPr fontId="40"/>
  </si>
  <si>
    <t>鳥取市湖山町南3丁目</t>
  </si>
  <si>
    <t>鍋倉</t>
    <rPh sb="0" eb="2">
      <t>ナベクラ</t>
    </rPh>
    <phoneticPr fontId="40"/>
  </si>
  <si>
    <t>鳥取市湖山町南2丁目</t>
  </si>
  <si>
    <t>中</t>
    <rPh sb="0" eb="1">
      <t>ナカ</t>
    </rPh>
    <phoneticPr fontId="40"/>
  </si>
  <si>
    <t>鳥取市湖山町南1丁目</t>
  </si>
  <si>
    <t>徳長</t>
    <rPh sb="0" eb="2">
      <t>トクナガ</t>
    </rPh>
    <phoneticPr fontId="40"/>
  </si>
  <si>
    <t>鳥取市湖山町東5丁目</t>
  </si>
  <si>
    <t>東上</t>
    <rPh sb="0" eb="2">
      <t>トウジョウ</t>
    </rPh>
    <phoneticPr fontId="40"/>
  </si>
  <si>
    <t>鳥取市湖山町東4丁目</t>
  </si>
  <si>
    <t>道河内</t>
    <rPh sb="0" eb="3">
      <t>ドウガワウチ</t>
    </rPh>
    <phoneticPr fontId="40"/>
  </si>
  <si>
    <t>鳥取市湖山町東3丁目</t>
  </si>
  <si>
    <t>天萬</t>
    <rPh sb="0" eb="1">
      <t>テン</t>
    </rPh>
    <rPh sb="1" eb="2">
      <t>マン</t>
    </rPh>
    <phoneticPr fontId="40"/>
  </si>
  <si>
    <t>鳥取市湖山町東2丁目</t>
  </si>
  <si>
    <t>寺内</t>
    <rPh sb="0" eb="2">
      <t>テラウチ</t>
    </rPh>
    <phoneticPr fontId="40"/>
  </si>
  <si>
    <t>鳥取市湖山町東1丁目</t>
  </si>
  <si>
    <t>鶴田</t>
    <rPh sb="0" eb="2">
      <t>ツルダ</t>
    </rPh>
    <phoneticPr fontId="40"/>
  </si>
  <si>
    <t>鳥取市湖山町西4丁目</t>
  </si>
  <si>
    <t>000</t>
    <phoneticPr fontId="40"/>
  </si>
  <si>
    <t>田住</t>
    <rPh sb="0" eb="2">
      <t>タスミ</t>
    </rPh>
    <phoneticPr fontId="40"/>
  </si>
  <si>
    <t>鳥取市湖山町西3丁目</t>
  </si>
  <si>
    <t>武信</t>
    <rPh sb="0" eb="2">
      <t>タケノブ</t>
    </rPh>
    <phoneticPr fontId="40"/>
  </si>
  <si>
    <t>鳥取市湖山町西2丁目</t>
  </si>
  <si>
    <t>高姫</t>
    <rPh sb="0" eb="2">
      <t>タカヒメ</t>
    </rPh>
    <phoneticPr fontId="40"/>
  </si>
  <si>
    <t>鳥取市湖山町西1丁目</t>
  </si>
  <si>
    <t>下中谷</t>
    <rPh sb="0" eb="1">
      <t>シモ</t>
    </rPh>
    <rPh sb="1" eb="3">
      <t>ナカタニ</t>
    </rPh>
    <phoneticPr fontId="40"/>
  </si>
  <si>
    <t>鳥取市湖山町北6丁目</t>
  </si>
  <si>
    <t>清水川</t>
    <rPh sb="0" eb="2">
      <t>シミズ</t>
    </rPh>
    <rPh sb="2" eb="3">
      <t>ガワ</t>
    </rPh>
    <phoneticPr fontId="40"/>
  </si>
  <si>
    <t>鳥取市湖山町北5丁目</t>
  </si>
  <si>
    <t>境</t>
    <rPh sb="0" eb="1">
      <t>サカエ</t>
    </rPh>
    <phoneticPr fontId="40"/>
  </si>
  <si>
    <t>鳥取市湖山町北4丁目</t>
  </si>
  <si>
    <t>伐株</t>
    <rPh sb="0" eb="2">
      <t>キリクイ</t>
    </rPh>
    <phoneticPr fontId="40"/>
  </si>
  <si>
    <t>鳥取市湖山町北3丁目</t>
  </si>
  <si>
    <t>絹屋</t>
    <rPh sb="0" eb="2">
      <t>キヌヤ</t>
    </rPh>
    <phoneticPr fontId="40"/>
  </si>
  <si>
    <t>鳥取市湖山町北2丁目</t>
  </si>
  <si>
    <t>000</t>
    <phoneticPr fontId="40"/>
  </si>
  <si>
    <t>北方</t>
    <rPh sb="0" eb="2">
      <t>キタガタ</t>
    </rPh>
    <phoneticPr fontId="40"/>
  </si>
  <si>
    <t>鳥取市湖山町北1丁目</t>
  </si>
  <si>
    <t>鴨部</t>
    <rPh sb="0" eb="2">
      <t>カモベ</t>
    </rPh>
    <phoneticPr fontId="40"/>
  </si>
  <si>
    <t>鳥取市湖山町</t>
  </si>
  <si>
    <t>上中谷</t>
    <rPh sb="0" eb="1">
      <t>カミ</t>
    </rPh>
    <rPh sb="1" eb="3">
      <t>ナカタニ</t>
    </rPh>
    <phoneticPr fontId="40"/>
  </si>
  <si>
    <t>鳥取市寿町</t>
  </si>
  <si>
    <t>金田</t>
    <rPh sb="0" eb="2">
      <t>カネダ</t>
    </rPh>
    <phoneticPr fontId="40"/>
  </si>
  <si>
    <t>鳥取市小沢見</t>
  </si>
  <si>
    <t>掛相</t>
    <rPh sb="0" eb="2">
      <t>カケアイ</t>
    </rPh>
    <phoneticPr fontId="40"/>
  </si>
  <si>
    <t>鳥取市小西谷</t>
  </si>
  <si>
    <t>落合</t>
    <rPh sb="0" eb="2">
      <t>オチアイ</t>
    </rPh>
    <phoneticPr fontId="40"/>
  </si>
  <si>
    <t>鳥取市古郡家</t>
  </si>
  <si>
    <t>荻名</t>
    <rPh sb="0" eb="2">
      <t>オギナ</t>
    </rPh>
    <phoneticPr fontId="40"/>
  </si>
  <si>
    <t>鳥取市越路</t>
  </si>
  <si>
    <t>大木屋</t>
    <rPh sb="0" eb="3">
      <t>オオキヤ</t>
    </rPh>
    <phoneticPr fontId="40"/>
  </si>
  <si>
    <t>鳥取市高路</t>
  </si>
  <si>
    <t>猪小路</t>
    <rPh sb="0" eb="3">
      <t>イノコウジ</t>
    </rPh>
    <phoneticPr fontId="40"/>
  </si>
  <si>
    <t>鳥取市興南町</t>
  </si>
  <si>
    <t>井上</t>
    <rPh sb="0" eb="2">
      <t>イノウエ</t>
    </rPh>
    <phoneticPr fontId="40"/>
  </si>
  <si>
    <t>鳥取市河内</t>
  </si>
  <si>
    <t>市山</t>
    <rPh sb="0" eb="2">
      <t>イチヤマ</t>
    </rPh>
    <phoneticPr fontId="40"/>
  </si>
  <si>
    <t>鳥取市源太</t>
  </si>
  <si>
    <t>池野</t>
    <rPh sb="0" eb="2">
      <t>イケノ</t>
    </rPh>
    <phoneticPr fontId="40"/>
  </si>
  <si>
    <t>鳥取市玄好町</t>
  </si>
  <si>
    <t>朝金</t>
    <rPh sb="0" eb="2">
      <t>アサカネ</t>
    </rPh>
    <phoneticPr fontId="40"/>
  </si>
  <si>
    <t>鳥取市栗谷町</t>
  </si>
  <si>
    <t>浅井</t>
    <rPh sb="0" eb="2">
      <t>アサイ</t>
    </rPh>
    <phoneticPr fontId="40"/>
  </si>
  <si>
    <t>鳥取市蔵田</t>
  </si>
  <si>
    <t>001</t>
    <phoneticPr fontId="40"/>
  </si>
  <si>
    <t>阿賀</t>
    <rPh sb="0" eb="2">
      <t>アガ</t>
    </rPh>
    <phoneticPr fontId="40"/>
  </si>
  <si>
    <t>鳥取市雲山</t>
  </si>
  <si>
    <t>安原</t>
  </si>
  <si>
    <t>鳥取市国安</t>
  </si>
  <si>
    <t>保田</t>
  </si>
  <si>
    <t>鳥取市行徳3丁目</t>
  </si>
  <si>
    <t>八重</t>
  </si>
  <si>
    <t>鳥取市行徳2丁目</t>
  </si>
  <si>
    <t>門前</t>
  </si>
  <si>
    <t>鳥取市行徳1丁目</t>
  </si>
  <si>
    <t>妻木</t>
  </si>
  <si>
    <t>鳥取市行徳</t>
  </si>
  <si>
    <t>宮内</t>
  </si>
  <si>
    <t>鳥取市北村</t>
  </si>
  <si>
    <t>御崎</t>
  </si>
  <si>
    <t>鳥取市瓦町</t>
  </si>
  <si>
    <t>御来屋</t>
  </si>
  <si>
    <t>鳥取市川端5丁目</t>
  </si>
  <si>
    <t>松河原</t>
  </si>
  <si>
    <t>鳥取市川端4丁目</t>
  </si>
  <si>
    <t>前</t>
  </si>
  <si>
    <t>鳥取市川端3丁目</t>
  </si>
  <si>
    <t>坊領</t>
  </si>
  <si>
    <t>鳥取市川端2丁目</t>
  </si>
  <si>
    <t>福尾</t>
  </si>
  <si>
    <t>鳥取市川端1丁目</t>
  </si>
  <si>
    <t>平田</t>
  </si>
  <si>
    <t>鳥取市賀露町</t>
  </si>
  <si>
    <t>平木</t>
  </si>
  <si>
    <t>鳥取市上段</t>
  </si>
  <si>
    <t>平</t>
  </si>
  <si>
    <t>鳥取市上砂見</t>
  </si>
  <si>
    <t>樋口</t>
  </si>
  <si>
    <t>鳥取市上魚町</t>
  </si>
  <si>
    <t>東坪</t>
  </si>
  <si>
    <t>鳥取市上味野</t>
  </si>
  <si>
    <t>羽田井</t>
  </si>
  <si>
    <t>鳥取市叶1丁目</t>
  </si>
  <si>
    <t>野田</t>
  </si>
  <si>
    <t>鳥取市叶</t>
  </si>
  <si>
    <t>西坪</t>
  </si>
  <si>
    <t>鳥取市金沢</t>
  </si>
  <si>
    <t>名和</t>
  </si>
  <si>
    <t>鳥取市香取</t>
  </si>
  <si>
    <t>長野</t>
  </si>
  <si>
    <t>鳥取市桂見</t>
  </si>
  <si>
    <t>中高</t>
  </si>
  <si>
    <t>鳥取市桂木</t>
  </si>
  <si>
    <t>長田</t>
  </si>
  <si>
    <t>鳥取市片原5丁目</t>
  </si>
  <si>
    <t>豊房</t>
  </si>
  <si>
    <t>鳥取市片原4丁目</t>
  </si>
  <si>
    <t>豊成</t>
  </si>
  <si>
    <t>鳥取市片原3丁目</t>
  </si>
  <si>
    <t>富長</t>
  </si>
  <si>
    <t>鳥取市片原2丁目</t>
  </si>
  <si>
    <t>富岡</t>
  </si>
  <si>
    <t>鳥取市片原1丁目</t>
  </si>
  <si>
    <t>殿河内</t>
  </si>
  <si>
    <t>鳥取市鍛冶町</t>
  </si>
  <si>
    <t>所子</t>
  </si>
  <si>
    <t>鳥取市紙子谷</t>
  </si>
  <si>
    <t>唐王</t>
  </si>
  <si>
    <t>鳥取市掛出町</t>
  </si>
  <si>
    <t>束積</t>
  </si>
  <si>
    <t>鳥取市覚寺</t>
  </si>
  <si>
    <t>潮音寺</t>
  </si>
  <si>
    <t>鳥取市海蔵寺</t>
  </si>
  <si>
    <t>茶畑</t>
  </si>
  <si>
    <t>鳥取市御弓町</t>
  </si>
  <si>
    <t>田中</t>
  </si>
  <si>
    <t>鳥取市尾崎</t>
  </si>
  <si>
    <t>鈩戸</t>
  </si>
  <si>
    <t>鳥取市桶屋町</t>
  </si>
  <si>
    <t>高橋</t>
  </si>
  <si>
    <t>鳥取市晩稲</t>
  </si>
  <si>
    <t>高田</t>
  </si>
  <si>
    <t>鳥取市大畑</t>
  </si>
  <si>
    <t>大山</t>
  </si>
  <si>
    <t>鳥取市大塚</t>
  </si>
  <si>
    <t>退休寺</t>
  </si>
  <si>
    <t>鳥取市大杙</t>
  </si>
  <si>
    <t>住吉</t>
  </si>
  <si>
    <t>鳥取市大榎町</t>
  </si>
  <si>
    <t>末吉</t>
  </si>
  <si>
    <t>鳥取市扇町</t>
  </si>
  <si>
    <t>末長</t>
  </si>
  <si>
    <t>鳥取市円通寺</t>
  </si>
  <si>
    <t>上萬</t>
  </si>
  <si>
    <t>鳥取市円護寺</t>
  </si>
  <si>
    <t>荘田</t>
  </si>
  <si>
    <t>鳥取市戎町</t>
  </si>
  <si>
    <t>下甲</t>
  </si>
  <si>
    <t>鳥取市江津</t>
  </si>
  <si>
    <t>下市</t>
  </si>
  <si>
    <t>鳥取市江崎町</t>
  </si>
  <si>
    <t>塩津</t>
  </si>
  <si>
    <t>鳥取市永楽温泉町</t>
  </si>
  <si>
    <t>佐摩</t>
  </si>
  <si>
    <t>鳥取市内海中</t>
  </si>
  <si>
    <t>栄田</t>
  </si>
  <si>
    <t>鳥取市上町</t>
  </si>
  <si>
    <t>古御堂</t>
  </si>
  <si>
    <t>鳥取市上原</t>
  </si>
  <si>
    <t>小竹</t>
  </si>
  <si>
    <t>鳥取市岩吉</t>
  </si>
  <si>
    <t>倉谷</t>
  </si>
  <si>
    <t>鳥取市岩坪</t>
  </si>
  <si>
    <t>國信</t>
  </si>
  <si>
    <t>鳥取市岩倉</t>
  </si>
  <si>
    <t>清原</t>
  </si>
  <si>
    <t>鳥取市今町2丁目</t>
  </si>
  <si>
    <t>神原</t>
  </si>
  <si>
    <t>鳥取市今町1丁目</t>
  </si>
  <si>
    <t>加茂</t>
  </si>
  <si>
    <t>鳥取市猪子</t>
  </si>
  <si>
    <t>押平</t>
  </si>
  <si>
    <t>鳥取市有富</t>
  </si>
  <si>
    <t>岡</t>
  </si>
  <si>
    <t>鳥取市朝月</t>
  </si>
  <si>
    <t>大塚</t>
  </si>
  <si>
    <t>鳥取市赤子田</t>
  </si>
  <si>
    <t>上市</t>
  </si>
  <si>
    <t>鳥取市秋里</t>
  </si>
  <si>
    <t>上野</t>
  </si>
  <si>
    <t>鳥取市青葉町3丁目</t>
  </si>
  <si>
    <t>石井垣</t>
  </si>
  <si>
    <t>鳥取市青葉町2丁目</t>
  </si>
  <si>
    <t>今在家</t>
  </si>
  <si>
    <t>鳥取市青葉町1丁目</t>
  </si>
  <si>
    <t>稲光</t>
  </si>
  <si>
    <t>鳥取市相生町4丁目</t>
  </si>
  <si>
    <t>赤松</t>
  </si>
  <si>
    <t>鳥取市相生町3丁目</t>
  </si>
  <si>
    <t>赤坂</t>
  </si>
  <si>
    <t>鳥取市相生町2丁目</t>
  </si>
  <si>
    <t>鳥取市相生町1丁目</t>
  </si>
  <si>
    <t>鳥取市</t>
  </si>
  <si>
    <t>住所コード</t>
    <rPh sb="0" eb="2">
      <t>ジュウショ</t>
    </rPh>
    <phoneticPr fontId="18"/>
  </si>
  <si>
    <t>住所</t>
    <rPh sb="0" eb="2">
      <t>ジュウショ</t>
    </rPh>
    <phoneticPr fontId="18"/>
  </si>
  <si>
    <t>01</t>
  </si>
  <si>
    <t>専用住宅</t>
  </si>
  <si>
    <t>02</t>
  </si>
  <si>
    <t>共同住宅</t>
  </si>
  <si>
    <t>03</t>
  </si>
  <si>
    <t>併用住宅</t>
  </si>
  <si>
    <t>04</t>
  </si>
  <si>
    <t>事務所</t>
  </si>
  <si>
    <t>05</t>
  </si>
  <si>
    <t>店舗</t>
  </si>
  <si>
    <t>06</t>
  </si>
  <si>
    <t>工場、作業場</t>
    <rPh sb="3" eb="5">
      <t>サギョウ</t>
    </rPh>
    <rPh sb="5" eb="6">
      <t>バ</t>
    </rPh>
    <phoneticPr fontId="1"/>
  </si>
  <si>
    <t>07</t>
  </si>
  <si>
    <t>倉庫</t>
  </si>
  <si>
    <t>08</t>
  </si>
  <si>
    <t>市場</t>
    <rPh sb="0" eb="2">
      <t>イチバ</t>
    </rPh>
    <phoneticPr fontId="1"/>
  </si>
  <si>
    <t>09</t>
  </si>
  <si>
    <t>銀行</t>
  </si>
  <si>
    <t>10</t>
  </si>
  <si>
    <t>病院</t>
  </si>
  <si>
    <t>11</t>
  </si>
  <si>
    <t>旅館、ホテル</t>
  </si>
  <si>
    <t>12</t>
  </si>
  <si>
    <t>発電所、変電所</t>
    <rPh sb="0" eb="2">
      <t>ハツデン</t>
    </rPh>
    <rPh sb="2" eb="3">
      <t>ショ</t>
    </rPh>
    <rPh sb="4" eb="6">
      <t>ヘンデン</t>
    </rPh>
    <rPh sb="6" eb="7">
      <t>ショ</t>
    </rPh>
    <phoneticPr fontId="1"/>
  </si>
  <si>
    <t>13</t>
  </si>
  <si>
    <t>娯楽場</t>
    <rPh sb="0" eb="3">
      <t>ゴラクジョウ</t>
    </rPh>
    <phoneticPr fontId="1"/>
  </si>
  <si>
    <t>14</t>
  </si>
  <si>
    <t>浴場</t>
    <rPh sb="0" eb="2">
      <t>ヨクジョウ</t>
    </rPh>
    <phoneticPr fontId="1"/>
  </si>
  <si>
    <t>15</t>
  </si>
  <si>
    <t>土蔵</t>
    <rPh sb="0" eb="2">
      <t>ドゾウ</t>
    </rPh>
    <phoneticPr fontId="1"/>
  </si>
  <si>
    <t>16</t>
  </si>
  <si>
    <t>付属家</t>
    <rPh sb="0" eb="2">
      <t>フゾク</t>
    </rPh>
    <rPh sb="2" eb="3">
      <t>イエ</t>
    </rPh>
    <phoneticPr fontId="3"/>
  </si>
  <si>
    <t>17</t>
  </si>
  <si>
    <t>簡易付属家（下級のもの）</t>
    <rPh sb="0" eb="2">
      <t>カンイ</t>
    </rPh>
    <rPh sb="2" eb="4">
      <t>フゾク</t>
    </rPh>
    <rPh sb="4" eb="5">
      <t>イエ</t>
    </rPh>
    <rPh sb="6" eb="8">
      <t>カキュウ</t>
    </rPh>
    <phoneticPr fontId="1"/>
  </si>
  <si>
    <t>18</t>
  </si>
  <si>
    <t>簡易付属家（普通のもの）</t>
    <rPh sb="0" eb="2">
      <t>カンイ</t>
    </rPh>
    <rPh sb="2" eb="4">
      <t>フゾク</t>
    </rPh>
    <rPh sb="4" eb="5">
      <t>イエ</t>
    </rPh>
    <rPh sb="6" eb="8">
      <t>フツウ</t>
    </rPh>
    <phoneticPr fontId="1"/>
  </si>
  <si>
    <t>19</t>
  </si>
  <si>
    <t>車庫</t>
    <rPh sb="0" eb="2">
      <t>シャコ</t>
    </rPh>
    <phoneticPr fontId="1"/>
  </si>
  <si>
    <t>20</t>
  </si>
  <si>
    <t>物置</t>
    <rPh sb="0" eb="2">
      <t>モノオキ</t>
    </rPh>
    <phoneticPr fontId="1"/>
  </si>
  <si>
    <t>21</t>
  </si>
  <si>
    <t>マンション</t>
  </si>
  <si>
    <t>22</t>
  </si>
  <si>
    <t>別荘</t>
    <rPh sb="0" eb="2">
      <t>ベッソウ</t>
    </rPh>
    <phoneticPr fontId="1"/>
  </si>
  <si>
    <t>23</t>
  </si>
  <si>
    <t>学校</t>
    <rPh sb="0" eb="2">
      <t>ガッコウ</t>
    </rPh>
    <phoneticPr fontId="1"/>
  </si>
  <si>
    <t>24</t>
  </si>
  <si>
    <t>境内建物</t>
    <rPh sb="0" eb="2">
      <t>ケイダイ</t>
    </rPh>
    <rPh sb="2" eb="4">
      <t>タテモノ</t>
    </rPh>
    <phoneticPr fontId="1"/>
  </si>
  <si>
    <t>25</t>
  </si>
  <si>
    <t>公民館</t>
    <rPh sb="0" eb="3">
      <t>コウミンカン</t>
    </rPh>
    <phoneticPr fontId="1"/>
  </si>
  <si>
    <t>26</t>
  </si>
  <si>
    <t>専用住宅その他</t>
    <rPh sb="0" eb="2">
      <t>センヨウ</t>
    </rPh>
    <rPh sb="2" eb="4">
      <t>ジュウタク</t>
    </rPh>
    <rPh sb="6" eb="7">
      <t>タ</t>
    </rPh>
    <phoneticPr fontId="1"/>
  </si>
  <si>
    <t>31</t>
  </si>
  <si>
    <t>居宅店舗</t>
    <rPh sb="0" eb="2">
      <t>キョタク</t>
    </rPh>
    <rPh sb="2" eb="4">
      <t>テンポ</t>
    </rPh>
    <phoneticPr fontId="1"/>
  </si>
  <si>
    <t>32</t>
  </si>
  <si>
    <t>居宅事務所</t>
    <rPh sb="0" eb="2">
      <t>キョタク</t>
    </rPh>
    <rPh sb="2" eb="4">
      <t>ジム</t>
    </rPh>
    <rPh sb="4" eb="5">
      <t>ショ</t>
    </rPh>
    <phoneticPr fontId="1"/>
  </si>
  <si>
    <t>33</t>
  </si>
  <si>
    <t>居宅倉庫</t>
    <rPh sb="0" eb="2">
      <t>キョタク</t>
    </rPh>
    <rPh sb="2" eb="4">
      <t>ソウコ</t>
    </rPh>
    <phoneticPr fontId="1"/>
  </si>
  <si>
    <t>34</t>
  </si>
  <si>
    <t>居宅工場</t>
    <rPh sb="0" eb="2">
      <t>キョタク</t>
    </rPh>
    <rPh sb="2" eb="4">
      <t>コウジョウ</t>
    </rPh>
    <phoneticPr fontId="1"/>
  </si>
  <si>
    <t>41</t>
  </si>
  <si>
    <t>事務所工場</t>
    <rPh sb="3" eb="5">
      <t>コウジョウ</t>
    </rPh>
    <phoneticPr fontId="3"/>
  </si>
  <si>
    <t>42</t>
  </si>
  <si>
    <t>事務所倉庫</t>
    <rPh sb="0" eb="2">
      <t>ジム</t>
    </rPh>
    <rPh sb="2" eb="3">
      <t>ショ</t>
    </rPh>
    <rPh sb="3" eb="5">
      <t>ソウコ</t>
    </rPh>
    <phoneticPr fontId="3"/>
  </si>
  <si>
    <t>43</t>
  </si>
  <si>
    <t>診療所</t>
    <rPh sb="0" eb="3">
      <t>シンリョウジョ</t>
    </rPh>
    <phoneticPr fontId="1"/>
  </si>
  <si>
    <t>44</t>
  </si>
  <si>
    <t>工場倉庫</t>
    <rPh sb="2" eb="4">
      <t>ソウコ</t>
    </rPh>
    <phoneticPr fontId="1"/>
  </si>
  <si>
    <t>45</t>
  </si>
  <si>
    <t>遊技場</t>
    <rPh sb="0" eb="3">
      <t>ユウギジョウ</t>
    </rPh>
    <phoneticPr fontId="1"/>
  </si>
  <si>
    <t>46</t>
  </si>
  <si>
    <t>冷凍倉庫等</t>
    <rPh sb="0" eb="2">
      <t>レイトウ</t>
    </rPh>
    <rPh sb="2" eb="4">
      <t>ソウコ</t>
    </rPh>
    <rPh sb="4" eb="5">
      <t>ナド</t>
    </rPh>
    <phoneticPr fontId="1"/>
  </si>
  <si>
    <t>99</t>
  </si>
  <si>
    <t>非住宅家屋</t>
    <rPh sb="0" eb="1">
      <t>ヒ</t>
    </rPh>
    <rPh sb="1" eb="3">
      <t>ジュウタク</t>
    </rPh>
    <rPh sb="3" eb="5">
      <t>カオク</t>
    </rPh>
    <phoneticPr fontId="1"/>
  </si>
  <si>
    <t>移築</t>
    <rPh sb="0" eb="2">
      <t>イチク</t>
    </rPh>
    <phoneticPr fontId="8"/>
  </si>
  <si>
    <t>区分取得</t>
    <rPh sb="0" eb="2">
      <t>クブン</t>
    </rPh>
    <rPh sb="2" eb="4">
      <t>シュトク</t>
    </rPh>
    <phoneticPr fontId="8"/>
  </si>
  <si>
    <t>テナント</t>
    <phoneticPr fontId="8"/>
  </si>
  <si>
    <t>評価基準コード</t>
    <rPh sb="0" eb="2">
      <t>ヒョウカ</t>
    </rPh>
    <rPh sb="2" eb="4">
      <t>キジュン</t>
    </rPh>
    <phoneticPr fontId="8"/>
  </si>
  <si>
    <t>R</t>
    <phoneticPr fontId="47"/>
  </si>
  <si>
    <t>令和</t>
    <rPh sb="0" eb="2">
      <t>レイワ</t>
    </rPh>
    <phoneticPr fontId="8"/>
  </si>
  <si>
    <t>耐火被覆加算項目</t>
    <rPh sb="0" eb="2">
      <t>タイカ</t>
    </rPh>
    <rPh sb="2" eb="4">
      <t>ヒフク</t>
    </rPh>
    <rPh sb="4" eb="6">
      <t>カサン</t>
    </rPh>
    <rPh sb="6" eb="8">
      <t>コウモク</t>
    </rPh>
    <phoneticPr fontId="20"/>
  </si>
  <si>
    <t>標準評点数</t>
    <rPh sb="0" eb="2">
      <t>ヒョウジュン</t>
    </rPh>
    <rPh sb="2" eb="4">
      <t>ヒョウテン</t>
    </rPh>
    <rPh sb="4" eb="5">
      <t>スウ</t>
    </rPh>
    <phoneticPr fontId="20"/>
  </si>
  <si>
    <t>数量（単位）</t>
    <phoneticPr fontId="20"/>
  </si>
  <si>
    <t>評 点 数</t>
    <phoneticPr fontId="8"/>
  </si>
  <si>
    <t>耐火性能</t>
    <rPh sb="0" eb="2">
      <t>タイカ</t>
    </rPh>
    <rPh sb="2" eb="4">
      <t>セイノウ</t>
    </rPh>
    <phoneticPr fontId="20"/>
  </si>
  <si>
    <t>耐火被覆評点数</t>
    <rPh sb="0" eb="2">
      <t>タイカ</t>
    </rPh>
    <rPh sb="2" eb="4">
      <t>ヒフク</t>
    </rPh>
    <rPh sb="4" eb="6">
      <t>ヒョウテン</t>
    </rPh>
    <rPh sb="6" eb="7">
      <t>スウ</t>
    </rPh>
    <phoneticPr fontId="20"/>
  </si>
  <si>
    <t>－</t>
    <phoneticPr fontId="20"/>
  </si>
  <si>
    <t>鉄骨 ［塗装無］（ｔ）</t>
    <phoneticPr fontId="20"/>
  </si>
  <si>
    <t>鉄骨 ［錆止め塗装］（ｔ）</t>
    <rPh sb="4" eb="5">
      <t>サビ</t>
    </rPh>
    <rPh sb="5" eb="6">
      <t>ド</t>
    </rPh>
    <phoneticPr fontId="20"/>
  </si>
  <si>
    <t>鉄骨 ［亜鉛めっき］（ｔ）</t>
    <phoneticPr fontId="20"/>
  </si>
  <si>
    <t>耐火被覆［塗装・３時間耐火］（㎡）</t>
    <rPh sb="0" eb="2">
      <t>タイカ</t>
    </rPh>
    <rPh sb="2" eb="4">
      <t>ヒフク</t>
    </rPh>
    <rPh sb="5" eb="7">
      <t>トソウ</t>
    </rPh>
    <rPh sb="9" eb="11">
      <t>ジカン</t>
    </rPh>
    <rPh sb="11" eb="13">
      <t>タイカ</t>
    </rPh>
    <phoneticPr fontId="20"/>
  </si>
  <si>
    <t>耐火被覆［塗装・２時間耐火］（㎡）</t>
    <rPh sb="0" eb="2">
      <t>タイカ</t>
    </rPh>
    <rPh sb="2" eb="4">
      <t>ヒフク</t>
    </rPh>
    <rPh sb="5" eb="7">
      <t>トソウ</t>
    </rPh>
    <rPh sb="9" eb="11">
      <t>ジカン</t>
    </rPh>
    <rPh sb="11" eb="13">
      <t>タイカ</t>
    </rPh>
    <phoneticPr fontId="20"/>
  </si>
  <si>
    <t>耐火被覆［塗装・１時間耐火］（㎡）</t>
    <rPh sb="0" eb="2">
      <t>タイカ</t>
    </rPh>
    <rPh sb="2" eb="4">
      <t>ヒフク</t>
    </rPh>
    <rPh sb="5" eb="7">
      <t>トソウ</t>
    </rPh>
    <rPh sb="9" eb="11">
      <t>ジカン</t>
    </rPh>
    <rPh sb="11" eb="13">
      <t>タイカ</t>
    </rPh>
    <phoneticPr fontId="20"/>
  </si>
  <si>
    <t>耐火被覆［成形板・２時間耐火］（㎡）</t>
    <rPh sb="0" eb="2">
      <t>タイカ</t>
    </rPh>
    <rPh sb="2" eb="4">
      <t>ヒフク</t>
    </rPh>
    <rPh sb="5" eb="7">
      <t>セイケイ</t>
    </rPh>
    <rPh sb="7" eb="8">
      <t>イタ</t>
    </rPh>
    <rPh sb="10" eb="12">
      <t>ジカン</t>
    </rPh>
    <rPh sb="12" eb="14">
      <t>タイカ</t>
    </rPh>
    <phoneticPr fontId="20"/>
  </si>
  <si>
    <t>耐火被覆［成形板・１時間耐火］（㎡）</t>
    <rPh sb="0" eb="2">
      <t>タイカ</t>
    </rPh>
    <rPh sb="2" eb="4">
      <t>ヒフク</t>
    </rPh>
    <rPh sb="5" eb="7">
      <t>セイケイ</t>
    </rPh>
    <rPh sb="7" eb="8">
      <t>バン</t>
    </rPh>
    <rPh sb="10" eb="12">
      <t>ジカン</t>
    </rPh>
    <rPh sb="12" eb="14">
      <t>タイカ</t>
    </rPh>
    <phoneticPr fontId="20"/>
  </si>
  <si>
    <t>外壁仕上</t>
    <rPh sb="0" eb="1">
      <t>ソト</t>
    </rPh>
    <rPh sb="1" eb="2">
      <t>カベ</t>
    </rPh>
    <rPh sb="2" eb="3">
      <t>ツコウ</t>
    </rPh>
    <rPh sb="3" eb="4">
      <t>ジョウ</t>
    </rPh>
    <phoneticPr fontId="8"/>
  </si>
  <si>
    <t>内壁仕上</t>
    <rPh sb="0" eb="1">
      <t>ウチ</t>
    </rPh>
    <rPh sb="1" eb="2">
      <t>カベ</t>
    </rPh>
    <rPh sb="2" eb="3">
      <t>ツコウ</t>
    </rPh>
    <rPh sb="3" eb="4">
      <t>ジョウ</t>
    </rPh>
    <phoneticPr fontId="8"/>
  </si>
  <si>
    <t>内　壁　仕　上</t>
    <rPh sb="0" eb="1">
      <t>ナイ</t>
    </rPh>
    <rPh sb="2" eb="3">
      <t>カベ</t>
    </rPh>
    <rPh sb="4" eb="5">
      <t>ツコウ</t>
    </rPh>
    <rPh sb="6" eb="7">
      <t>ジョウ</t>
    </rPh>
    <phoneticPr fontId="8"/>
  </si>
  <si>
    <t>外　壁　仕　上</t>
    <rPh sb="0" eb="1">
      <t>ソト</t>
    </rPh>
    <rPh sb="2" eb="3">
      <t>カベ</t>
    </rPh>
    <rPh sb="4" eb="5">
      <t>ツコウ</t>
    </rPh>
    <rPh sb="6" eb="7">
      <t>ジョウ</t>
    </rPh>
    <phoneticPr fontId="8"/>
  </si>
  <si>
    <t>外壁仕上</t>
    <rPh sb="0" eb="1">
      <t>ソト</t>
    </rPh>
    <rPh sb="1" eb="2">
      <t>カベ</t>
    </rPh>
    <rPh sb="2" eb="3">
      <t>ツコウ</t>
    </rPh>
    <rPh sb="3" eb="4">
      <t>ジョウ</t>
    </rPh>
    <phoneticPr fontId="17"/>
  </si>
  <si>
    <t>内壁仕上</t>
    <rPh sb="0" eb="1">
      <t>ウチ</t>
    </rPh>
    <rPh sb="1" eb="2">
      <t>カベ</t>
    </rPh>
    <rPh sb="2" eb="3">
      <t>ツコウ</t>
    </rPh>
    <rPh sb="3" eb="4">
      <t>ジョウ</t>
    </rPh>
    <phoneticPr fontId="17"/>
  </si>
  <si>
    <t>メラミン樹脂化粧板</t>
    <rPh sb="4" eb="6">
      <t>ジュシ</t>
    </rPh>
    <rPh sb="6" eb="9">
      <t>ケショウバン</t>
    </rPh>
    <phoneticPr fontId="20"/>
  </si>
  <si>
    <t>板ガラス［中・厚7.0mm以下］</t>
    <rPh sb="5" eb="6">
      <t>チュウ</t>
    </rPh>
    <rPh sb="7" eb="8">
      <t>アツシ</t>
    </rPh>
    <rPh sb="13" eb="15">
      <t>イカ</t>
    </rPh>
    <phoneticPr fontId="20"/>
  </si>
  <si>
    <t>板ガラス［並・厚7.0mm以下］</t>
    <rPh sb="5" eb="6">
      <t>ナミ</t>
    </rPh>
    <rPh sb="7" eb="8">
      <t>アツシ</t>
    </rPh>
    <rPh sb="13" eb="15">
      <t>イカ</t>
    </rPh>
    <phoneticPr fontId="20"/>
  </si>
  <si>
    <t>板ガラス　中12mm超</t>
    <rPh sb="0" eb="1">
      <t>イタ</t>
    </rPh>
    <rPh sb="5" eb="6">
      <t>チュウ</t>
    </rPh>
    <rPh sb="10" eb="11">
      <t>チョウ</t>
    </rPh>
    <phoneticPr fontId="8"/>
  </si>
  <si>
    <t>板ガラス　中7mm超12mm以下</t>
    <rPh sb="0" eb="1">
      <t>イタ</t>
    </rPh>
    <rPh sb="5" eb="6">
      <t>チュウ</t>
    </rPh>
    <rPh sb="9" eb="10">
      <t>チョウ</t>
    </rPh>
    <rPh sb="14" eb="16">
      <t>イカ</t>
    </rPh>
    <phoneticPr fontId="8"/>
  </si>
  <si>
    <t>板ガラス　中7mm以下</t>
    <rPh sb="0" eb="1">
      <t>イタ</t>
    </rPh>
    <rPh sb="5" eb="6">
      <t>チュウ</t>
    </rPh>
    <rPh sb="9" eb="11">
      <t>イカ</t>
    </rPh>
    <phoneticPr fontId="8"/>
  </si>
  <si>
    <t>板ガラス　並7mm超</t>
    <rPh sb="0" eb="1">
      <t>イタ</t>
    </rPh>
    <rPh sb="5" eb="6">
      <t>ナミ</t>
    </rPh>
    <rPh sb="9" eb="10">
      <t>チョウ</t>
    </rPh>
    <phoneticPr fontId="8"/>
  </si>
  <si>
    <t>板ガラス　並7mm以下</t>
    <rPh sb="0" eb="1">
      <t>イタ</t>
    </rPh>
    <rPh sb="5" eb="6">
      <t>ナミ</t>
    </rPh>
    <rPh sb="9" eb="11">
      <t>イカ</t>
    </rPh>
    <phoneticPr fontId="8"/>
  </si>
  <si>
    <t>電灯</t>
    <rPh sb="0" eb="2">
      <t>デントウ</t>
    </rPh>
    <phoneticPr fontId="8"/>
  </si>
  <si>
    <t>［電灯］</t>
    <rPh sb="1" eb="3">
      <t>デントウ</t>
    </rPh>
    <phoneticPr fontId="8"/>
  </si>
  <si>
    <t>明るさ</t>
    <rPh sb="0" eb="1">
      <t>アカ</t>
    </rPh>
    <phoneticPr fontId="8"/>
  </si>
  <si>
    <t>必要</t>
    <rPh sb="0" eb="2">
      <t>ヒツヨウ</t>
    </rPh>
    <phoneticPr fontId="8"/>
  </si>
  <si>
    <t>不要</t>
    <rPh sb="0" eb="2">
      <t>フヨウ</t>
    </rPh>
    <phoneticPr fontId="8"/>
  </si>
  <si>
    <t>呼出表示</t>
    <rPh sb="0" eb="1">
      <t>ヨ</t>
    </rPh>
    <rPh sb="1" eb="2">
      <t>ダ</t>
    </rPh>
    <rPh sb="2" eb="4">
      <t>ヒョウジ</t>
    </rPh>
    <phoneticPr fontId="8"/>
  </si>
  <si>
    <t>箇所</t>
    <rPh sb="0" eb="2">
      <t>カショ</t>
    </rPh>
    <phoneticPr fontId="8"/>
  </si>
  <si>
    <t>呼出表示</t>
    <rPh sb="0" eb="2">
      <t>ヨビダ</t>
    </rPh>
    <rPh sb="2" eb="4">
      <t>ヒョウジ</t>
    </rPh>
    <phoneticPr fontId="8"/>
  </si>
  <si>
    <t>監視カメラ</t>
    <rPh sb="0" eb="2">
      <t>カンシ</t>
    </rPh>
    <phoneticPr fontId="8"/>
  </si>
  <si>
    <t>(系統・階層)</t>
    <rPh sb="1" eb="3">
      <t>ケイトウ</t>
    </rPh>
    <rPh sb="4" eb="6">
      <t>カイソウ</t>
    </rPh>
    <phoneticPr fontId="8"/>
  </si>
  <si>
    <t>階高</t>
    <rPh sb="0" eb="2">
      <t>カイダカ</t>
    </rPh>
    <phoneticPr fontId="8"/>
  </si>
  <si>
    <t>ガス主管</t>
    <rPh sb="2" eb="4">
      <t>シュカン</t>
    </rPh>
    <phoneticPr fontId="8"/>
  </si>
  <si>
    <t>系統・階層</t>
    <rPh sb="0" eb="2">
      <t>ケイトウ</t>
    </rPh>
    <rPh sb="3" eb="5">
      <t>カイソウ</t>
    </rPh>
    <phoneticPr fontId="8"/>
  </si>
  <si>
    <t>給水主管1.2F</t>
    <rPh sb="0" eb="2">
      <t>キュウスイ</t>
    </rPh>
    <rPh sb="2" eb="4">
      <t>シュカン</t>
    </rPh>
    <phoneticPr fontId="8"/>
  </si>
  <si>
    <t>給水主管その他</t>
    <rPh sb="0" eb="2">
      <t>キュウスイ</t>
    </rPh>
    <rPh sb="2" eb="4">
      <t>シュカン</t>
    </rPh>
    <rPh sb="6" eb="7">
      <t>タ</t>
    </rPh>
    <phoneticPr fontId="8"/>
  </si>
  <si>
    <t>［給水小］</t>
    <rPh sb="1" eb="3">
      <t>キュウスイ</t>
    </rPh>
    <rPh sb="3" eb="4">
      <t>ショウ</t>
    </rPh>
    <phoneticPr fontId="8"/>
  </si>
  <si>
    <t>［給水大］</t>
    <rPh sb="1" eb="3">
      <t>キュウスイ</t>
    </rPh>
    <rPh sb="3" eb="4">
      <t>ダイ</t>
    </rPh>
    <phoneticPr fontId="8"/>
  </si>
  <si>
    <t>増圧ポンプ機</t>
    <rPh sb="0" eb="2">
      <t>ゾウアツ</t>
    </rPh>
    <rPh sb="5" eb="6">
      <t>キ</t>
    </rPh>
    <phoneticPr fontId="8"/>
  </si>
  <si>
    <t>［増圧ポンプ］</t>
    <rPh sb="1" eb="3">
      <t>ゾウアツ</t>
    </rPh>
    <phoneticPr fontId="8"/>
  </si>
  <si>
    <t>受水槽</t>
    <rPh sb="0" eb="3">
      <t>ジュスイソウ</t>
    </rPh>
    <phoneticPr fontId="8"/>
  </si>
  <si>
    <t>［受水槽］</t>
    <rPh sb="1" eb="4">
      <t>ジュスイソウ</t>
    </rPh>
    <phoneticPr fontId="8"/>
  </si>
  <si>
    <t>出力</t>
    <rPh sb="0" eb="2">
      <t>シュツリョク</t>
    </rPh>
    <phoneticPr fontId="8"/>
  </si>
  <si>
    <t>口径</t>
    <rPh sb="0" eb="2">
      <t>コウケイ</t>
    </rPh>
    <phoneticPr fontId="8"/>
  </si>
  <si>
    <t>階高</t>
    <rPh sb="0" eb="2">
      <t>カイダカ</t>
    </rPh>
    <phoneticPr fontId="8"/>
  </si>
  <si>
    <t>容量</t>
    <rPh sb="0" eb="2">
      <t>ヨウリョウ</t>
    </rPh>
    <phoneticPr fontId="8"/>
  </si>
  <si>
    <t>出力</t>
    <rPh sb="0" eb="2">
      <t>シュツリョク</t>
    </rPh>
    <phoneticPr fontId="8"/>
  </si>
  <si>
    <t>口径</t>
    <rPh sb="0" eb="2">
      <t>コウケイ</t>
    </rPh>
    <phoneticPr fontId="8"/>
  </si>
  <si>
    <t>排水主管1.2F</t>
    <rPh sb="0" eb="2">
      <t>ハイスイ</t>
    </rPh>
    <rPh sb="2" eb="4">
      <t>シュカン</t>
    </rPh>
    <phoneticPr fontId="8"/>
  </si>
  <si>
    <t>［排水小］</t>
    <rPh sb="1" eb="3">
      <t>ハイスイ</t>
    </rPh>
    <rPh sb="3" eb="4">
      <t>ショウ</t>
    </rPh>
    <phoneticPr fontId="8"/>
  </si>
  <si>
    <t>排水主管その他</t>
    <rPh sb="0" eb="2">
      <t>ハイスイ</t>
    </rPh>
    <rPh sb="2" eb="4">
      <t>シュカン</t>
    </rPh>
    <rPh sb="6" eb="7">
      <t>タ</t>
    </rPh>
    <phoneticPr fontId="8"/>
  </si>
  <si>
    <t>［排水大］</t>
    <rPh sb="1" eb="3">
      <t>ハイスイ</t>
    </rPh>
    <rPh sb="3" eb="4">
      <t>ダイ</t>
    </rPh>
    <phoneticPr fontId="8"/>
  </si>
  <si>
    <t>排水ポンプ機</t>
    <rPh sb="0" eb="2">
      <t>ハイスイ</t>
    </rPh>
    <rPh sb="5" eb="6">
      <t>キ</t>
    </rPh>
    <phoneticPr fontId="8"/>
  </si>
  <si>
    <t>［排水ポンプ］</t>
    <rPh sb="1" eb="3">
      <t>ハイスイ</t>
    </rPh>
    <phoneticPr fontId="8"/>
  </si>
  <si>
    <t>計算値</t>
    <rPh sb="0" eb="3">
      <t>ケイサンチ</t>
    </rPh>
    <phoneticPr fontId="8"/>
  </si>
  <si>
    <t>給水主管</t>
    <rPh sb="0" eb="2">
      <t>キュウスイ</t>
    </rPh>
    <rPh sb="2" eb="4">
      <t>シュカン</t>
    </rPh>
    <phoneticPr fontId="8"/>
  </si>
  <si>
    <t>基</t>
    <rPh sb="0" eb="1">
      <t>モト</t>
    </rPh>
    <phoneticPr fontId="8"/>
  </si>
  <si>
    <t>(基)</t>
    <rPh sb="1" eb="2">
      <t>モトイ</t>
    </rPh>
    <phoneticPr fontId="8"/>
  </si>
  <si>
    <t>増圧
ポンプ機</t>
    <rPh sb="0" eb="2">
      <t>ゾウアツ</t>
    </rPh>
    <rPh sb="6" eb="7">
      <t>キ</t>
    </rPh>
    <phoneticPr fontId="8"/>
  </si>
  <si>
    <t>台</t>
    <rPh sb="0" eb="1">
      <t>ダイ</t>
    </rPh>
    <phoneticPr fontId="8"/>
  </si>
  <si>
    <t>(台)</t>
    <rPh sb="1" eb="2">
      <t>ダイ</t>
    </rPh>
    <phoneticPr fontId="8"/>
  </si>
  <si>
    <t>排水主管</t>
    <rPh sb="0" eb="2">
      <t>ハイスイ</t>
    </rPh>
    <rPh sb="2" eb="4">
      <t>シュカン</t>
    </rPh>
    <phoneticPr fontId="8"/>
  </si>
  <si>
    <t>排水
ポンプ機</t>
    <rPh sb="0" eb="2">
      <t>ハイスイ</t>
    </rPh>
    <rPh sb="6" eb="7">
      <t>キ</t>
    </rPh>
    <phoneticPr fontId="8"/>
  </si>
  <si>
    <t>使用口</t>
    <rPh sb="0" eb="2">
      <t>シヨウ</t>
    </rPh>
    <rPh sb="2" eb="3">
      <t>グチ</t>
    </rPh>
    <phoneticPr fontId="8"/>
  </si>
  <si>
    <t>［使用口］</t>
    <rPh sb="1" eb="3">
      <t>シヨウ</t>
    </rPh>
    <rPh sb="3" eb="4">
      <t>グチ</t>
    </rPh>
    <phoneticPr fontId="8"/>
  </si>
  <si>
    <t>洋式便器</t>
    <rPh sb="0" eb="2">
      <t>ヨウシキ</t>
    </rPh>
    <rPh sb="2" eb="4">
      <t>ベンキ</t>
    </rPh>
    <phoneticPr fontId="8"/>
  </si>
  <si>
    <t>和式便器</t>
    <rPh sb="0" eb="1">
      <t>ワ</t>
    </rPh>
    <rPh sb="1" eb="2">
      <t>シキ</t>
    </rPh>
    <rPh sb="2" eb="4">
      <t>ベンキ</t>
    </rPh>
    <phoneticPr fontId="8"/>
  </si>
  <si>
    <t>小便器</t>
    <rPh sb="0" eb="3">
      <t>ショウベンキ</t>
    </rPh>
    <phoneticPr fontId="8"/>
  </si>
  <si>
    <t>［小便器］</t>
    <rPh sb="1" eb="4">
      <t>ショウベンキ</t>
    </rPh>
    <phoneticPr fontId="8"/>
  </si>
  <si>
    <t>洗面器</t>
    <rPh sb="0" eb="3">
      <t>センメンキ</t>
    </rPh>
    <phoneticPr fontId="8"/>
  </si>
  <si>
    <t>［洗面器］</t>
    <rPh sb="1" eb="4">
      <t>センメンキ</t>
    </rPh>
    <phoneticPr fontId="8"/>
  </si>
  <si>
    <t>［洗濯流し］</t>
    <rPh sb="1" eb="3">
      <t>センタク</t>
    </rPh>
    <rPh sb="3" eb="4">
      <t>ナガ</t>
    </rPh>
    <phoneticPr fontId="8"/>
  </si>
  <si>
    <t>［和便器］</t>
    <rPh sb="1" eb="2">
      <t>ワ</t>
    </rPh>
    <rPh sb="2" eb="4">
      <t>ベンキ</t>
    </rPh>
    <phoneticPr fontId="8"/>
  </si>
  <si>
    <t>［洋便器］</t>
    <rPh sb="1" eb="2">
      <t>ヨウ</t>
    </rPh>
    <rPh sb="2" eb="4">
      <t>ベンキ</t>
    </rPh>
    <phoneticPr fontId="8"/>
  </si>
  <si>
    <t>和式便器</t>
    <rPh sb="0" eb="2">
      <t>ワシキ</t>
    </rPh>
    <rPh sb="2" eb="4">
      <t>ベンキ</t>
    </rPh>
    <phoneticPr fontId="8"/>
  </si>
  <si>
    <t>小便器</t>
    <rPh sb="0" eb="1">
      <t>ショウ</t>
    </rPh>
    <rPh sb="1" eb="3">
      <t>ベンキ</t>
    </rPh>
    <phoneticPr fontId="8"/>
  </si>
  <si>
    <t>ガス主管</t>
    <rPh sb="2" eb="4">
      <t>シュカン</t>
    </rPh>
    <phoneticPr fontId="8"/>
  </si>
  <si>
    <t>洗面化粧台</t>
    <rPh sb="0" eb="5">
      <t>センメンケショウダイ</t>
    </rPh>
    <phoneticPr fontId="8"/>
  </si>
  <si>
    <t>［化粧台］</t>
    <rPh sb="1" eb="4">
      <t>ケショウダイ</t>
    </rPh>
    <phoneticPr fontId="8"/>
  </si>
  <si>
    <t>洗面
化粧台</t>
    <rPh sb="0" eb="2">
      <t>センメン</t>
    </rPh>
    <rPh sb="3" eb="6">
      <t>ケショウダイ</t>
    </rPh>
    <phoneticPr fontId="8"/>
  </si>
  <si>
    <t>間口寸法</t>
    <rPh sb="0" eb="2">
      <t>マグチ</t>
    </rPh>
    <rPh sb="2" eb="4">
      <t>スンポウ</t>
    </rPh>
    <phoneticPr fontId="8"/>
  </si>
  <si>
    <t>-</t>
    <phoneticPr fontId="8"/>
  </si>
  <si>
    <t>換気（集合形式）</t>
    <rPh sb="0" eb="2">
      <t>カンキ</t>
    </rPh>
    <rPh sb="3" eb="5">
      <t>シュウゴウ</t>
    </rPh>
    <rPh sb="5" eb="7">
      <t>ケイシキ</t>
    </rPh>
    <phoneticPr fontId="8"/>
  </si>
  <si>
    <t>［換気集合形式］</t>
    <rPh sb="1" eb="3">
      <t>カンキ</t>
    </rPh>
    <rPh sb="3" eb="5">
      <t>シュウゴウ</t>
    </rPh>
    <rPh sb="5" eb="7">
      <t>ケイシキ</t>
    </rPh>
    <phoneticPr fontId="8"/>
  </si>
  <si>
    <t>給排気ダクト</t>
    <rPh sb="0" eb="1">
      <t>キュウ</t>
    </rPh>
    <rPh sb="1" eb="3">
      <t>ハイキ</t>
    </rPh>
    <phoneticPr fontId="8"/>
  </si>
  <si>
    <t>一方ダクト</t>
    <rPh sb="0" eb="2">
      <t>イッポウ</t>
    </rPh>
    <phoneticPr fontId="8"/>
  </si>
  <si>
    <t>換気扇・口</t>
    <rPh sb="0" eb="3">
      <t>カンキセン</t>
    </rPh>
    <rPh sb="4" eb="5">
      <t>クチ</t>
    </rPh>
    <phoneticPr fontId="8"/>
  </si>
  <si>
    <t>総合評点集合形式</t>
    <rPh sb="0" eb="2">
      <t>ソウゴウ</t>
    </rPh>
    <rPh sb="2" eb="4">
      <t>ヒョウテン</t>
    </rPh>
    <rPh sb="4" eb="6">
      <t>シュウゴウ</t>
    </rPh>
    <rPh sb="6" eb="8">
      <t>ケイシキ</t>
    </rPh>
    <phoneticPr fontId="8"/>
  </si>
  <si>
    <t>戸当たり平均床面積</t>
    <rPh sb="0" eb="1">
      <t>コ</t>
    </rPh>
    <rPh sb="1" eb="2">
      <t>ア</t>
    </rPh>
    <rPh sb="4" eb="6">
      <t>ヘイキン</t>
    </rPh>
    <rPh sb="6" eb="9">
      <t>ユカメンセキ</t>
    </rPh>
    <phoneticPr fontId="8"/>
  </si>
  <si>
    <t>施工量の多少</t>
    <rPh sb="0" eb="2">
      <t>セコウ</t>
    </rPh>
    <rPh sb="2" eb="3">
      <t>リョウ</t>
    </rPh>
    <rPh sb="4" eb="6">
      <t>タショウ</t>
    </rPh>
    <phoneticPr fontId="8"/>
  </si>
  <si>
    <t>程度</t>
    <rPh sb="0" eb="2">
      <t>テイド</t>
    </rPh>
    <phoneticPr fontId="8"/>
  </si>
  <si>
    <t>多い</t>
    <rPh sb="0" eb="1">
      <t>オオ</t>
    </rPh>
    <phoneticPr fontId="8"/>
  </si>
  <si>
    <t>普通</t>
    <rPh sb="0" eb="2">
      <t>フツウ</t>
    </rPh>
    <phoneticPr fontId="8"/>
  </si>
  <si>
    <t>少ない</t>
    <rPh sb="0" eb="1">
      <t>スク</t>
    </rPh>
    <phoneticPr fontId="8"/>
  </si>
  <si>
    <t>良い</t>
    <rPh sb="0" eb="1">
      <t>ヨ</t>
    </rPh>
    <phoneticPr fontId="8"/>
  </si>
  <si>
    <t>悪い</t>
    <rPh sb="0" eb="1">
      <t>ワル</t>
    </rPh>
    <phoneticPr fontId="8"/>
  </si>
  <si>
    <t>総合評点集合形式1・２F</t>
    <rPh sb="0" eb="2">
      <t>ソウゴウ</t>
    </rPh>
    <rPh sb="2" eb="4">
      <t>ヒョウテン</t>
    </rPh>
    <rPh sb="4" eb="6">
      <t>シュウゴウ</t>
    </rPh>
    <rPh sb="6" eb="8">
      <t>ケイシキ</t>
    </rPh>
    <phoneticPr fontId="8"/>
  </si>
  <si>
    <t>ガスの有無</t>
    <rPh sb="3" eb="5">
      <t>ウム</t>
    </rPh>
    <phoneticPr fontId="8"/>
  </si>
  <si>
    <t>－</t>
    <phoneticPr fontId="8"/>
  </si>
  <si>
    <t>-</t>
    <phoneticPr fontId="8"/>
  </si>
  <si>
    <t>あり</t>
    <phoneticPr fontId="8"/>
  </si>
  <si>
    <t>なし</t>
    <phoneticPr fontId="8"/>
  </si>
  <si>
    <t>［総合集合大］</t>
    <rPh sb="1" eb="3">
      <t>ソウゴウ</t>
    </rPh>
    <rPh sb="3" eb="5">
      <t>シュウゴウ</t>
    </rPh>
    <rPh sb="5" eb="6">
      <t>ダイ</t>
    </rPh>
    <phoneticPr fontId="8"/>
  </si>
  <si>
    <t>［総合集合小］</t>
    <rPh sb="1" eb="3">
      <t>ソウゴウ</t>
    </rPh>
    <rPh sb="3" eb="5">
      <t>シュウゴウ</t>
    </rPh>
    <rPh sb="5" eb="6">
      <t>ショウ</t>
    </rPh>
    <phoneticPr fontId="8"/>
  </si>
  <si>
    <t>戸当たり
平均床面積</t>
    <rPh sb="0" eb="1">
      <t>ト</t>
    </rPh>
    <rPh sb="1" eb="2">
      <t>ア</t>
    </rPh>
    <rPh sb="5" eb="7">
      <t>ヘイキン</t>
    </rPh>
    <rPh sb="7" eb="10">
      <t>ユカメンセキ</t>
    </rPh>
    <phoneticPr fontId="8"/>
  </si>
  <si>
    <t>施工量の
多少</t>
    <rPh sb="0" eb="3">
      <t>セコウリョウ</t>
    </rPh>
    <rPh sb="5" eb="7">
      <t>タショウ</t>
    </rPh>
    <phoneticPr fontId="8"/>
  </si>
  <si>
    <t>ガスの有無</t>
    <rPh sb="3" eb="5">
      <t>ウム</t>
    </rPh>
    <phoneticPr fontId="8"/>
  </si>
  <si>
    <t>平均床面積</t>
    <rPh sb="0" eb="5">
      <t>ヘイキンユカメンセキ</t>
    </rPh>
    <phoneticPr fontId="8"/>
  </si>
  <si>
    <t>［流し台］</t>
    <rPh sb="1" eb="2">
      <t>ナガ</t>
    </rPh>
    <rPh sb="3" eb="4">
      <t>ダイ</t>
    </rPh>
    <phoneticPr fontId="8"/>
  </si>
  <si>
    <t>流し台（SUS）</t>
    <rPh sb="0" eb="1">
      <t>ナガ</t>
    </rPh>
    <rPh sb="2" eb="3">
      <t>ダイ</t>
    </rPh>
    <phoneticPr fontId="8"/>
  </si>
  <si>
    <t>流し台・程度</t>
    <rPh sb="0" eb="1">
      <t>ナガ</t>
    </rPh>
    <rPh sb="2" eb="3">
      <t>ダイ</t>
    </rPh>
    <rPh sb="4" eb="6">
      <t>テイド</t>
    </rPh>
    <phoneticPr fontId="8"/>
  </si>
  <si>
    <t>流し台
（SUS）</t>
    <rPh sb="0" eb="1">
      <t>ナガ</t>
    </rPh>
    <rPh sb="2" eb="3">
      <t>ダイ</t>
    </rPh>
    <phoneticPr fontId="8"/>
  </si>
  <si>
    <t>耐火被覆</t>
    <rPh sb="0" eb="2">
      <t>タイカ</t>
    </rPh>
    <rPh sb="2" eb="4">
      <t>ヒフク</t>
    </rPh>
    <phoneticPr fontId="17"/>
  </si>
  <si>
    <t>個別評点数</t>
    <rPh sb="0" eb="2">
      <t>コベツ</t>
    </rPh>
    <rPh sb="2" eb="4">
      <t>ヒョウテン</t>
    </rPh>
    <rPh sb="4" eb="5">
      <t>スウ</t>
    </rPh>
    <phoneticPr fontId="20"/>
  </si>
  <si>
    <t>給排気ダクト</t>
    <rPh sb="0" eb="1">
      <t>キュウ</t>
    </rPh>
    <rPh sb="1" eb="3">
      <t>ハイキ</t>
    </rPh>
    <phoneticPr fontId="17"/>
  </si>
  <si>
    <t>一方がダクト</t>
    <rPh sb="0" eb="2">
      <t>イッポウ</t>
    </rPh>
    <phoneticPr fontId="17"/>
  </si>
  <si>
    <t>換気扇のみ</t>
    <rPh sb="0" eb="3">
      <t>カンキセン</t>
    </rPh>
    <phoneticPr fontId="17"/>
  </si>
  <si>
    <t>耐火被覆［吹付・３時間耐火］（㎡）</t>
  </si>
  <si>
    <t>耐火被覆［吹付・２時間耐火］（㎡）</t>
  </si>
  <si>
    <t>耐火被覆［吹付・１時間耐火］（㎡）</t>
  </si>
  <si>
    <t>耐火被覆［巻付・３時間耐火］（㎡）</t>
  </si>
  <si>
    <t>耐火被覆［巻付・２時間耐火］（㎡）</t>
  </si>
  <si>
    <t>耐火被覆［巻付・１時間耐火］（㎡）</t>
  </si>
  <si>
    <t>洗濯流し
汚物流し</t>
    <rPh sb="0" eb="2">
      <t>センタク</t>
    </rPh>
    <rPh sb="2" eb="3">
      <t>ナガ</t>
    </rPh>
    <rPh sb="5" eb="7">
      <t>オブツ</t>
    </rPh>
    <rPh sb="7" eb="8">
      <t>ナガ</t>
    </rPh>
    <phoneticPr fontId="8"/>
  </si>
  <si>
    <t>［住宅用建具総合評点方式ＤＢ］</t>
    <rPh sb="1" eb="4">
      <t>ジュウタクヨウ</t>
    </rPh>
    <rPh sb="4" eb="6">
      <t>タテグ</t>
    </rPh>
    <rPh sb="6" eb="8">
      <t>ソウゴウ</t>
    </rPh>
    <rPh sb="8" eb="10">
      <t>ヒョウテン</t>
    </rPh>
    <rPh sb="10" eb="12">
      <t>ホウシキ</t>
    </rPh>
    <phoneticPr fontId="8"/>
  </si>
  <si>
    <t>住宅用建具総合</t>
    <rPh sb="0" eb="3">
      <t>ジュウタクヨウ</t>
    </rPh>
    <rPh sb="3" eb="5">
      <t>タテグ</t>
    </rPh>
    <rPh sb="5" eb="7">
      <t>ソウゴウ</t>
    </rPh>
    <phoneticPr fontId="8"/>
  </si>
  <si>
    <t>［住宅建具総合］</t>
    <rPh sb="1" eb="3">
      <t>ジュウタク</t>
    </rPh>
    <rPh sb="3" eb="5">
      <t>タテグ</t>
    </rPh>
    <rPh sb="5" eb="7">
      <t>ソウゴウ</t>
    </rPh>
    <phoneticPr fontId="8"/>
  </si>
  <si>
    <t>集合形式　中</t>
    <rPh sb="0" eb="2">
      <t>シュウゴウ</t>
    </rPh>
    <rPh sb="2" eb="4">
      <t>ケイシキ</t>
    </rPh>
    <rPh sb="5" eb="6">
      <t>ナカ</t>
    </rPh>
    <phoneticPr fontId="8"/>
  </si>
  <si>
    <t>良い</t>
    <rPh sb="0" eb="1">
      <t>ヨ</t>
    </rPh>
    <phoneticPr fontId="8"/>
  </si>
  <si>
    <t>普通</t>
    <rPh sb="0" eb="2">
      <t>フツウ</t>
    </rPh>
    <phoneticPr fontId="8"/>
  </si>
  <si>
    <t>悪い</t>
    <rPh sb="0" eb="1">
      <t>ワル</t>
    </rPh>
    <phoneticPr fontId="8"/>
  </si>
  <si>
    <t>戸当たり平均床面積</t>
    <rPh sb="0" eb="1">
      <t>ト</t>
    </rPh>
    <rPh sb="1" eb="2">
      <t>ア</t>
    </rPh>
    <rPh sb="4" eb="6">
      <t>ヘイキン</t>
    </rPh>
    <rPh sb="6" eb="9">
      <t>ユカメンセキ</t>
    </rPh>
    <phoneticPr fontId="8"/>
  </si>
  <si>
    <t>施工量の多少</t>
    <rPh sb="0" eb="3">
      <t>セコウリョウ</t>
    </rPh>
    <rPh sb="4" eb="6">
      <t>タショウ</t>
    </rPh>
    <phoneticPr fontId="8"/>
  </si>
  <si>
    <t>標準</t>
    <rPh sb="0" eb="2">
      <t>ヒョウジュン</t>
    </rPh>
    <phoneticPr fontId="8"/>
  </si>
  <si>
    <t>減点補正率</t>
    <rPh sb="0" eb="2">
      <t>ゲンテン</t>
    </rPh>
    <rPh sb="2" eb="4">
      <t>ホセイ</t>
    </rPh>
    <rPh sb="4" eb="5">
      <t>リツ</t>
    </rPh>
    <phoneticPr fontId="8"/>
  </si>
  <si>
    <t>多い</t>
    <rPh sb="0" eb="1">
      <t>オオ</t>
    </rPh>
    <phoneticPr fontId="8"/>
  </si>
  <si>
    <t>少ない</t>
    <rPh sb="0" eb="1">
      <t>スク</t>
    </rPh>
    <phoneticPr fontId="8"/>
  </si>
  <si>
    <t>普通</t>
    <rPh sb="0" eb="2">
      <t>フツウ</t>
    </rPh>
    <phoneticPr fontId="8"/>
  </si>
  <si>
    <t>施工量の多少</t>
    <rPh sb="0" eb="2">
      <t>セコウ</t>
    </rPh>
    <rPh sb="2" eb="3">
      <t>リョウ</t>
    </rPh>
    <rPh sb="4" eb="6">
      <t>タショウ</t>
    </rPh>
    <phoneticPr fontId="8"/>
  </si>
  <si>
    <t>計算値</t>
    <rPh sb="0" eb="3">
      <t>ケイサンチ</t>
    </rPh>
    <phoneticPr fontId="8"/>
  </si>
  <si>
    <t>施工の程度</t>
    <rPh sb="0" eb="2">
      <t>セコウ</t>
    </rPh>
    <rPh sb="3" eb="5">
      <t>テイド</t>
    </rPh>
    <phoneticPr fontId="8"/>
  </si>
  <si>
    <t>戸当たり平均床面積</t>
    <rPh sb="0" eb="1">
      <t>ト</t>
    </rPh>
    <rPh sb="1" eb="2">
      <t>ア</t>
    </rPh>
    <rPh sb="4" eb="6">
      <t>ヘイキン</t>
    </rPh>
    <rPh sb="6" eb="9">
      <t>ユカメンセキ</t>
    </rPh>
    <phoneticPr fontId="8"/>
  </si>
  <si>
    <t>建具面積計</t>
    <rPh sb="0" eb="2">
      <t>タテグ</t>
    </rPh>
    <rPh sb="2" eb="4">
      <t>メンセキ</t>
    </rPh>
    <rPh sb="4" eb="5">
      <t>ケイ</t>
    </rPh>
    <phoneticPr fontId="8"/>
  </si>
  <si>
    <t>戸当たり
平均床面積</t>
    <rPh sb="0" eb="1">
      <t>ト</t>
    </rPh>
    <rPh sb="1" eb="2">
      <t>ア</t>
    </rPh>
    <rPh sb="5" eb="7">
      <t>ヘイキン</t>
    </rPh>
    <rPh sb="7" eb="10">
      <t>ユカメンセキ</t>
    </rPh>
    <phoneticPr fontId="8"/>
  </si>
  <si>
    <t>補正係数</t>
    <rPh sb="0" eb="2">
      <t>ホセイ</t>
    </rPh>
    <rPh sb="2" eb="4">
      <t>ケイスウ</t>
    </rPh>
    <phoneticPr fontId="8"/>
  </si>
  <si>
    <t>㎡</t>
    <phoneticPr fontId="8"/>
  </si>
  <si>
    <t>標準評点数</t>
    <rPh sb="0" eb="2">
      <t>ヒョウジュン</t>
    </rPh>
    <rPh sb="2" eb="4">
      <t>ヒョウテン</t>
    </rPh>
    <rPh sb="4" eb="5">
      <t>スウ</t>
    </rPh>
    <phoneticPr fontId="8"/>
  </si>
  <si>
    <t>延床面積</t>
    <rPh sb="0" eb="4">
      <t>ノベユカメンセキ</t>
    </rPh>
    <phoneticPr fontId="8"/>
  </si>
  <si>
    <t>部分別評点数</t>
    <rPh sb="0" eb="2">
      <t>ブブン</t>
    </rPh>
    <rPh sb="2" eb="3">
      <t>ベツ</t>
    </rPh>
    <rPh sb="3" eb="5">
      <t>ヒョウテン</t>
    </rPh>
    <rPh sb="5" eb="6">
      <t>スウ</t>
    </rPh>
    <phoneticPr fontId="8"/>
  </si>
  <si>
    <t>型　式</t>
    <rPh sb="0" eb="1">
      <t>カタ</t>
    </rPh>
    <rPh sb="2" eb="3">
      <t>シキ</t>
    </rPh>
    <phoneticPr fontId="8"/>
  </si>
  <si>
    <t>住宅用建具の総合評点方式</t>
    <rPh sb="0" eb="3">
      <t>ジュウタクヨウ</t>
    </rPh>
    <rPh sb="3" eb="5">
      <t>タテグ</t>
    </rPh>
    <rPh sb="6" eb="8">
      <t>ソウゴウ</t>
    </rPh>
    <rPh sb="8" eb="10">
      <t>ヒョウテン</t>
    </rPh>
    <rPh sb="10" eb="12">
      <t>ホウシキ</t>
    </rPh>
    <phoneticPr fontId="8"/>
  </si>
  <si>
    <t>◆　住宅用総合評点　◆</t>
    <rPh sb="2" eb="5">
      <t>ジュウタクヨウ</t>
    </rPh>
    <rPh sb="5" eb="7">
      <t>ソウゴウ</t>
    </rPh>
    <rPh sb="7" eb="9">
      <t>ヒョウテン</t>
    </rPh>
    <phoneticPr fontId="8"/>
  </si>
  <si>
    <t>総合評点方式で算定</t>
    <rPh sb="0" eb="2">
      <t>ソウゴウ</t>
    </rPh>
    <rPh sb="2" eb="4">
      <t>ヒョウテン</t>
    </rPh>
    <rPh sb="4" eb="6">
      <t>ホウシキ</t>
    </rPh>
    <rPh sb="7" eb="9">
      <t>サンテイ</t>
    </rPh>
    <phoneticPr fontId="8"/>
  </si>
  <si>
    <t>●補助票＜間仕切・内壁仕上面積計算書＞</t>
    <rPh sb="1" eb="3">
      <t>ホジョ</t>
    </rPh>
    <rPh sb="3" eb="4">
      <t>ヒョウ</t>
    </rPh>
    <rPh sb="5" eb="8">
      <t>マジキ</t>
    </rPh>
    <rPh sb="9" eb="11">
      <t>ナイヘキ</t>
    </rPh>
    <rPh sb="11" eb="13">
      <t>シア</t>
    </rPh>
    <phoneticPr fontId="17"/>
  </si>
  <si>
    <t>内壁仕上合計面積</t>
    <rPh sb="0" eb="2">
      <t>ナイヘキ</t>
    </rPh>
    <rPh sb="2" eb="4">
      <t>シア</t>
    </rPh>
    <rPh sb="4" eb="6">
      <t>ゴウケイ</t>
    </rPh>
    <rPh sb="6" eb="7">
      <t>メン</t>
    </rPh>
    <rPh sb="7" eb="8">
      <t>セキ</t>
    </rPh>
    <phoneticPr fontId="6"/>
  </si>
  <si>
    <t>240*160</t>
    <phoneticPr fontId="17"/>
  </si>
  <si>
    <t>240cm*160cm</t>
    <phoneticPr fontId="8"/>
  </si>
  <si>
    <t>小規模</t>
    <rPh sb="0" eb="3">
      <t>ショウキボ</t>
    </rPh>
    <phoneticPr fontId="17"/>
  </si>
  <si>
    <t>小規模</t>
    <rPh sb="0" eb="3">
      <t>ショウキボ</t>
    </rPh>
    <phoneticPr fontId="8"/>
  </si>
  <si>
    <t>使用栓
(配管共)</t>
    <rPh sb="2" eb="3">
      <t>セン</t>
    </rPh>
    <phoneticPr fontId="17"/>
  </si>
  <si>
    <t>洗濯流し・汚物流し</t>
    <rPh sb="5" eb="7">
      <t>オブツ</t>
    </rPh>
    <rPh sb="7" eb="8">
      <t>ナガ</t>
    </rPh>
    <phoneticPr fontId="17"/>
  </si>
  <si>
    <t>耐火被覆［成形板・３時間耐火］（㎡）</t>
    <rPh sb="0" eb="2">
      <t>タイカ</t>
    </rPh>
    <rPh sb="2" eb="4">
      <t>ヒフク</t>
    </rPh>
    <rPh sb="5" eb="7">
      <t>セイケイ</t>
    </rPh>
    <rPh sb="7" eb="8">
      <t>イタ</t>
    </rPh>
    <rPh sb="10" eb="12">
      <t>ジカン</t>
    </rPh>
    <rPh sb="12" eb="14">
      <t>タイカ</t>
    </rPh>
    <phoneticPr fontId="20"/>
  </si>
  <si>
    <t>CLTパネル150mm厚</t>
    <rPh sb="11" eb="12">
      <t>アツ</t>
    </rPh>
    <phoneticPr fontId="20"/>
  </si>
  <si>
    <t>監視ｶﾒﾗ
配線</t>
    <rPh sb="0" eb="2">
      <t>カンシ</t>
    </rPh>
    <rPh sb="6" eb="8">
      <t>ハイセン</t>
    </rPh>
    <phoneticPr fontId="8"/>
  </si>
  <si>
    <t>(箇所数)</t>
    <rPh sb="1" eb="3">
      <t>カショ</t>
    </rPh>
    <rPh sb="3" eb="4">
      <t>スウ</t>
    </rPh>
    <phoneticPr fontId="8"/>
  </si>
  <si>
    <t>1･2（減点なし）</t>
    <rPh sb="4" eb="6">
      <t>ゲンテン</t>
    </rPh>
    <phoneticPr fontId="8"/>
  </si>
  <si>
    <t>240cm*160cm</t>
  </si>
  <si>
    <t>160cm*1２0cm</t>
  </si>
  <si>
    <t>洗濯流し・汚物流し</t>
    <rPh sb="0" eb="2">
      <t>センタク</t>
    </rPh>
    <rPh sb="2" eb="3">
      <t>ナガ</t>
    </rPh>
    <rPh sb="5" eb="7">
      <t>オブツ</t>
    </rPh>
    <rPh sb="7" eb="8">
      <t>ナガ</t>
    </rPh>
    <phoneticPr fontId="8"/>
  </si>
  <si>
    <t>※設備の種類（例：動力配線）ごとに「名前の定義（例：動力C6:AY11）」がされています　　※紫字は数式</t>
    <rPh sb="1" eb="3">
      <t>セツビ</t>
    </rPh>
    <rPh sb="4" eb="6">
      <t>シュルイ</t>
    </rPh>
    <rPh sb="7" eb="8">
      <t>レイ</t>
    </rPh>
    <rPh sb="9" eb="11">
      <t>ドウリョク</t>
    </rPh>
    <rPh sb="11" eb="13">
      <t>ハイセン</t>
    </rPh>
    <rPh sb="18" eb="20">
      <t>ナマエ</t>
    </rPh>
    <rPh sb="21" eb="23">
      <t>テイギ</t>
    </rPh>
    <rPh sb="24" eb="25">
      <t>レイ</t>
    </rPh>
    <rPh sb="26" eb="28">
      <t>ドウリョク</t>
    </rPh>
    <rPh sb="47" eb="48">
      <t>ムラサキ</t>
    </rPh>
    <rPh sb="48" eb="49">
      <t>ジ</t>
    </rPh>
    <rPh sb="50" eb="52">
      <t>スウシキ</t>
    </rPh>
    <phoneticPr fontId="8"/>
  </si>
  <si>
    <t>※配置補正は解説(○㎡当たり１個)を１㎡当たり個数に換算。</t>
    <rPh sb="1" eb="3">
      <t>ハイチ</t>
    </rPh>
    <rPh sb="3" eb="5">
      <t>ホセイ</t>
    </rPh>
    <rPh sb="11" eb="12">
      <t>ア</t>
    </rPh>
    <rPh sb="15" eb="16">
      <t>コ</t>
    </rPh>
    <rPh sb="20" eb="21">
      <t>ア</t>
    </rPh>
    <rPh sb="23" eb="25">
      <t>コスウ</t>
    </rPh>
    <phoneticPr fontId="8"/>
  </si>
  <si>
    <t>※器具数補正は解説(○㎡当たり１個)を100㎡当たり個数に換算。</t>
    <rPh sb="1" eb="3">
      <t>キグ</t>
    </rPh>
    <rPh sb="3" eb="4">
      <t>スウ</t>
    </rPh>
    <phoneticPr fontId="8"/>
  </si>
  <si>
    <t>設置有無</t>
    <rPh sb="0" eb="2">
      <t>セッチ</t>
    </rPh>
    <rPh sb="2" eb="4">
      <t>ウム</t>
    </rPh>
    <phoneticPr fontId="8"/>
  </si>
  <si>
    <t>自動制御盤</t>
  </si>
  <si>
    <t>減点補正率１</t>
    <rPh sb="0" eb="2">
      <t>ゲンテン</t>
    </rPh>
    <rPh sb="2" eb="5">
      <t>ホセイリツ</t>
    </rPh>
    <phoneticPr fontId="8"/>
  </si>
  <si>
    <t>減点補正率２</t>
    <rPh sb="0" eb="2">
      <t>ゲンテン</t>
    </rPh>
    <rPh sb="2" eb="4">
      <t>ホセイ</t>
    </rPh>
    <rPh sb="4" eb="5">
      <t>リツ</t>
    </rPh>
    <phoneticPr fontId="8"/>
  </si>
  <si>
    <t>※CATV補正は実務提要より。</t>
    <phoneticPr fontId="8"/>
  </si>
  <si>
    <t>↑計算値</t>
    <rPh sb="1" eb="4">
      <t>ケイサンチ</t>
    </rPh>
    <phoneticPr fontId="8"/>
  </si>
  <si>
    <t>有</t>
    <rPh sb="0" eb="1">
      <t>アリ</t>
    </rPh>
    <phoneticPr fontId="8"/>
  </si>
  <si>
    <t>(延床㎡)</t>
    <rPh sb="1" eb="2">
      <t>ノ</t>
    </rPh>
    <rPh sb="2" eb="3">
      <t>ユカ</t>
    </rPh>
    <phoneticPr fontId="8"/>
  </si>
  <si>
    <t>延床面積</t>
    <rPh sb="0" eb="2">
      <t>ノベユカ</t>
    </rPh>
    <rPh sb="2" eb="4">
      <t>メンセキ</t>
    </rPh>
    <phoneticPr fontId="8"/>
  </si>
  <si>
    <t>減点なし</t>
    <rPh sb="0" eb="2">
      <t>ゲンテン</t>
    </rPh>
    <phoneticPr fontId="8"/>
  </si>
  <si>
    <t>減点なし</t>
    <rPh sb="0" eb="2">
      <t>ゲンテン</t>
    </rPh>
    <phoneticPr fontId="17"/>
  </si>
  <si>
    <r>
      <t xml:space="preserve">給水主管
</t>
    </r>
    <r>
      <rPr>
        <sz val="6"/>
        <rFont val="HG創英角ｺﾞｼｯｸUB"/>
        <family val="3"/>
        <charset val="128"/>
      </rPr>
      <t>（1・2Fのみ）</t>
    </r>
    <rPh sb="0" eb="2">
      <t>キュウスイ</t>
    </rPh>
    <rPh sb="2" eb="4">
      <t>シュカン</t>
    </rPh>
    <phoneticPr fontId="8"/>
  </si>
  <si>
    <r>
      <t xml:space="preserve">排水主管
</t>
    </r>
    <r>
      <rPr>
        <sz val="6"/>
        <rFont val="HG創英角ｺﾞｼｯｸUB"/>
        <family val="3"/>
        <charset val="128"/>
      </rPr>
      <t>（1・2Fのみ）</t>
    </r>
    <rPh sb="0" eb="2">
      <t>ハイスイ</t>
    </rPh>
    <rPh sb="2" eb="4">
      <t>シュカン</t>
    </rPh>
    <phoneticPr fontId="8"/>
  </si>
  <si>
    <r>
      <rPr>
        <sz val="6"/>
        <rFont val="HG創英角ｺﾞｼｯｸUB"/>
        <family val="3"/>
        <charset val="128"/>
      </rPr>
      <t>（集合住宅1・2Fのみ）</t>
    </r>
    <r>
      <rPr>
        <sz val="9"/>
        <rFont val="HG創英角ｺﾞｼｯｸUB"/>
        <family val="3"/>
        <charset val="128"/>
      </rPr>
      <t xml:space="preserve">
総合評点方式
</t>
    </r>
    <r>
      <rPr>
        <sz val="8"/>
        <rFont val="HG創英角ｺﾞｼｯｸUB"/>
        <family val="3"/>
        <charset val="128"/>
      </rPr>
      <t>電灯・ガス・給水・排水</t>
    </r>
    <rPh sb="13" eb="15">
      <t>ソウゴウ</t>
    </rPh>
    <rPh sb="15" eb="17">
      <t>ヒョウテン</t>
    </rPh>
    <rPh sb="17" eb="19">
      <t>ホウシキ</t>
    </rPh>
    <rPh sb="20" eb="22">
      <t>デントウ</t>
    </rPh>
    <rPh sb="26" eb="28">
      <t>キュウスイ</t>
    </rPh>
    <rPh sb="29" eb="31">
      <t>ハイスイ</t>
    </rPh>
    <phoneticPr fontId="8"/>
  </si>
  <si>
    <r>
      <rPr>
        <sz val="6"/>
        <rFont val="HG創英角ｺﾞｼｯｸUB"/>
        <family val="3"/>
        <charset val="128"/>
      </rPr>
      <t>（集合住宅３F以上）</t>
    </r>
    <r>
      <rPr>
        <sz val="9"/>
        <rFont val="HG創英角ｺﾞｼｯｸUB"/>
        <family val="3"/>
        <charset val="128"/>
      </rPr>
      <t xml:space="preserve">
総合評点方式
</t>
    </r>
    <r>
      <rPr>
        <sz val="8"/>
        <rFont val="HG創英角ｺﾞｼｯｸUB"/>
        <family val="3"/>
        <charset val="128"/>
      </rPr>
      <t>電灯・ガス・給水・排水</t>
    </r>
    <rPh sb="7" eb="9">
      <t>イジョウ</t>
    </rPh>
    <rPh sb="11" eb="13">
      <t>ソウゴウ</t>
    </rPh>
    <rPh sb="13" eb="15">
      <t>ヒョウテン</t>
    </rPh>
    <rPh sb="15" eb="17">
      <t>ホウシキ</t>
    </rPh>
    <phoneticPr fontId="8"/>
  </si>
  <si>
    <t>再利用冷房能力</t>
    <rPh sb="0" eb="3">
      <t>サイリヨウ</t>
    </rPh>
    <rPh sb="3" eb="5">
      <t>レイボウ</t>
    </rPh>
    <rPh sb="5" eb="7">
      <t>ノウリョク</t>
    </rPh>
    <phoneticPr fontId="8"/>
  </si>
  <si>
    <t>空調・個別空調・程度</t>
    <rPh sb="0" eb="2">
      <t>クウチョウ</t>
    </rPh>
    <rPh sb="3" eb="5">
      <t>コベツ</t>
    </rPh>
    <rPh sb="5" eb="7">
      <t>クウチョウ</t>
    </rPh>
    <rPh sb="8" eb="10">
      <t>テイド</t>
    </rPh>
    <phoneticPr fontId="8"/>
  </si>
  <si>
    <t>-</t>
    <phoneticPr fontId="8"/>
  </si>
  <si>
    <t>再利用（全部）</t>
  </si>
  <si>
    <t>再利用（全部）</t>
    <rPh sb="0" eb="3">
      <t>サイリヨウ</t>
    </rPh>
    <rPh sb="4" eb="5">
      <t>ゼン</t>
    </rPh>
    <rPh sb="5" eb="6">
      <t>ブ</t>
    </rPh>
    <phoneticPr fontId="8"/>
  </si>
  <si>
    <t>再利用（一部）</t>
  </si>
  <si>
    <t>再利用（一部）</t>
    <rPh sb="0" eb="3">
      <t>サイリヨウ</t>
    </rPh>
    <rPh sb="4" eb="6">
      <t>イチブ</t>
    </rPh>
    <phoneticPr fontId="8"/>
  </si>
  <si>
    <t>再利用（一部）</t>
    <phoneticPr fontId="8"/>
  </si>
  <si>
    <t>シャッター</t>
    <phoneticPr fontId="8"/>
  </si>
  <si>
    <t>RC基礎評点数</t>
    <rPh sb="2" eb="4">
      <t>キソ</t>
    </rPh>
    <rPh sb="4" eb="5">
      <t>ヒョウ</t>
    </rPh>
    <rPh sb="5" eb="7">
      <t>テンスウ</t>
    </rPh>
    <phoneticPr fontId="8"/>
  </si>
  <si>
    <t>動　力</t>
    <rPh sb="0" eb="1">
      <t>ドウ</t>
    </rPh>
    <rPh sb="2" eb="3">
      <t>チカラ</t>
    </rPh>
    <phoneticPr fontId="8"/>
  </si>
  <si>
    <t>使用口</t>
    <rPh sb="0" eb="2">
      <t>シヨウ</t>
    </rPh>
    <rPh sb="2" eb="3">
      <t>クチ</t>
    </rPh>
    <phoneticPr fontId="8"/>
  </si>
  <si>
    <t>呼出表示</t>
    <phoneticPr fontId="8"/>
  </si>
  <si>
    <t>拡声器配線</t>
    <phoneticPr fontId="8"/>
  </si>
  <si>
    <t>給水主管</t>
    <phoneticPr fontId="8"/>
  </si>
  <si>
    <t>増圧ポンプ</t>
    <phoneticPr fontId="8"/>
  </si>
  <si>
    <t>換気設備</t>
    <phoneticPr fontId="8"/>
  </si>
  <si>
    <t>ﾚﾝｼﾞﾌｰﾄﾞ</t>
    <phoneticPr fontId="8"/>
  </si>
  <si>
    <t>火災報知</t>
    <phoneticPr fontId="8"/>
  </si>
  <si>
    <t>規格ＥＶ</t>
    <phoneticPr fontId="8"/>
  </si>
  <si>
    <t>電　灯</t>
    <phoneticPr fontId="8"/>
  </si>
  <si>
    <t>自動車管制</t>
    <phoneticPr fontId="8"/>
  </si>
  <si>
    <t>監視カメラ</t>
    <phoneticPr fontId="8"/>
  </si>
  <si>
    <t>排水主管</t>
    <phoneticPr fontId="8"/>
  </si>
  <si>
    <t>排水ポンプ</t>
    <phoneticPr fontId="8"/>
  </si>
  <si>
    <t>洗面器等</t>
    <phoneticPr fontId="8"/>
  </si>
  <si>
    <t>浴室乾燥機</t>
    <phoneticPr fontId="8"/>
  </si>
  <si>
    <t>ガス主管</t>
    <phoneticPr fontId="8"/>
  </si>
  <si>
    <t>住宅用換気</t>
    <phoneticPr fontId="8"/>
  </si>
  <si>
    <t>機械排煙等</t>
    <phoneticPr fontId="8"/>
  </si>
  <si>
    <t>消火栓</t>
    <phoneticPr fontId="8"/>
  </si>
  <si>
    <t>ﾎｰﾑＥＶ</t>
    <phoneticPr fontId="8"/>
  </si>
  <si>
    <t>電　話</t>
    <phoneticPr fontId="8"/>
  </si>
  <si>
    <t>ﾄﾞｱ/ｲﾝﾀｰﾎﾝ</t>
    <phoneticPr fontId="8"/>
  </si>
  <si>
    <t>Ｔ　Ｖ</t>
    <phoneticPr fontId="8"/>
  </si>
  <si>
    <t>受水槽</t>
    <phoneticPr fontId="8"/>
  </si>
  <si>
    <t>給湯器・管</t>
    <phoneticPr fontId="8"/>
  </si>
  <si>
    <t>住宅用総合</t>
    <phoneticPr fontId="8"/>
  </si>
  <si>
    <t>床暖房</t>
    <phoneticPr fontId="8"/>
  </si>
  <si>
    <t>換気扇</t>
    <phoneticPr fontId="8"/>
  </si>
  <si>
    <t>ﾀﾞﾑｳｪｰﾀ-</t>
    <phoneticPr fontId="8"/>
  </si>
  <si>
    <t>便　器</t>
    <phoneticPr fontId="8"/>
  </si>
  <si>
    <t>UB/US/浴槽</t>
    <rPh sb="6" eb="8">
      <t>ヨクソウ</t>
    </rPh>
    <phoneticPr fontId="8"/>
  </si>
  <si>
    <t>流台/ＳＫ</t>
    <rPh sb="0" eb="1">
      <t>ナガ</t>
    </rPh>
    <rPh sb="1" eb="2">
      <t>ダイ</t>
    </rPh>
    <phoneticPr fontId="8"/>
  </si>
  <si>
    <t>中央方式</t>
    <rPh sb="2" eb="4">
      <t>ホウシキ</t>
    </rPh>
    <phoneticPr fontId="8"/>
  </si>
  <si>
    <t>個別方式</t>
    <rPh sb="2" eb="4">
      <t>ホウシキ</t>
    </rPh>
    <phoneticPr fontId="8"/>
  </si>
  <si>
    <t>繊維強化セメント板スレートボード</t>
    <phoneticPr fontId="20"/>
  </si>
  <si>
    <t>繊維強化セメント板珪酸カルシウム板</t>
    <phoneticPr fontId="20"/>
  </si>
  <si>
    <t>繊維強化セメント板化粧珪酸カルシウム板</t>
    <phoneticPr fontId="20"/>
  </si>
  <si>
    <t>洗濯/汚物</t>
    <rPh sb="0" eb="2">
      <t>センタク</t>
    </rPh>
    <rPh sb="3" eb="5">
      <t>オブツ</t>
    </rPh>
    <phoneticPr fontId="8"/>
  </si>
  <si>
    <t>ﾁｪｯｸ用</t>
    <rPh sb="4" eb="5">
      <t>ヨウ</t>
    </rPh>
    <phoneticPr fontId="8"/>
  </si>
  <si>
    <t>ＴＯＰ</t>
    <phoneticPr fontId="20"/>
  </si>
  <si>
    <t>繊維強化セメント板化粧珪酸カルシウム板</t>
  </si>
  <si>
    <t>塗装亜鉛めっき鋼板波板</t>
  </si>
  <si>
    <t>クロス貼並（下地なし）</t>
    <rPh sb="6" eb="8">
      <t>シタジ</t>
    </rPh>
    <phoneticPr fontId="20"/>
  </si>
  <si>
    <t>設 備 の 設 置 床 面 積</t>
    <rPh sb="0" eb="1">
      <t>セツ</t>
    </rPh>
    <rPh sb="2" eb="3">
      <t>ビ</t>
    </rPh>
    <rPh sb="6" eb="7">
      <t>セツ</t>
    </rPh>
    <rPh sb="8" eb="9">
      <t>チ</t>
    </rPh>
    <rPh sb="10" eb="11">
      <t>ユカ</t>
    </rPh>
    <rPh sb="12" eb="13">
      <t>メン</t>
    </rPh>
    <rPh sb="14" eb="15">
      <t>セキ</t>
    </rPh>
    <phoneticPr fontId="17"/>
  </si>
  <si>
    <t>合計</t>
    <rPh sb="0" eb="2">
      <t>ゴウケイ</t>
    </rPh>
    <phoneticPr fontId="17"/>
  </si>
  <si>
    <t>自動集計</t>
    <rPh sb="0" eb="2">
      <t>ジドウ</t>
    </rPh>
    <rPh sb="2" eb="4">
      <t>シュウケイ</t>
    </rPh>
    <phoneticPr fontId="17"/>
  </si>
  <si>
    <t>建具開口</t>
    <rPh sb="0" eb="2">
      <t>タテグ</t>
    </rPh>
    <rPh sb="2" eb="4">
      <t>カイコウ</t>
    </rPh>
    <phoneticPr fontId="17"/>
  </si>
  <si>
    <t>天高</t>
    <rPh sb="0" eb="2">
      <t>テンダカ</t>
    </rPh>
    <phoneticPr fontId="6"/>
  </si>
  <si>
    <t>戸数</t>
    <rPh sb="0" eb="2">
      <t>コスウ</t>
    </rPh>
    <phoneticPr fontId="6"/>
  </si>
  <si>
    <t>（部屋名等自由入力１）</t>
    <rPh sb="1" eb="3">
      <t>ヘヤ</t>
    </rPh>
    <rPh sb="3" eb="4">
      <t>メイ</t>
    </rPh>
    <rPh sb="4" eb="5">
      <t>ナド</t>
    </rPh>
    <rPh sb="5" eb="7">
      <t>ジユウ</t>
    </rPh>
    <rPh sb="7" eb="9">
      <t>ニュウリョク</t>
    </rPh>
    <phoneticPr fontId="17"/>
  </si>
  <si>
    <t>（部屋名等自由入力２）</t>
    <rPh sb="1" eb="3">
      <t>ヘヤ</t>
    </rPh>
    <rPh sb="3" eb="4">
      <t>メイ</t>
    </rPh>
    <rPh sb="4" eb="5">
      <t>ナド</t>
    </rPh>
    <rPh sb="5" eb="7">
      <t>ジユウ</t>
    </rPh>
    <rPh sb="7" eb="9">
      <t>ニュウリョク</t>
    </rPh>
    <phoneticPr fontId="17"/>
  </si>
  <si>
    <t>（部屋名等自由入力３）</t>
    <rPh sb="1" eb="3">
      <t>ヘヤ</t>
    </rPh>
    <rPh sb="3" eb="4">
      <t>メイ</t>
    </rPh>
    <rPh sb="4" eb="5">
      <t>ナド</t>
    </rPh>
    <rPh sb="5" eb="7">
      <t>ジユウ</t>
    </rPh>
    <rPh sb="7" eb="9">
      <t>ニュウリョク</t>
    </rPh>
    <phoneticPr fontId="17"/>
  </si>
  <si>
    <t>（部屋名等自由入力４）</t>
    <rPh sb="1" eb="3">
      <t>ヘヤ</t>
    </rPh>
    <rPh sb="3" eb="4">
      <t>メイ</t>
    </rPh>
    <rPh sb="4" eb="5">
      <t>ナド</t>
    </rPh>
    <rPh sb="5" eb="7">
      <t>ジユウ</t>
    </rPh>
    <rPh sb="7" eb="9">
      <t>ニュウリョク</t>
    </rPh>
    <phoneticPr fontId="17"/>
  </si>
  <si>
    <t>（部屋名等自由入力５）</t>
    <rPh sb="1" eb="3">
      <t>ヘヤ</t>
    </rPh>
    <rPh sb="3" eb="4">
      <t>メイ</t>
    </rPh>
    <rPh sb="4" eb="5">
      <t>ナド</t>
    </rPh>
    <rPh sb="5" eb="7">
      <t>ジユウ</t>
    </rPh>
    <rPh sb="7" eb="9">
      <t>ニュウリョク</t>
    </rPh>
    <phoneticPr fontId="17"/>
  </si>
  <si>
    <t>（部屋名等自由入力６）</t>
    <rPh sb="1" eb="3">
      <t>ヘヤ</t>
    </rPh>
    <rPh sb="3" eb="4">
      <t>メイ</t>
    </rPh>
    <rPh sb="4" eb="5">
      <t>ナド</t>
    </rPh>
    <rPh sb="5" eb="7">
      <t>ジユウ</t>
    </rPh>
    <rPh sb="7" eb="9">
      <t>ニュウリョク</t>
    </rPh>
    <phoneticPr fontId="17"/>
  </si>
  <si>
    <t>（部屋名等自由入力７）</t>
    <rPh sb="1" eb="3">
      <t>ヘヤ</t>
    </rPh>
    <rPh sb="3" eb="4">
      <t>メイ</t>
    </rPh>
    <rPh sb="4" eb="5">
      <t>ナド</t>
    </rPh>
    <rPh sb="5" eb="7">
      <t>ジユウ</t>
    </rPh>
    <rPh sb="7" eb="9">
      <t>ニュウリョク</t>
    </rPh>
    <phoneticPr fontId="17"/>
  </si>
  <si>
    <t>（部屋名等自由入力８）</t>
    <rPh sb="1" eb="3">
      <t>ヘヤ</t>
    </rPh>
    <rPh sb="3" eb="4">
      <t>メイ</t>
    </rPh>
    <rPh sb="4" eb="5">
      <t>ナド</t>
    </rPh>
    <rPh sb="5" eb="7">
      <t>ジユウ</t>
    </rPh>
    <rPh sb="7" eb="9">
      <t>ニュウリョク</t>
    </rPh>
    <phoneticPr fontId="17"/>
  </si>
  <si>
    <t>ｺﾝﾃﾅ床（軽鉄根太+木質系床並+TC）</t>
    <phoneticPr fontId="8"/>
  </si>
  <si>
    <t>ｺﾝﾃﾅ床（軽鉄根太+木質系床並+合樹並）</t>
    <rPh sb="17" eb="18">
      <t>ゴウ</t>
    </rPh>
    <rPh sb="19" eb="20">
      <t>ナミ</t>
    </rPh>
    <phoneticPr fontId="20"/>
  </si>
  <si>
    <t>床面（FL）から上階の床面（FL）まで（最上階は屋根面まで）の高さ</t>
    <rPh sb="0" eb="2">
      <t>ユカメン</t>
    </rPh>
    <rPh sb="8" eb="10">
      <t>ジョウカイ</t>
    </rPh>
    <rPh sb="11" eb="13">
      <t>ユカメン</t>
    </rPh>
    <rPh sb="20" eb="23">
      <t>サイジョウカイ</t>
    </rPh>
    <rPh sb="24" eb="26">
      <t>ヤネ</t>
    </rPh>
    <rPh sb="26" eb="27">
      <t>メン</t>
    </rPh>
    <rPh sb="31" eb="32">
      <t>タカ</t>
    </rPh>
    <phoneticPr fontId="20"/>
  </si>
  <si>
    <t>地盤面（GL）から軒桁までの高さ</t>
    <rPh sb="0" eb="2">
      <t>ジバン</t>
    </rPh>
    <rPh sb="2" eb="3">
      <t>メン</t>
    </rPh>
    <rPh sb="9" eb="11">
      <t>ノキゲタ</t>
    </rPh>
    <rPh sb="14" eb="15">
      <t>タカ</t>
    </rPh>
    <phoneticPr fontId="20"/>
  </si>
  <si>
    <t>〔内建具〕</t>
    <phoneticPr fontId="17"/>
  </si>
  <si>
    <t>〔外建具〕</t>
    <phoneticPr fontId="17"/>
  </si>
  <si>
    <t>ﾁｪｯｸ用</t>
  </si>
  <si>
    <t>建具ﾘﾝｸ</t>
    <rPh sb="0" eb="2">
      <t>タテグ</t>
    </rPh>
    <phoneticPr fontId="8"/>
  </si>
  <si>
    <t>外壁仕上</t>
    <rPh sb="0" eb="2">
      <t>ガイヘキ</t>
    </rPh>
    <rPh sb="2" eb="4">
      <t>シア</t>
    </rPh>
    <phoneticPr fontId="8"/>
  </si>
  <si>
    <t>外壁仕上
（予備）</t>
    <rPh sb="0" eb="2">
      <t>ガイヘキ</t>
    </rPh>
    <rPh sb="2" eb="4">
      <t>シア</t>
    </rPh>
    <rPh sb="6" eb="8">
      <t>ヨビ</t>
    </rPh>
    <phoneticPr fontId="8"/>
  </si>
  <si>
    <t>石膏ボード間仕切（片面二重PB）</t>
    <rPh sb="0" eb="2">
      <t>セッコウ</t>
    </rPh>
    <rPh sb="5" eb="8">
      <t>マジキリ</t>
    </rPh>
    <rPh sb="9" eb="11">
      <t>カタメン</t>
    </rPh>
    <rPh sb="11" eb="13">
      <t>ニジュウ</t>
    </rPh>
    <phoneticPr fontId="8"/>
  </si>
  <si>
    <t>〔内建具〕</t>
    <rPh sb="1" eb="2">
      <t>ウチ</t>
    </rPh>
    <rPh sb="2" eb="4">
      <t>タテグ</t>
    </rPh>
    <phoneticPr fontId="17"/>
  </si>
  <si>
    <t>建具名称</t>
    <rPh sb="0" eb="2">
      <t>タテグ</t>
    </rPh>
    <rPh sb="2" eb="4">
      <t>メイショウ</t>
    </rPh>
    <phoneticPr fontId="17"/>
  </si>
  <si>
    <t>〔外建具〕</t>
    <rPh sb="1" eb="2">
      <t>ソト</t>
    </rPh>
    <rPh sb="2" eb="4">
      <t>タテグ</t>
    </rPh>
    <phoneticPr fontId="17"/>
  </si>
  <si>
    <t>〔外開口〕</t>
    <rPh sb="1" eb="2">
      <t>ソト</t>
    </rPh>
    <rPh sb="2" eb="4">
      <t>カイコウ</t>
    </rPh>
    <phoneticPr fontId="17"/>
  </si>
  <si>
    <t>〔内開口〕</t>
    <rPh sb="1" eb="2">
      <t>ウチ</t>
    </rPh>
    <rPh sb="2" eb="4">
      <t>カイコウ</t>
    </rPh>
    <phoneticPr fontId="17"/>
  </si>
  <si>
    <t>外開口１</t>
    <rPh sb="0" eb="1">
      <t>ソト</t>
    </rPh>
    <rPh sb="1" eb="3">
      <t>カイコウ</t>
    </rPh>
    <phoneticPr fontId="17"/>
  </si>
  <si>
    <t>外開口２</t>
    <rPh sb="0" eb="1">
      <t>ソト</t>
    </rPh>
    <rPh sb="1" eb="3">
      <t>カイコウ</t>
    </rPh>
    <phoneticPr fontId="17"/>
  </si>
  <si>
    <t>外開口３</t>
    <rPh sb="0" eb="1">
      <t>ソト</t>
    </rPh>
    <rPh sb="1" eb="3">
      <t>カイコウ</t>
    </rPh>
    <phoneticPr fontId="17"/>
  </si>
  <si>
    <t>内開口１</t>
    <rPh sb="0" eb="1">
      <t>ウチ</t>
    </rPh>
    <rPh sb="1" eb="3">
      <t>カイコウ</t>
    </rPh>
    <phoneticPr fontId="17"/>
  </si>
  <si>
    <t>内開口２</t>
    <rPh sb="0" eb="1">
      <t>ウチ</t>
    </rPh>
    <rPh sb="1" eb="3">
      <t>カイコウ</t>
    </rPh>
    <phoneticPr fontId="17"/>
  </si>
  <si>
    <t>内開口３</t>
    <rPh sb="0" eb="1">
      <t>ウチ</t>
    </rPh>
    <rPh sb="1" eb="3">
      <t>カイコウ</t>
    </rPh>
    <phoneticPr fontId="17"/>
  </si>
  <si>
    <t>外建具</t>
    <rPh sb="0" eb="1">
      <t>ソト</t>
    </rPh>
    <rPh sb="1" eb="3">
      <t>タテグ</t>
    </rPh>
    <phoneticPr fontId="17"/>
  </si>
  <si>
    <t>内建具</t>
    <rPh sb="0" eb="1">
      <t>ウチ</t>
    </rPh>
    <rPh sb="1" eb="3">
      <t>タテグ</t>
    </rPh>
    <phoneticPr fontId="17"/>
  </si>
  <si>
    <t>㎡</t>
    <phoneticPr fontId="17"/>
  </si>
  <si>
    <t>1枚当り</t>
    <phoneticPr fontId="17"/>
  </si>
  <si>
    <t>内部合計</t>
    <rPh sb="0" eb="2">
      <t>ナイブ</t>
    </rPh>
    <rPh sb="2" eb="4">
      <t>ゴウケイ</t>
    </rPh>
    <phoneticPr fontId="17"/>
  </si>
  <si>
    <t>外部合計</t>
    <rPh sb="0" eb="2">
      <t>ガイブ</t>
    </rPh>
    <rPh sb="2" eb="4">
      <t>ゴウケイ</t>
    </rPh>
    <phoneticPr fontId="17"/>
  </si>
  <si>
    <t>※自動集計利用の注意点②…例えば自動ドア等、一つの建具名称を複数行に分ける場合は建具名称を統一し（ＡＷＤ１等）、それぞれの行の建具枚数は必ず１枚とすること（両側のFIXを1行にまとめて2枚としない）。</t>
    <rPh sb="1" eb="5">
      <t>ジドウシュウケイ</t>
    </rPh>
    <rPh sb="5" eb="7">
      <t>リヨウ</t>
    </rPh>
    <rPh sb="8" eb="11">
      <t>チュウイテン</t>
    </rPh>
    <rPh sb="13" eb="14">
      <t>タト</t>
    </rPh>
    <rPh sb="16" eb="18">
      <t>ジドウ</t>
    </rPh>
    <rPh sb="20" eb="21">
      <t>ナド</t>
    </rPh>
    <rPh sb="22" eb="23">
      <t>ヒト</t>
    </rPh>
    <rPh sb="25" eb="27">
      <t>タテグ</t>
    </rPh>
    <rPh sb="27" eb="29">
      <t>メイショウ</t>
    </rPh>
    <rPh sb="30" eb="33">
      <t>フクスウギョウ</t>
    </rPh>
    <rPh sb="34" eb="35">
      <t>ワ</t>
    </rPh>
    <rPh sb="37" eb="39">
      <t>バアイ</t>
    </rPh>
    <rPh sb="40" eb="44">
      <t>タテグメイショウ</t>
    </rPh>
    <rPh sb="45" eb="47">
      <t>トウイツ</t>
    </rPh>
    <rPh sb="53" eb="54">
      <t>ナド</t>
    </rPh>
    <rPh sb="61" eb="62">
      <t>ギョウ</t>
    </rPh>
    <rPh sb="63" eb="65">
      <t>タテグ</t>
    </rPh>
    <rPh sb="65" eb="67">
      <t>マイスウ</t>
    </rPh>
    <rPh sb="68" eb="69">
      <t>カナラ</t>
    </rPh>
    <rPh sb="71" eb="72">
      <t>マイ</t>
    </rPh>
    <rPh sb="78" eb="80">
      <t>リョウガワ</t>
    </rPh>
    <rPh sb="86" eb="87">
      <t>ギョウ</t>
    </rPh>
    <rPh sb="93" eb="94">
      <t>マイ</t>
    </rPh>
    <phoneticPr fontId="17"/>
  </si>
  <si>
    <t>※自動集計利用の注意点①…１枚当たり（１名称あたり）の建具開口面積が引用されるため、２枚ある場合は２回入力が必要。</t>
    <rPh sb="1" eb="5">
      <t>ジドウシュウケイ</t>
    </rPh>
    <rPh sb="5" eb="7">
      <t>リヨウ</t>
    </rPh>
    <rPh sb="8" eb="11">
      <t>チュウイテン</t>
    </rPh>
    <rPh sb="14" eb="15">
      <t>マイ</t>
    </rPh>
    <rPh sb="15" eb="16">
      <t>ア</t>
    </rPh>
    <rPh sb="20" eb="22">
      <t>メイショウ</t>
    </rPh>
    <rPh sb="27" eb="29">
      <t>タテグ</t>
    </rPh>
    <rPh sb="29" eb="31">
      <t>カイコウ</t>
    </rPh>
    <rPh sb="31" eb="33">
      <t>メンセキ</t>
    </rPh>
    <rPh sb="34" eb="36">
      <t>インヨウ</t>
    </rPh>
    <rPh sb="43" eb="44">
      <t>マイ</t>
    </rPh>
    <rPh sb="46" eb="48">
      <t>バアイ</t>
    </rPh>
    <rPh sb="50" eb="51">
      <t>カイ</t>
    </rPh>
    <rPh sb="51" eb="53">
      <t>ニュウリョク</t>
    </rPh>
    <rPh sb="54" eb="56">
      <t>ヒツヨウ</t>
    </rPh>
    <phoneticPr fontId="17"/>
  </si>
  <si>
    <t>基礎高</t>
    <rPh sb="0" eb="2">
      <t>キソ</t>
    </rPh>
    <rPh sb="2" eb="3">
      <t>タカ</t>
    </rPh>
    <phoneticPr fontId="20"/>
  </si>
  <si>
    <t>ﾖｺ</t>
    <phoneticPr fontId="17"/>
  </si>
  <si>
    <t>ﾀﾃ</t>
    <phoneticPr fontId="17"/>
  </si>
  <si>
    <t>（参考:明確）</t>
    <rPh sb="1" eb="3">
      <t>サンコウ</t>
    </rPh>
    <rPh sb="4" eb="6">
      <t>メイカク</t>
    </rPh>
    <phoneticPr fontId="20"/>
  </si>
  <si>
    <t>胴縁・母屋控除の要否</t>
    <rPh sb="0" eb="2">
      <t>ドウブチ</t>
    </rPh>
    <rPh sb="3" eb="5">
      <t>モヤ</t>
    </rPh>
    <rPh sb="5" eb="7">
      <t>コウジョ</t>
    </rPh>
    <rPh sb="8" eb="10">
      <t>ヨウヒ</t>
    </rPh>
    <phoneticPr fontId="20"/>
  </si>
  <si>
    <t>戸建形式住宅</t>
    <rPh sb="0" eb="2">
      <t>コダテ</t>
    </rPh>
    <rPh sb="2" eb="4">
      <t>ケイシキ</t>
    </rPh>
    <rPh sb="4" eb="6">
      <t>ジュウタク</t>
    </rPh>
    <phoneticPr fontId="8"/>
  </si>
  <si>
    <t>集合形式住宅</t>
    <rPh sb="0" eb="4">
      <t>シュウゴウケイシキ</t>
    </rPh>
    <rPh sb="4" eb="6">
      <t>ジュウタク</t>
    </rPh>
    <phoneticPr fontId="8"/>
  </si>
  <si>
    <t>事務所・店舗</t>
    <phoneticPr fontId="8"/>
  </si>
  <si>
    <t>工場・倉庫</t>
    <phoneticPr fontId="8"/>
  </si>
  <si>
    <t>事務所・店舗</t>
    <rPh sb="0" eb="3">
      <t>ジムショ</t>
    </rPh>
    <rPh sb="4" eb="6">
      <t>テンポ</t>
    </rPh>
    <phoneticPr fontId="8"/>
  </si>
  <si>
    <t>工場・倉庫</t>
    <rPh sb="0" eb="2">
      <t>コウジョウ</t>
    </rPh>
    <rPh sb="3" eb="5">
      <t>ソウコ</t>
    </rPh>
    <phoneticPr fontId="8"/>
  </si>
  <si>
    <t>鉄筋コンクリート造</t>
    <phoneticPr fontId="20"/>
  </si>
  <si>
    <t>CLTパネル210mm厚</t>
    <rPh sb="11" eb="12">
      <t>アツ</t>
    </rPh>
    <phoneticPr fontId="20"/>
  </si>
  <si>
    <t>木製パネル</t>
    <phoneticPr fontId="20"/>
  </si>
  <si>
    <t>軽量鉄骨造100㎜厚</t>
    <phoneticPr fontId="20"/>
  </si>
  <si>
    <t>軽量鉄骨造65㎜厚</t>
    <phoneticPr fontId="20"/>
  </si>
  <si>
    <t>塗装・吹付　上</t>
    <rPh sb="0" eb="2">
      <t>トソウ</t>
    </rPh>
    <rPh sb="3" eb="5">
      <t>フキツケ</t>
    </rPh>
    <rPh sb="6" eb="7">
      <t>ジョウ</t>
    </rPh>
    <phoneticPr fontId="20"/>
  </si>
  <si>
    <t>塗装・吹付　並</t>
    <rPh sb="0" eb="2">
      <t>トソウ</t>
    </rPh>
    <rPh sb="3" eb="5">
      <t>フキツケ</t>
    </rPh>
    <rPh sb="6" eb="7">
      <t>ナミ</t>
    </rPh>
    <phoneticPr fontId="20"/>
  </si>
  <si>
    <t>乾式二重床</t>
    <rPh sb="0" eb="2">
      <t>カンシキ</t>
    </rPh>
    <phoneticPr fontId="20"/>
  </si>
  <si>
    <t>-</t>
    <phoneticPr fontId="8"/>
  </si>
  <si>
    <t>間口寸法</t>
    <rPh sb="0" eb="4">
      <t>マグチスンポウ</t>
    </rPh>
    <phoneticPr fontId="8"/>
  </si>
  <si>
    <t>流し台・間口寸法</t>
    <rPh sb="0" eb="1">
      <t>ナガ</t>
    </rPh>
    <rPh sb="2" eb="3">
      <t>ダイ</t>
    </rPh>
    <rPh sb="4" eb="8">
      <t>マグチスンポウ</t>
    </rPh>
    <phoneticPr fontId="8"/>
  </si>
  <si>
    <t>※病、工・倉に設定あり、その他基準は、1個いくらのため、そのまま転用</t>
    <rPh sb="1" eb="2">
      <t>ビョウ</t>
    </rPh>
    <rPh sb="3" eb="4">
      <t>コウ</t>
    </rPh>
    <rPh sb="5" eb="6">
      <t>クラ</t>
    </rPh>
    <rPh sb="7" eb="9">
      <t>セッテイ</t>
    </rPh>
    <rPh sb="14" eb="15">
      <t>タ</t>
    </rPh>
    <rPh sb="15" eb="17">
      <t>キジュン</t>
    </rPh>
    <rPh sb="20" eb="21">
      <t>コ</t>
    </rPh>
    <rPh sb="32" eb="34">
      <t>テンヨウ</t>
    </rPh>
    <phoneticPr fontId="8"/>
  </si>
  <si>
    <t>※住、病、工・倉のみ設定あり、その他基準は、1個いくらのため、そのまま転用</t>
    <rPh sb="1" eb="2">
      <t>ジュウ</t>
    </rPh>
    <rPh sb="3" eb="4">
      <t>ビョウ</t>
    </rPh>
    <rPh sb="5" eb="6">
      <t>コウ</t>
    </rPh>
    <rPh sb="7" eb="8">
      <t>クラ</t>
    </rPh>
    <rPh sb="10" eb="12">
      <t>セッテイ</t>
    </rPh>
    <rPh sb="17" eb="18">
      <t>タ</t>
    </rPh>
    <rPh sb="18" eb="20">
      <t>キジュン</t>
    </rPh>
    <rPh sb="23" eb="24">
      <t>コ</t>
    </rPh>
    <rPh sb="35" eb="37">
      <t>テンヨウ</t>
    </rPh>
    <phoneticPr fontId="8"/>
  </si>
  <si>
    <t>※住、病のみ設定あり、その他基準は、1個いくらのため、そのまま転用</t>
    <rPh sb="1" eb="2">
      <t>ジュウ</t>
    </rPh>
    <rPh sb="3" eb="4">
      <t>ビョウ</t>
    </rPh>
    <rPh sb="6" eb="8">
      <t>セッテイ</t>
    </rPh>
    <rPh sb="13" eb="14">
      <t>タ</t>
    </rPh>
    <rPh sb="14" eb="16">
      <t>キジュン</t>
    </rPh>
    <rPh sb="19" eb="20">
      <t>コ</t>
    </rPh>
    <rPh sb="31" eb="33">
      <t>テンヨウ</t>
    </rPh>
    <phoneticPr fontId="8"/>
  </si>
  <si>
    <t>※住のみ設定あり、その他基準は、1個いくらのため、そのまま転用</t>
    <rPh sb="1" eb="2">
      <t>ジュウ</t>
    </rPh>
    <rPh sb="4" eb="6">
      <t>セッテイ</t>
    </rPh>
    <rPh sb="11" eb="12">
      <t>タ</t>
    </rPh>
    <rPh sb="12" eb="14">
      <t>キジュン</t>
    </rPh>
    <rPh sb="17" eb="18">
      <t>コ</t>
    </rPh>
    <rPh sb="29" eb="31">
      <t>テンヨウ</t>
    </rPh>
    <phoneticPr fontId="8"/>
  </si>
  <si>
    <t>※工・倉に設定なし。状況類似の基準がないため転用せず。</t>
    <rPh sb="1" eb="2">
      <t>コウ</t>
    </rPh>
    <rPh sb="3" eb="4">
      <t>クラ</t>
    </rPh>
    <rPh sb="5" eb="7">
      <t>セッテイ</t>
    </rPh>
    <rPh sb="10" eb="12">
      <t>ジョウキョウ</t>
    </rPh>
    <rPh sb="12" eb="14">
      <t>ルイジ</t>
    </rPh>
    <rPh sb="15" eb="17">
      <t>キジュン</t>
    </rPh>
    <rPh sb="22" eb="24">
      <t>テンヨウ</t>
    </rPh>
    <phoneticPr fontId="8"/>
  </si>
  <si>
    <t>※工・倉は設定なし。他用途転用。</t>
    <rPh sb="1" eb="2">
      <t>コウ</t>
    </rPh>
    <rPh sb="3" eb="4">
      <t>クラ</t>
    </rPh>
    <rPh sb="5" eb="7">
      <t>セッテイ</t>
    </rPh>
    <rPh sb="10" eb="11">
      <t>ホカ</t>
    </rPh>
    <rPh sb="11" eb="13">
      <t>ヨウト</t>
    </rPh>
    <rPh sb="13" eb="15">
      <t>テンヨウ</t>
    </rPh>
    <phoneticPr fontId="8"/>
  </si>
  <si>
    <t>※住には設定なし。他基準転用(共同住宅と類似する病・ホより）</t>
    <rPh sb="1" eb="2">
      <t>ジュウ</t>
    </rPh>
    <rPh sb="4" eb="6">
      <t>セッテイ</t>
    </rPh>
    <rPh sb="9" eb="10">
      <t>ホカ</t>
    </rPh>
    <rPh sb="10" eb="12">
      <t>キジュン</t>
    </rPh>
    <rPh sb="12" eb="14">
      <t>テンヨウ</t>
    </rPh>
    <rPh sb="15" eb="17">
      <t>キョウドウ</t>
    </rPh>
    <rPh sb="17" eb="19">
      <t>ジュウタク</t>
    </rPh>
    <rPh sb="20" eb="22">
      <t>ルイジ</t>
    </rPh>
    <rPh sb="24" eb="25">
      <t>ビョウ</t>
    </rPh>
    <phoneticPr fontId="8"/>
  </si>
  <si>
    <t>※基準設定は事・店、病のみ</t>
    <rPh sb="1" eb="3">
      <t>キジュン</t>
    </rPh>
    <rPh sb="3" eb="5">
      <t>セッテイ</t>
    </rPh>
    <rPh sb="6" eb="7">
      <t>ジ</t>
    </rPh>
    <rPh sb="8" eb="9">
      <t>ミセ</t>
    </rPh>
    <rPh sb="10" eb="11">
      <t>ビョウ</t>
    </rPh>
    <phoneticPr fontId="8"/>
  </si>
  <si>
    <t>※事・店から比例計算</t>
    <phoneticPr fontId="8"/>
  </si>
  <si>
    <t>※住の配置補正はH21質疑応答追録問16より</t>
    <rPh sb="1" eb="2">
      <t>ジュウ</t>
    </rPh>
    <rPh sb="3" eb="5">
      <t>ハイチ</t>
    </rPh>
    <rPh sb="5" eb="7">
      <t>ホセイ</t>
    </rPh>
    <rPh sb="11" eb="13">
      <t>シツギ</t>
    </rPh>
    <rPh sb="13" eb="15">
      <t>オウトウ</t>
    </rPh>
    <rPh sb="15" eb="17">
      <t>ツイロク</t>
    </rPh>
    <rPh sb="17" eb="18">
      <t>ト</t>
    </rPh>
    <phoneticPr fontId="8"/>
  </si>
  <si>
    <t>間口寸法</t>
    <rPh sb="0" eb="4">
      <t>マグチスンポウ</t>
    </rPh>
    <phoneticPr fontId="8"/>
  </si>
  <si>
    <t>※住、LGSのみ設定あり、その他の基準は、1個いくらのため、そのまま転用</t>
    <rPh sb="1" eb="2">
      <t>ジュウ</t>
    </rPh>
    <rPh sb="8" eb="10">
      <t>セッテイ</t>
    </rPh>
    <rPh sb="15" eb="16">
      <t>タ</t>
    </rPh>
    <rPh sb="17" eb="19">
      <t>キジュン</t>
    </rPh>
    <rPh sb="22" eb="23">
      <t>コ</t>
    </rPh>
    <rPh sb="34" eb="36">
      <t>テンヨウ</t>
    </rPh>
    <phoneticPr fontId="8"/>
  </si>
  <si>
    <t>※事・店、住、工場に設定あり、その他の基準は、1個いくらのため、そのまま転用</t>
    <rPh sb="1" eb="2">
      <t>ジ</t>
    </rPh>
    <rPh sb="3" eb="4">
      <t>ミセ</t>
    </rPh>
    <rPh sb="5" eb="6">
      <t>ジュウ</t>
    </rPh>
    <rPh sb="7" eb="9">
      <t>コウジョウ</t>
    </rPh>
    <rPh sb="10" eb="12">
      <t>セッテイ</t>
    </rPh>
    <rPh sb="17" eb="18">
      <t>タ</t>
    </rPh>
    <rPh sb="19" eb="21">
      <t>キジュン</t>
    </rPh>
    <rPh sb="24" eb="25">
      <t>コ</t>
    </rPh>
    <rPh sb="36" eb="38">
      <t>テンヨウ</t>
    </rPh>
    <phoneticPr fontId="8"/>
  </si>
  <si>
    <t>住、LGSの事・店のみ設定あり、その他の基準は、1個いくらのため、そのまま転用</t>
    <rPh sb="0" eb="1">
      <t>ジュウ</t>
    </rPh>
    <rPh sb="6" eb="7">
      <t>ジ</t>
    </rPh>
    <rPh sb="8" eb="9">
      <t>テン</t>
    </rPh>
    <rPh sb="11" eb="13">
      <t>セッテイ</t>
    </rPh>
    <rPh sb="18" eb="19">
      <t>タ</t>
    </rPh>
    <rPh sb="20" eb="22">
      <t>キジュン</t>
    </rPh>
    <rPh sb="25" eb="26">
      <t>コ</t>
    </rPh>
    <rPh sb="37" eb="39">
      <t>テンヨウ</t>
    </rPh>
    <phoneticPr fontId="8"/>
  </si>
  <si>
    <t>※非木戸建、LGSの事・店、LGS戸建、LGS集合、木造に設定あり、その他基準は、1個いくらのため、そのまま転用</t>
    <rPh sb="1" eb="2">
      <t>ヒ</t>
    </rPh>
    <rPh sb="2" eb="3">
      <t>モク</t>
    </rPh>
    <rPh sb="3" eb="5">
      <t>コダテ</t>
    </rPh>
    <rPh sb="10" eb="11">
      <t>ジ</t>
    </rPh>
    <rPh sb="12" eb="13">
      <t>テン</t>
    </rPh>
    <rPh sb="17" eb="19">
      <t>コダテ</t>
    </rPh>
    <rPh sb="23" eb="25">
      <t>シュウゴウ</t>
    </rPh>
    <rPh sb="26" eb="28">
      <t>モクゾウ</t>
    </rPh>
    <rPh sb="29" eb="31">
      <t>セッテイ</t>
    </rPh>
    <rPh sb="36" eb="37">
      <t>タ</t>
    </rPh>
    <rPh sb="37" eb="39">
      <t>キジュン</t>
    </rPh>
    <rPh sb="42" eb="43">
      <t>コ</t>
    </rPh>
    <rPh sb="54" eb="56">
      <t>テンヨウ</t>
    </rPh>
    <phoneticPr fontId="8"/>
  </si>
  <si>
    <t>※工・倉には設定なし。他基準がすべて同点数で、対象範囲を計算単位としているので、そのまま転用</t>
    <rPh sb="1" eb="2">
      <t>コウ</t>
    </rPh>
    <rPh sb="3" eb="4">
      <t>ソウ</t>
    </rPh>
    <rPh sb="6" eb="8">
      <t>セッテイ</t>
    </rPh>
    <rPh sb="11" eb="12">
      <t>ホカ</t>
    </rPh>
    <rPh sb="12" eb="14">
      <t>キジュン</t>
    </rPh>
    <rPh sb="18" eb="19">
      <t>ドウ</t>
    </rPh>
    <rPh sb="19" eb="21">
      <t>テンスウ</t>
    </rPh>
    <rPh sb="23" eb="25">
      <t>タイショウ</t>
    </rPh>
    <rPh sb="25" eb="27">
      <t>ハンイ</t>
    </rPh>
    <rPh sb="28" eb="30">
      <t>ケイサン</t>
    </rPh>
    <rPh sb="30" eb="32">
      <t>タンイ</t>
    </rPh>
    <rPh sb="44" eb="46">
      <t>テンヨウ</t>
    </rPh>
    <phoneticPr fontId="8"/>
  </si>
  <si>
    <t>※事・店、病のみ設定あり。設備数での評価のためそのまま転用</t>
    <rPh sb="1" eb="2">
      <t>ジ</t>
    </rPh>
    <rPh sb="3" eb="4">
      <t>テン</t>
    </rPh>
    <rPh sb="5" eb="6">
      <t>ビョウ</t>
    </rPh>
    <rPh sb="8" eb="10">
      <t>セッテイ</t>
    </rPh>
    <rPh sb="13" eb="15">
      <t>セツビ</t>
    </rPh>
    <rPh sb="15" eb="16">
      <t>スウ</t>
    </rPh>
    <rPh sb="18" eb="20">
      <t>ヒョウカ</t>
    </rPh>
    <rPh sb="27" eb="29">
      <t>テンヨウ</t>
    </rPh>
    <phoneticPr fontId="8"/>
  </si>
  <si>
    <t>※工・倉には設定なし。1基当たりのため、そのまま転用</t>
    <rPh sb="1" eb="2">
      <t>コウ</t>
    </rPh>
    <rPh sb="3" eb="4">
      <t>ソウ</t>
    </rPh>
    <rPh sb="6" eb="8">
      <t>セッテイ</t>
    </rPh>
    <rPh sb="12" eb="13">
      <t>キ</t>
    </rPh>
    <rPh sb="13" eb="14">
      <t>ア</t>
    </rPh>
    <rPh sb="24" eb="26">
      <t>テンヨウ</t>
    </rPh>
    <phoneticPr fontId="8"/>
  </si>
  <si>
    <t>※病のみ設定あり、その他の基準は、1個いくらのため、そのまま転用</t>
    <rPh sb="1" eb="2">
      <t>ビョウ</t>
    </rPh>
    <rPh sb="3" eb="5">
      <t>セッテイ</t>
    </rPh>
    <rPh sb="10" eb="11">
      <t>タ</t>
    </rPh>
    <rPh sb="12" eb="14">
      <t>キジュン</t>
    </rPh>
    <rPh sb="17" eb="18">
      <t>コ</t>
    </rPh>
    <rPh sb="29" eb="31">
      <t>テンヨウ</t>
    </rPh>
    <phoneticPr fontId="8"/>
  </si>
  <si>
    <t>※事・店のみ設定あり、その他の基準は、1個いくらのため、そのまま転用</t>
    <rPh sb="1" eb="2">
      <t>ジ</t>
    </rPh>
    <rPh sb="3" eb="4">
      <t>ミセ</t>
    </rPh>
    <rPh sb="6" eb="8">
      <t>セッテイ</t>
    </rPh>
    <rPh sb="13" eb="14">
      <t>タ</t>
    </rPh>
    <rPh sb="15" eb="17">
      <t>キジュン</t>
    </rPh>
    <rPh sb="20" eb="21">
      <t>コ</t>
    </rPh>
    <rPh sb="32" eb="34">
      <t>テンヨウ</t>
    </rPh>
    <phoneticPr fontId="8"/>
  </si>
  <si>
    <t>※事・店、病のみ設定あり、その他の基準は、1個いくらのため、そのまま転用</t>
    <rPh sb="1" eb="2">
      <t>ジ</t>
    </rPh>
    <rPh sb="3" eb="4">
      <t>ミセ</t>
    </rPh>
    <rPh sb="5" eb="6">
      <t>ビョウ</t>
    </rPh>
    <rPh sb="8" eb="10">
      <t>セッテイ</t>
    </rPh>
    <rPh sb="15" eb="16">
      <t>タ</t>
    </rPh>
    <rPh sb="17" eb="19">
      <t>キジュン</t>
    </rPh>
    <rPh sb="22" eb="23">
      <t>コ</t>
    </rPh>
    <rPh sb="34" eb="36">
      <t>テンヨウ</t>
    </rPh>
    <phoneticPr fontId="8"/>
  </si>
  <si>
    <t>地階</t>
    <rPh sb="0" eb="2">
      <t>チカイ</t>
    </rPh>
    <phoneticPr fontId="8"/>
  </si>
  <si>
    <t>なし(事・店で評価）</t>
    <rPh sb="3" eb="4">
      <t>ジ</t>
    </rPh>
    <rPh sb="5" eb="6">
      <t>ミセ</t>
    </rPh>
    <rPh sb="7" eb="9">
      <t>ヒョウカ</t>
    </rPh>
    <phoneticPr fontId="8"/>
  </si>
  <si>
    <t>なし(事・店で評価）</t>
    <phoneticPr fontId="20"/>
  </si>
  <si>
    <t>施工程度</t>
    <rPh sb="0" eb="4">
      <t>セコウテイド</t>
    </rPh>
    <phoneticPr fontId="8"/>
  </si>
  <si>
    <t>普通(ｼｬﾜｰ無)</t>
    <phoneticPr fontId="17"/>
  </si>
  <si>
    <t>間口寸法(cm)</t>
    <rPh sb="0" eb="4">
      <t>マグチスンポウ</t>
    </rPh>
    <phoneticPr fontId="17"/>
  </si>
  <si>
    <t>戸建形式住宅　鉄骨</t>
    <rPh sb="0" eb="2">
      <t>コダテ</t>
    </rPh>
    <rPh sb="2" eb="4">
      <t>ケイシキ</t>
    </rPh>
    <rPh sb="4" eb="6">
      <t>ジュウタク</t>
    </rPh>
    <phoneticPr fontId="8"/>
  </si>
  <si>
    <t>集合形式住宅　鉄骨</t>
    <rPh sb="0" eb="4">
      <t>シュウゴウケイシキ</t>
    </rPh>
    <rPh sb="4" eb="6">
      <t>ジュウタク</t>
    </rPh>
    <phoneticPr fontId="8"/>
  </si>
  <si>
    <t>事務所・店舗　鉄骨</t>
    <phoneticPr fontId="8"/>
  </si>
  <si>
    <t>工場・倉庫　鉄骨</t>
    <phoneticPr fontId="8"/>
  </si>
  <si>
    <t>戸建形式住宅　鉄筋</t>
    <rPh sb="0" eb="2">
      <t>コダテ</t>
    </rPh>
    <rPh sb="2" eb="4">
      <t>ケイシキ</t>
    </rPh>
    <rPh sb="4" eb="6">
      <t>ジュウタク</t>
    </rPh>
    <phoneticPr fontId="8"/>
  </si>
  <si>
    <t>集合形式住宅　鉄筋</t>
    <rPh sb="0" eb="4">
      <t>シュウゴウケイシキ</t>
    </rPh>
    <rPh sb="4" eb="6">
      <t>ジュウタク</t>
    </rPh>
    <phoneticPr fontId="8"/>
  </si>
  <si>
    <t>事務所・店舗　鉄筋</t>
    <phoneticPr fontId="8"/>
  </si>
  <si>
    <t>工場・倉庫　鉄筋</t>
    <phoneticPr fontId="8"/>
  </si>
  <si>
    <t>仮設工事・規模補正</t>
    <rPh sb="0" eb="4">
      <t>カセツコウジ</t>
    </rPh>
    <rPh sb="5" eb="7">
      <t>キボ</t>
    </rPh>
    <rPh sb="7" eb="9">
      <t>ホセイ</t>
    </rPh>
    <phoneticPr fontId="16"/>
  </si>
  <si>
    <t>［仮設工事］</t>
    <rPh sb="1" eb="3">
      <t>カセツ</t>
    </rPh>
    <rPh sb="3" eb="5">
      <t>コウジ</t>
    </rPh>
    <phoneticPr fontId="16"/>
  </si>
  <si>
    <t>規　　模</t>
    <rPh sb="0" eb="1">
      <t>キ</t>
    </rPh>
    <rPh sb="3" eb="4">
      <t>ボ</t>
    </rPh>
    <phoneticPr fontId="8"/>
  </si>
  <si>
    <t>集合形式住宅</t>
    <rPh sb="0" eb="2">
      <t>シュウゴウ</t>
    </rPh>
    <rPh sb="2" eb="4">
      <t>ケイシキ</t>
    </rPh>
    <rPh sb="4" eb="6">
      <t>ジュウタク</t>
    </rPh>
    <phoneticPr fontId="8"/>
  </si>
  <si>
    <t>戸建形式　上</t>
    <rPh sb="0" eb="2">
      <t>コダテ</t>
    </rPh>
    <rPh sb="1" eb="2">
      <t>ダ</t>
    </rPh>
    <rPh sb="2" eb="4">
      <t>ケイシキ</t>
    </rPh>
    <rPh sb="5" eb="6">
      <t>ジョウ</t>
    </rPh>
    <phoneticPr fontId="8"/>
  </si>
  <si>
    <t>戸建形式　中</t>
    <rPh sb="0" eb="2">
      <t>コダテ</t>
    </rPh>
    <rPh sb="1" eb="2">
      <t>ダ</t>
    </rPh>
    <rPh sb="2" eb="4">
      <t>ケイシキ</t>
    </rPh>
    <rPh sb="5" eb="6">
      <t>ナカ</t>
    </rPh>
    <phoneticPr fontId="8"/>
  </si>
  <si>
    <t>×</t>
    <phoneticPr fontId="8"/>
  </si>
  <si>
    <t>-</t>
    <phoneticPr fontId="8"/>
  </si>
  <si>
    <t>（集合住宅のみ使用）</t>
    <rPh sb="1" eb="3">
      <t>シュウゴウ</t>
    </rPh>
    <rPh sb="3" eb="5">
      <t>ジュウタク</t>
    </rPh>
    <rPh sb="7" eb="9">
      <t>シヨウ</t>
    </rPh>
    <phoneticPr fontId="8"/>
  </si>
  <si>
    <t>（集合住宅のみ使用）</t>
    <rPh sb="1" eb="3">
      <t>シュウゴウ</t>
    </rPh>
    <phoneticPr fontId="8"/>
  </si>
  <si>
    <t>-</t>
    <phoneticPr fontId="8"/>
  </si>
  <si>
    <t>×</t>
    <phoneticPr fontId="8"/>
  </si>
  <si>
    <t>-</t>
    <phoneticPr fontId="8"/>
  </si>
  <si>
    <t>戸建形式住宅　軽量</t>
    <rPh sb="0" eb="2">
      <t>コダテ</t>
    </rPh>
    <rPh sb="2" eb="4">
      <t>ケイシキ</t>
    </rPh>
    <rPh sb="4" eb="6">
      <t>ジュウタク</t>
    </rPh>
    <phoneticPr fontId="8"/>
  </si>
  <si>
    <t>集合形式住宅　軽量</t>
    <rPh sb="0" eb="4">
      <t>シュウゴウケイシキ</t>
    </rPh>
    <rPh sb="4" eb="6">
      <t>ジュウタク</t>
    </rPh>
    <phoneticPr fontId="8"/>
  </si>
  <si>
    <t>事務所・店舗　軽量</t>
    <phoneticPr fontId="8"/>
  </si>
  <si>
    <t>工場・倉庫　軽量</t>
    <phoneticPr fontId="8"/>
  </si>
  <si>
    <t>不能</t>
    <rPh sb="0" eb="2">
      <t>フノウ</t>
    </rPh>
    <phoneticPr fontId="8"/>
  </si>
  <si>
    <t>不能</t>
    <phoneticPr fontId="8"/>
  </si>
  <si>
    <t>用途別評点表</t>
    <rPh sb="0" eb="3">
      <t>ヨウトベツ</t>
    </rPh>
    <rPh sb="3" eb="6">
      <t>ヒョウテンヒョウ</t>
    </rPh>
    <phoneticPr fontId="20"/>
  </si>
  <si>
    <t>戸建形式</t>
    <rPh sb="0" eb="2">
      <t>コダテ</t>
    </rPh>
    <rPh sb="2" eb="4">
      <t>ケイシキ</t>
    </rPh>
    <phoneticPr fontId="17"/>
  </si>
  <si>
    <t>集合形式</t>
    <rPh sb="0" eb="2">
      <t>シュウゴウ</t>
    </rPh>
    <rPh sb="2" eb="4">
      <t>ケイシキ</t>
    </rPh>
    <phoneticPr fontId="17"/>
  </si>
  <si>
    <t>住宅用・戸建形式</t>
    <rPh sb="0" eb="3">
      <t>ジュウタクヨウ</t>
    </rPh>
    <rPh sb="4" eb="6">
      <t>コダテ</t>
    </rPh>
    <rPh sb="5" eb="6">
      <t>ダ</t>
    </rPh>
    <phoneticPr fontId="17"/>
  </si>
  <si>
    <t>住宅用・集合形式</t>
    <rPh sb="0" eb="3">
      <t>ジュウタクヨウ</t>
    </rPh>
    <rPh sb="4" eb="6">
      <t>シュウゴウ</t>
    </rPh>
    <phoneticPr fontId="17"/>
  </si>
  <si>
    <t>普通(ｼｬﾜｰ無)</t>
    <rPh sb="0" eb="2">
      <t>フツウ</t>
    </rPh>
    <rPh sb="7" eb="8">
      <t>ナシ</t>
    </rPh>
    <phoneticPr fontId="8"/>
  </si>
  <si>
    <t>普通(ｼｬﾜｰ有)</t>
    <phoneticPr fontId="17"/>
  </si>
  <si>
    <t>普通(ｼｬﾜｰ有)</t>
    <rPh sb="0" eb="2">
      <t>フツウ</t>
    </rPh>
    <rPh sb="7" eb="8">
      <t>ユウ</t>
    </rPh>
    <phoneticPr fontId="8"/>
  </si>
  <si>
    <t>-</t>
    <phoneticPr fontId="8"/>
  </si>
  <si>
    <t>B4F</t>
    <phoneticPr fontId="8"/>
  </si>
  <si>
    <t>B3F</t>
    <phoneticPr fontId="8"/>
  </si>
  <si>
    <t>B2F</t>
    <phoneticPr fontId="8"/>
  </si>
  <si>
    <t>-</t>
    <phoneticPr fontId="8"/>
  </si>
  <si>
    <t>総合評点方式（戸建形式・中）</t>
    <phoneticPr fontId="20"/>
  </si>
  <si>
    <t>総合評点方式（集合形式・RC造）</t>
    <rPh sb="7" eb="9">
      <t>シュウゴウ</t>
    </rPh>
    <rPh sb="14" eb="15">
      <t>ゾウ</t>
    </rPh>
    <phoneticPr fontId="20"/>
  </si>
  <si>
    <t>総合評点方式（集合形式・S造）</t>
    <phoneticPr fontId="20"/>
  </si>
  <si>
    <t>総合評点方式（集合形式・RC造・乾式二重床下地）</t>
    <rPh sb="7" eb="9">
      <t>シュウゴウ</t>
    </rPh>
    <rPh sb="14" eb="15">
      <t>ゾウ</t>
    </rPh>
    <rPh sb="16" eb="21">
      <t>カンシキニジュウユカ</t>
    </rPh>
    <rPh sb="21" eb="23">
      <t>シタジ</t>
    </rPh>
    <phoneticPr fontId="20"/>
  </si>
  <si>
    <t>総合評点方式（集合形式・RC造・直仕上下地）</t>
    <rPh sb="7" eb="9">
      <t>シュウゴウ</t>
    </rPh>
    <rPh sb="14" eb="15">
      <t>ゾウ</t>
    </rPh>
    <rPh sb="16" eb="19">
      <t>ジカシアゲ</t>
    </rPh>
    <rPh sb="19" eb="21">
      <t>シタジ</t>
    </rPh>
    <phoneticPr fontId="20"/>
  </si>
  <si>
    <t>総合評点方式（集合形式・S造・乾式二重床下地）</t>
    <phoneticPr fontId="20"/>
  </si>
  <si>
    <t>総合評点方式（集合形式・S造・直仕上下地）</t>
    <phoneticPr fontId="20"/>
  </si>
  <si>
    <t>―</t>
    <phoneticPr fontId="20"/>
  </si>
  <si>
    <t>―</t>
    <phoneticPr fontId="20"/>
  </si>
  <si>
    <t>病院・ホテル　鉄骨</t>
    <phoneticPr fontId="8"/>
  </si>
  <si>
    <t>病院・ホテル　鉄筋</t>
    <phoneticPr fontId="8"/>
  </si>
  <si>
    <t>病院・ホテル</t>
    <phoneticPr fontId="8"/>
  </si>
  <si>
    <t>病院・ホテル</t>
    <rPh sb="0" eb="2">
      <t>ビョウイン</t>
    </rPh>
    <phoneticPr fontId="8"/>
  </si>
  <si>
    <t>なし(別調書で評価）</t>
    <phoneticPr fontId="20"/>
  </si>
  <si>
    <t>構造部／主体構造部／明確</t>
    <rPh sb="0" eb="3">
      <t>コウゾウブ</t>
    </rPh>
    <phoneticPr fontId="20"/>
  </si>
  <si>
    <t>構造部／主体構造部／不明確</t>
    <phoneticPr fontId="20"/>
  </si>
  <si>
    <t>構造部／主体構造部／加算</t>
    <rPh sb="10" eb="12">
      <t>カサン</t>
    </rPh>
    <phoneticPr fontId="20"/>
  </si>
  <si>
    <t>構造部／基礎工事</t>
    <rPh sb="4" eb="5">
      <t>モト</t>
    </rPh>
    <rPh sb="5" eb="6">
      <t>イシズエ</t>
    </rPh>
    <rPh sb="6" eb="7">
      <t>コウ</t>
    </rPh>
    <rPh sb="7" eb="8">
      <t>コト</t>
    </rPh>
    <phoneticPr fontId="8"/>
  </si>
  <si>
    <t>構造部／主体構造部／屋根構造</t>
    <rPh sb="4" eb="6">
      <t>シュタイ</t>
    </rPh>
    <rPh sb="10" eb="11">
      <t>ヤ</t>
    </rPh>
    <rPh sb="11" eb="12">
      <t>ネ</t>
    </rPh>
    <phoneticPr fontId="8"/>
  </si>
  <si>
    <t>構造部／主体構造部／床構造</t>
    <rPh sb="10" eb="11">
      <t>ユカ</t>
    </rPh>
    <phoneticPr fontId="8"/>
  </si>
  <si>
    <t>構造部／外周壁骨組</t>
    <rPh sb="4" eb="6">
      <t>ガイシュウ</t>
    </rPh>
    <rPh sb="6" eb="7">
      <t>ヘキ</t>
    </rPh>
    <rPh sb="7" eb="8">
      <t>ホネ</t>
    </rPh>
    <rPh sb="8" eb="9">
      <t>クミ</t>
    </rPh>
    <phoneticPr fontId="8"/>
  </si>
  <si>
    <t>構造部／間仕切骨組</t>
    <rPh sb="0" eb="9">
      <t>マジキリホネクミ</t>
    </rPh>
    <phoneticPr fontId="8"/>
  </si>
  <si>
    <t>カーテンウォール金属系ステンレス製パネル形式</t>
    <rPh sb="8" eb="11">
      <t>キンゾクケイ</t>
    </rPh>
    <rPh sb="16" eb="17">
      <t>セイ</t>
    </rPh>
    <phoneticPr fontId="20"/>
  </si>
  <si>
    <t>カーテンウォール金属系アルミ製方立形式</t>
    <rPh sb="8" eb="11">
      <t>キンゾクケイ</t>
    </rPh>
    <rPh sb="14" eb="15">
      <t>セイ</t>
    </rPh>
    <phoneticPr fontId="20"/>
  </si>
  <si>
    <t>（材工共）</t>
    <phoneticPr fontId="20"/>
  </si>
  <si>
    <t>動力配線
(集合住宅)</t>
    <rPh sb="0" eb="2">
      <t>ドウリョク</t>
    </rPh>
    <rPh sb="2" eb="4">
      <t>ハイセン</t>
    </rPh>
    <rPh sb="6" eb="10">
      <t>シュウゴウジュウタク</t>
    </rPh>
    <phoneticPr fontId="8"/>
  </si>
  <si>
    <r>
      <t xml:space="preserve">電　灯
</t>
    </r>
    <r>
      <rPr>
        <sz val="6"/>
        <rFont val="HG創英角ｺﾞｼｯｸUB"/>
        <family val="3"/>
        <charset val="128"/>
      </rPr>
      <t>(工倉以外)</t>
    </r>
    <rPh sb="0" eb="1">
      <t>デン</t>
    </rPh>
    <rPh sb="2" eb="3">
      <t>ヒ</t>
    </rPh>
    <rPh sb="5" eb="6">
      <t>コウ</t>
    </rPh>
    <rPh sb="6" eb="7">
      <t>クラ</t>
    </rPh>
    <rPh sb="7" eb="9">
      <t>イガイ</t>
    </rPh>
    <phoneticPr fontId="8"/>
  </si>
  <si>
    <r>
      <t xml:space="preserve">電　灯
</t>
    </r>
    <r>
      <rPr>
        <sz val="6"/>
        <rFont val="HG創英角ｺﾞｼｯｸUB"/>
        <family val="3"/>
        <charset val="128"/>
      </rPr>
      <t>（工・倉）</t>
    </r>
    <rPh sb="0" eb="1">
      <t>デン</t>
    </rPh>
    <rPh sb="2" eb="3">
      <t>ヒ</t>
    </rPh>
    <rPh sb="5" eb="6">
      <t>コウ</t>
    </rPh>
    <rPh sb="7" eb="8">
      <t>クラ</t>
    </rPh>
    <phoneticPr fontId="8"/>
  </si>
  <si>
    <t>（住宅では使用しない）</t>
    <rPh sb="5" eb="7">
      <t>シヨウ</t>
    </rPh>
    <phoneticPr fontId="8"/>
  </si>
  <si>
    <t>（住宅では使用しない）</t>
    <phoneticPr fontId="8"/>
  </si>
  <si>
    <t>※単位当たり標準評点数積算基礎及びR６質疑応答集問98より（木造評点+11740（R06基準給排水湯分岐管分））</t>
    <phoneticPr fontId="8"/>
  </si>
  <si>
    <t>-</t>
    <phoneticPr fontId="8"/>
  </si>
  <si>
    <t>軽量鉄骨造65㎜厚</t>
    <phoneticPr fontId="20"/>
  </si>
  <si>
    <t>軽量鉄骨造100㎜厚</t>
    <phoneticPr fontId="20"/>
  </si>
  <si>
    <t>［RC基礎工事ＤＢ］</t>
    <rPh sb="3" eb="5">
      <t>キソ</t>
    </rPh>
    <rPh sb="5" eb="7">
      <t>コウジ</t>
    </rPh>
    <phoneticPr fontId="8"/>
  </si>
  <si>
    <t>45cm</t>
    <phoneticPr fontId="16"/>
  </si>
  <si>
    <t>40cm</t>
    <phoneticPr fontId="8"/>
  </si>
  <si>
    <t>30cm</t>
    <phoneticPr fontId="8"/>
  </si>
  <si>
    <t>15cm</t>
    <phoneticPr fontId="8"/>
  </si>
  <si>
    <t>階数</t>
    <rPh sb="0" eb="2">
      <t>カイスウ</t>
    </rPh>
    <phoneticPr fontId="16"/>
  </si>
  <si>
    <t>2階以下</t>
    <rPh sb="1" eb="4">
      <t>カイイカ</t>
    </rPh>
    <phoneticPr fontId="8"/>
  </si>
  <si>
    <t>施工量多少</t>
    <rPh sb="0" eb="3">
      <t>セコウリョウ</t>
    </rPh>
    <rPh sb="3" eb="5">
      <t>タショウ</t>
    </rPh>
    <phoneticPr fontId="16"/>
  </si>
  <si>
    <t>［基礎工事］</t>
    <rPh sb="1" eb="3">
      <t>キソ</t>
    </rPh>
    <rPh sb="3" eb="5">
      <t>コウジ</t>
    </rPh>
    <phoneticPr fontId="16"/>
  </si>
  <si>
    <t>基礎高（1,000㎡未満の場合）</t>
    <rPh sb="0" eb="2">
      <t>キソ</t>
    </rPh>
    <rPh sb="2" eb="3">
      <t>タカ</t>
    </rPh>
    <rPh sb="10" eb="12">
      <t>ミマン</t>
    </rPh>
    <phoneticPr fontId="16"/>
  </si>
  <si>
    <t>基礎工事（1,000㎡以上の場合）</t>
    <rPh sb="0" eb="2">
      <t>キソ</t>
    </rPh>
    <rPh sb="2" eb="4">
      <t>コウジ</t>
    </rPh>
    <rPh sb="11" eb="13">
      <t>イジョウ</t>
    </rPh>
    <rPh sb="14" eb="16">
      <t>バアイ</t>
    </rPh>
    <phoneticPr fontId="16"/>
  </si>
  <si>
    <t>立上り部分</t>
    <rPh sb="0" eb="2">
      <t>タチアガ</t>
    </rPh>
    <rPh sb="3" eb="5">
      <t>ブブン</t>
    </rPh>
    <phoneticPr fontId="8"/>
  </si>
  <si>
    <t>スラブ部分</t>
    <rPh sb="3" eb="5">
      <t>ブブン</t>
    </rPh>
    <phoneticPr fontId="8"/>
  </si>
  <si>
    <t>構造部／基礎工事／杭打地業</t>
    <rPh sb="4" eb="8">
      <t>キソコウジ</t>
    </rPh>
    <phoneticPr fontId="8"/>
  </si>
  <si>
    <t>上等(金属ﾀﾞｸﾄ）</t>
    <rPh sb="0" eb="2">
      <t>ジョウトウ</t>
    </rPh>
    <rPh sb="3" eb="5">
      <t>キンゾク</t>
    </rPh>
    <phoneticPr fontId="8"/>
  </si>
  <si>
    <t>普通(金属管)</t>
    <rPh sb="0" eb="2">
      <t>フツウ</t>
    </rPh>
    <rPh sb="3" eb="5">
      <t>キンゾク</t>
    </rPh>
    <rPh sb="5" eb="6">
      <t>カン</t>
    </rPh>
    <phoneticPr fontId="8"/>
  </si>
  <si>
    <t>以下(露出)</t>
    <rPh sb="0" eb="2">
      <t>イカ</t>
    </rPh>
    <rPh sb="3" eb="5">
      <t>ロシュツ</t>
    </rPh>
    <phoneticPr fontId="8"/>
  </si>
  <si>
    <t>※同じ部分別（例：内壁仕上）の中で行のコピペをすることは問題ありませんが、別の部分別からはしないでください（×外壁仕上➡内壁仕上）。面積の集計式が異なります。</t>
    <rPh sb="1" eb="2">
      <t>オナ</t>
    </rPh>
    <rPh sb="3" eb="5">
      <t>ブブン</t>
    </rPh>
    <rPh sb="5" eb="6">
      <t>ベツ</t>
    </rPh>
    <rPh sb="7" eb="8">
      <t>レイ</t>
    </rPh>
    <rPh sb="9" eb="11">
      <t>ナイヘキ</t>
    </rPh>
    <rPh sb="11" eb="13">
      <t>シア</t>
    </rPh>
    <rPh sb="15" eb="16">
      <t>ナカ</t>
    </rPh>
    <rPh sb="17" eb="18">
      <t>ギョウ</t>
    </rPh>
    <rPh sb="28" eb="30">
      <t>モンダイ</t>
    </rPh>
    <rPh sb="37" eb="38">
      <t>ベツ</t>
    </rPh>
    <rPh sb="39" eb="41">
      <t>ブブン</t>
    </rPh>
    <rPh sb="41" eb="42">
      <t>ベツ</t>
    </rPh>
    <rPh sb="55" eb="57">
      <t>ガイヘキ</t>
    </rPh>
    <rPh sb="57" eb="59">
      <t>シアゲ</t>
    </rPh>
    <rPh sb="60" eb="62">
      <t>ナイヘキ</t>
    </rPh>
    <rPh sb="62" eb="64">
      <t>シアゲ</t>
    </rPh>
    <rPh sb="66" eb="68">
      <t>メンセキ</t>
    </rPh>
    <rPh sb="69" eb="71">
      <t>シュウケイ</t>
    </rPh>
    <rPh sb="71" eb="72">
      <t>シキ</t>
    </rPh>
    <rPh sb="73" eb="74">
      <t>コト</t>
    </rPh>
    <phoneticPr fontId="11"/>
  </si>
  <si>
    <t>Ｒ６基準</t>
    <phoneticPr fontId="17"/>
  </si>
  <si>
    <t>（Ｓ造明確計算の場合に選択要！）</t>
  </si>
  <si>
    <t>※R6基準…内壁仕上で総合評点方式を採用する場合は、全ての内壁面積（仕上無しも含む）を算出し、全てで総合評点方式を選択してください。</t>
    <rPh sb="3" eb="5">
      <t>キジュン</t>
    </rPh>
    <rPh sb="6" eb="8">
      <t>ナイヘキ</t>
    </rPh>
    <rPh sb="8" eb="10">
      <t>シアゲ</t>
    </rPh>
    <rPh sb="11" eb="13">
      <t>ソウゴウ</t>
    </rPh>
    <rPh sb="13" eb="15">
      <t>ヒョウテン</t>
    </rPh>
    <rPh sb="15" eb="17">
      <t>ホウシキ</t>
    </rPh>
    <rPh sb="18" eb="20">
      <t>サイヨウ</t>
    </rPh>
    <rPh sb="22" eb="24">
      <t>バアイ</t>
    </rPh>
    <rPh sb="26" eb="27">
      <t>スベ</t>
    </rPh>
    <rPh sb="29" eb="31">
      <t>ナイヘキ</t>
    </rPh>
    <rPh sb="31" eb="33">
      <t>メンセキ</t>
    </rPh>
    <rPh sb="34" eb="36">
      <t>シアゲ</t>
    </rPh>
    <rPh sb="36" eb="37">
      <t>ナ</t>
    </rPh>
    <rPh sb="39" eb="40">
      <t>フク</t>
    </rPh>
    <rPh sb="43" eb="45">
      <t>サンシュツ</t>
    </rPh>
    <rPh sb="47" eb="48">
      <t>スベ</t>
    </rPh>
    <rPh sb="50" eb="54">
      <t>ソウゴウヒョウテン</t>
    </rPh>
    <rPh sb="54" eb="56">
      <t>ホウシキ</t>
    </rPh>
    <rPh sb="57" eb="59">
      <t>センタク</t>
    </rPh>
    <phoneticPr fontId="17"/>
  </si>
  <si>
    <t>※自動集計利用の注意点①…１枚当たり（１名称あたり）の建具開口面積が引用されるため、２枚ある場合は２行に入力が必要。</t>
    <rPh sb="1" eb="5">
      <t>ジドウシュウケイ</t>
    </rPh>
    <rPh sb="5" eb="7">
      <t>リヨウ</t>
    </rPh>
    <rPh sb="8" eb="11">
      <t>チュウイテン</t>
    </rPh>
    <rPh sb="14" eb="15">
      <t>マイ</t>
    </rPh>
    <rPh sb="15" eb="16">
      <t>ア</t>
    </rPh>
    <rPh sb="20" eb="22">
      <t>メイショウ</t>
    </rPh>
    <rPh sb="27" eb="29">
      <t>タテグ</t>
    </rPh>
    <rPh sb="29" eb="31">
      <t>カイコウ</t>
    </rPh>
    <rPh sb="31" eb="33">
      <t>メンセキ</t>
    </rPh>
    <rPh sb="34" eb="36">
      <t>インヨウ</t>
    </rPh>
    <rPh sb="43" eb="44">
      <t>マイ</t>
    </rPh>
    <rPh sb="46" eb="48">
      <t>バアイ</t>
    </rPh>
    <rPh sb="50" eb="51">
      <t>ギョウ</t>
    </rPh>
    <rPh sb="52" eb="54">
      <t>ニュウリョク</t>
    </rPh>
    <rPh sb="55" eb="57">
      <t>ヒツヨウ</t>
    </rPh>
    <phoneticPr fontId="17"/>
  </si>
  <si>
    <t>※R6基準…床・天井仕上で総合評点方式を採用する場合は、一番上の行のみ総合評点方式を選択すること。</t>
    <rPh sb="3" eb="5">
      <t>キジュン</t>
    </rPh>
    <rPh sb="6" eb="7">
      <t>ユカ</t>
    </rPh>
    <rPh sb="8" eb="10">
      <t>テンジョウ</t>
    </rPh>
    <rPh sb="10" eb="12">
      <t>シアゲ</t>
    </rPh>
    <rPh sb="13" eb="15">
      <t>ソウゴウ</t>
    </rPh>
    <rPh sb="15" eb="17">
      <t>ヒョウテン</t>
    </rPh>
    <rPh sb="17" eb="19">
      <t>ホウシキ</t>
    </rPh>
    <rPh sb="20" eb="22">
      <t>サイヨウ</t>
    </rPh>
    <rPh sb="24" eb="26">
      <t>バアイ</t>
    </rPh>
    <rPh sb="28" eb="29">
      <t>イチ</t>
    </rPh>
    <rPh sb="29" eb="30">
      <t>バン</t>
    </rPh>
    <rPh sb="30" eb="31">
      <t>ウエ</t>
    </rPh>
    <rPh sb="32" eb="33">
      <t>ギョウ</t>
    </rPh>
    <rPh sb="35" eb="41">
      <t>ソウゴウヒョウテンホウシキ</t>
    </rPh>
    <rPh sb="42" eb="44">
      <t>センタク</t>
    </rPh>
    <phoneticPr fontId="17"/>
  </si>
  <si>
    <t>軽量鉄骨</t>
    <phoneticPr fontId="8"/>
  </si>
  <si>
    <t>建具</t>
    <rPh sb="0" eb="2">
      <t>タテグ</t>
    </rPh>
    <phoneticPr fontId="8"/>
  </si>
  <si>
    <t>（ＬＧＳの場合は、基準上「設備（個別）」のシートによる評価とになっている。「設備（個別）」シートにない設備の評点付設を行う場合のみ、追加でこのシートを使用すること。）</t>
    <rPh sb="5" eb="7">
      <t>バアイ</t>
    </rPh>
    <rPh sb="9" eb="11">
      <t>キジュン</t>
    </rPh>
    <rPh sb="11" eb="12">
      <t>ジョウ</t>
    </rPh>
    <rPh sb="13" eb="15">
      <t>セツビ</t>
    </rPh>
    <rPh sb="16" eb="18">
      <t>コベツ</t>
    </rPh>
    <rPh sb="27" eb="29">
      <t>ヒョウカ</t>
    </rPh>
    <rPh sb="38" eb="40">
      <t>セツビ</t>
    </rPh>
    <rPh sb="41" eb="43">
      <t>コベツ</t>
    </rPh>
    <rPh sb="51" eb="53">
      <t>セツビ</t>
    </rPh>
    <rPh sb="54" eb="56">
      <t>ヒョウテン</t>
    </rPh>
    <rPh sb="56" eb="58">
      <t>フセツ</t>
    </rPh>
    <rPh sb="59" eb="60">
      <t>オコナ</t>
    </rPh>
    <rPh sb="61" eb="63">
      <t>バアイ</t>
    </rPh>
    <rPh sb="66" eb="68">
      <t>ツイカ</t>
    </rPh>
    <rPh sb="75" eb="77">
      <t>シヨウ</t>
    </rPh>
    <phoneticPr fontId="8"/>
  </si>
  <si>
    <t>※この計算シートは軽量鉄骨造（工・倉、事・店）の他、木造の基準を転用する場合に使用できる。　転用できる建物は、木造やLGSと設備が同程度と考えられる「100㎡程度まで」の建物を基準とする。</t>
    <rPh sb="9" eb="11">
      <t>ケイリョウ</t>
    </rPh>
    <rPh sb="11" eb="13">
      <t>テッコツ</t>
    </rPh>
    <rPh sb="13" eb="14">
      <t>ゾウ</t>
    </rPh>
    <rPh sb="24" eb="25">
      <t>ホカ</t>
    </rPh>
    <rPh sb="26" eb="28">
      <t>モクゾウ</t>
    </rPh>
    <rPh sb="36" eb="38">
      <t>バアイ</t>
    </rPh>
    <rPh sb="39" eb="41">
      <t>シヨウ</t>
    </rPh>
    <rPh sb="51" eb="53">
      <t>タテモノ</t>
    </rPh>
    <phoneticPr fontId="17"/>
  </si>
  <si>
    <r>
      <t>（集合住宅用)</t>
    </r>
    <r>
      <rPr>
        <sz val="9"/>
        <rFont val="@HG創英角ｺﾞｼｯｸUB"/>
        <family val="3"/>
        <charset val="128"/>
      </rPr>
      <t xml:space="preserve">
換気設備</t>
    </r>
    <rPh sb="1" eb="3">
      <t>シュウゴウ</t>
    </rPh>
    <rPh sb="3" eb="6">
      <t>ジュウタクヨウ</t>
    </rPh>
    <rPh sb="8" eb="10">
      <t>カンキ</t>
    </rPh>
    <rPh sb="10" eb="12">
      <t>セツビ</t>
    </rPh>
    <phoneticPr fontId="8"/>
  </si>
  <si>
    <t>※設定なし、事店から転用</t>
    <rPh sb="1" eb="3">
      <t>セッテイ</t>
    </rPh>
    <rPh sb="6" eb="7">
      <t>ジ</t>
    </rPh>
    <rPh sb="7" eb="8">
      <t>ミセ</t>
    </rPh>
    <rPh sb="10" eb="12">
      <t>テンヨウ</t>
    </rPh>
    <phoneticPr fontId="8"/>
  </si>
  <si>
    <t>※工・倉のみ設定。他基準の場合で一部に倉庫的部分がある場合は、１台いくらなので、工倉転用。</t>
    <rPh sb="1" eb="2">
      <t>コウ</t>
    </rPh>
    <rPh sb="3" eb="4">
      <t>クラ</t>
    </rPh>
    <rPh sb="6" eb="8">
      <t>セッテイ</t>
    </rPh>
    <rPh sb="9" eb="10">
      <t>ホカ</t>
    </rPh>
    <rPh sb="10" eb="12">
      <t>キジュン</t>
    </rPh>
    <rPh sb="13" eb="15">
      <t>バアイ</t>
    </rPh>
    <rPh sb="16" eb="18">
      <t>イチブ</t>
    </rPh>
    <rPh sb="19" eb="21">
      <t>ソウコ</t>
    </rPh>
    <rPh sb="21" eb="22">
      <t>テキ</t>
    </rPh>
    <rPh sb="22" eb="24">
      <t>ブブン</t>
    </rPh>
    <rPh sb="27" eb="29">
      <t>バアイ</t>
    </rPh>
    <rPh sb="32" eb="33">
      <t>ダイ</t>
    </rPh>
    <rPh sb="40" eb="41">
      <t>コウ</t>
    </rPh>
    <rPh sb="41" eb="42">
      <t>クラ</t>
    </rPh>
    <rPh sb="42" eb="44">
      <t>テンヨウ</t>
    </rPh>
    <phoneticPr fontId="8"/>
  </si>
  <si>
    <t>ﾁｪｯｸ用</t>
    <phoneticPr fontId="20"/>
  </si>
  <si>
    <t>ｼｬｯﾀｰ 軽量ｼｬｯﾀｰ（ｽﾁｰﾙ製）</t>
    <rPh sb="18" eb="19">
      <t>セイ</t>
    </rPh>
    <phoneticPr fontId="8"/>
  </si>
  <si>
    <t>ｼｬｯﾀｰ 重量ｼｬｯﾀｰ（ｽﾁｰﾙ製）</t>
    <phoneticPr fontId="8"/>
  </si>
  <si>
    <t>ｼｬｯﾀｰ ｸﾞﾘﾙｼｬｯﾀｰ（ｽﾁｰﾙ製）</t>
    <phoneticPr fontId="8"/>
  </si>
  <si>
    <t>ｼｬｯﾀｰ ﾎｰﾙﾃﾞｨﾝｸﾞｹﾞｰﾄ（ｽﾁｰﾙ製）</t>
    <phoneticPr fontId="8"/>
  </si>
  <si>
    <t>ｼｬｯﾀｰ ｵｰﾊﾞｰﾍｯﾄﾞﾄﾞｱ（ｽﾁｰﾙ製）</t>
    <phoneticPr fontId="8"/>
  </si>
  <si>
    <t>ｼｬｯﾀｰ 軽量ｼｬｯﾀｰ（ｱﾙﾐ製）</t>
    <phoneticPr fontId="8"/>
  </si>
  <si>
    <t>ｼｬｯﾀｰ 重量ｼｬｯﾀｰ（ｱﾙﾐ製）</t>
    <phoneticPr fontId="8"/>
  </si>
  <si>
    <t>ｼｬｯﾀｰ ｸﾞﾘﾙｼｬｯﾀｰ（ｱﾙﾐ製）</t>
    <phoneticPr fontId="8"/>
  </si>
  <si>
    <t>ｼｬｯﾀｰ ﾎｰﾙﾃﾞｨﾝｸﾞｹﾞｰﾄ（ｱﾙﾐ製）</t>
    <phoneticPr fontId="8"/>
  </si>
  <si>
    <t>ｼｬｯﾀｰ ｵｰﾊﾞｰﾍｯﾄﾞﾄﾞｱ（ｱﾙﾐ製）</t>
    <phoneticPr fontId="8"/>
  </si>
  <si>
    <t>ｼｬｯﾀｰ 軽量ｼｬｯﾀｰ（ｸﾞﾗﾌｧｲ製）</t>
    <rPh sb="20" eb="21">
      <t>セイ</t>
    </rPh>
    <phoneticPr fontId="8"/>
  </si>
  <si>
    <t>ｼｬｯﾀｰ 重量ｼｬｯﾀｰ（ｸﾞﾗﾌｧｲ製）</t>
    <phoneticPr fontId="8"/>
  </si>
  <si>
    <t>ｼｬｯﾀｰ ｸﾞﾘﾙｼｬｯﾀｰ（ｸﾞﾗﾌｧｲ製）</t>
    <phoneticPr fontId="8"/>
  </si>
  <si>
    <t>ｼｬｯﾀｰ ﾎｰﾙﾃﾞｨﾝｸﾞｹﾞｰﾄ（ｸﾞﾗﾌｧｲ製）</t>
    <phoneticPr fontId="8"/>
  </si>
  <si>
    <t>ｼｬｯﾀｰ ｵｰﾊﾞｰﾍｯﾄﾞﾄﾞｱ（ｸﾞﾗﾌｧｲ製）</t>
    <phoneticPr fontId="8"/>
  </si>
  <si>
    <t>　※↓一番上の行だけ、鉄筋用に小数第３位まで入力できます（2行目以降は小数点第2位まで）</t>
    <rPh sb="3" eb="5">
      <t>イチバン</t>
    </rPh>
    <rPh sb="5" eb="6">
      <t>ウエ</t>
    </rPh>
    <rPh sb="7" eb="8">
      <t>ギョウ</t>
    </rPh>
    <rPh sb="22" eb="24">
      <t>ニュウリョク</t>
    </rPh>
    <rPh sb="30" eb="32">
      <t>ギョウメ</t>
    </rPh>
    <rPh sb="32" eb="34">
      <t>イコウ</t>
    </rPh>
    <rPh sb="35" eb="38">
      <t>ショウスウテン</t>
    </rPh>
    <rPh sb="38" eb="39">
      <t>ダイ</t>
    </rPh>
    <rPh sb="40" eb="41">
      <t>イ</t>
    </rPh>
    <phoneticPr fontId="20"/>
  </si>
  <si>
    <t>スラブ厚</t>
    <rPh sb="3" eb="4">
      <t>アツ</t>
    </rPh>
    <phoneticPr fontId="20"/>
  </si>
  <si>
    <t>15cm</t>
    <phoneticPr fontId="20"/>
  </si>
  <si>
    <t>10cm</t>
    <phoneticPr fontId="20"/>
  </si>
  <si>
    <t>計算値</t>
    <rPh sb="0" eb="3">
      <t>ケイサンチ</t>
    </rPh>
    <phoneticPr fontId="20"/>
  </si>
  <si>
    <t>主体構造部
（施工量明確 ）</t>
    <rPh sb="7" eb="9">
      <t>セコウ</t>
    </rPh>
    <rPh sb="9" eb="10">
      <t>リョウ</t>
    </rPh>
    <rPh sb="10" eb="12">
      <t>メイカク</t>
    </rPh>
    <phoneticPr fontId="8"/>
  </si>
  <si>
    <t>全熱交換機</t>
    <rPh sb="0" eb="2">
      <t>ゼンネツ</t>
    </rPh>
    <rPh sb="2" eb="5">
      <t>コウカンキ</t>
    </rPh>
    <phoneticPr fontId="8"/>
  </si>
  <si>
    <t>普通</t>
    <rPh sb="0" eb="2">
      <t>フツウ</t>
    </rPh>
    <phoneticPr fontId="8"/>
  </si>
  <si>
    <t>３種換気程度</t>
    <rPh sb="1" eb="2">
      <t>シュ</t>
    </rPh>
    <rPh sb="2" eb="4">
      <t>カンキ</t>
    </rPh>
    <rPh sb="4" eb="6">
      <t>テイド</t>
    </rPh>
    <phoneticPr fontId="8"/>
  </si>
  <si>
    <t>ダクト有り</t>
    <rPh sb="3" eb="4">
      <t>ア</t>
    </rPh>
    <phoneticPr fontId="8"/>
  </si>
  <si>
    <t>ダクト無し</t>
    <rPh sb="3" eb="4">
      <t>ナ</t>
    </rPh>
    <phoneticPr fontId="8"/>
  </si>
  <si>
    <t>冷房能力
合　計</t>
    <rPh sb="0" eb="2">
      <t>レイボウ</t>
    </rPh>
    <rPh sb="2" eb="4">
      <t>ノウリョク</t>
    </rPh>
    <rPh sb="5" eb="6">
      <t>ゴウ</t>
    </rPh>
    <rPh sb="7" eb="8">
      <t>ケイ</t>
    </rPh>
    <phoneticPr fontId="8"/>
  </si>
  <si>
    <t>換気の程度</t>
    <rPh sb="0" eb="2">
      <t>カンキ</t>
    </rPh>
    <rPh sb="3" eb="5">
      <t>テイド</t>
    </rPh>
    <phoneticPr fontId="8"/>
  </si>
  <si>
    <t>ダクト方式</t>
    <rPh sb="3" eb="5">
      <t>ホウシキ</t>
    </rPh>
    <phoneticPr fontId="8"/>
  </si>
  <si>
    <t>事務所・店舗</t>
  </si>
  <si>
    <t>工場・倉庫</t>
  </si>
  <si>
    <t>主体/明</t>
    <phoneticPr fontId="20"/>
  </si>
  <si>
    <t>主体/不</t>
    <phoneticPr fontId="20"/>
  </si>
  <si>
    <t>基　　礎</t>
    <phoneticPr fontId="20"/>
  </si>
  <si>
    <t>杭　　打</t>
    <phoneticPr fontId="20"/>
  </si>
  <si>
    <t>屋根構造</t>
    <phoneticPr fontId="20"/>
  </si>
  <si>
    <t>床 構 造</t>
    <phoneticPr fontId="20"/>
  </si>
  <si>
    <t>外 周 壁</t>
    <phoneticPr fontId="20"/>
  </si>
  <si>
    <t>間 仕 切</t>
    <phoneticPr fontId="20"/>
  </si>
  <si>
    <t>外壁仕上</t>
    <phoneticPr fontId="20"/>
  </si>
  <si>
    <t>内壁仕上</t>
    <phoneticPr fontId="20"/>
  </si>
  <si>
    <t>床 仕 上</t>
    <phoneticPr fontId="20"/>
  </si>
  <si>
    <t>天井仕上</t>
    <phoneticPr fontId="20"/>
  </si>
  <si>
    <t>屋根仕上</t>
    <phoneticPr fontId="20"/>
  </si>
  <si>
    <t>建　　具</t>
    <phoneticPr fontId="20"/>
  </si>
  <si>
    <t>建築設備</t>
    <phoneticPr fontId="20"/>
  </si>
  <si>
    <t>仮設其他</t>
    <phoneticPr fontId="20"/>
  </si>
  <si>
    <t>主体基礎</t>
    <phoneticPr fontId="20"/>
  </si>
  <si>
    <t>各種構造</t>
    <phoneticPr fontId="20"/>
  </si>
  <si>
    <t>各種骨組</t>
    <phoneticPr fontId="20"/>
  </si>
  <si>
    <t>サッシ</t>
    <phoneticPr fontId="8"/>
  </si>
  <si>
    <t>ドア</t>
    <phoneticPr fontId="8"/>
  </si>
  <si>
    <t>ｼｬｯﾀｰ</t>
    <phoneticPr fontId="8"/>
  </si>
  <si>
    <t>その他</t>
    <phoneticPr fontId="8"/>
  </si>
  <si>
    <t>自由作成</t>
    <phoneticPr fontId="8"/>
  </si>
  <si>
    <t>ｶﾞﾗｽ</t>
    <phoneticPr fontId="8"/>
  </si>
  <si>
    <t>建具総合</t>
    <phoneticPr fontId="8"/>
  </si>
  <si>
    <t>特殊設備</t>
    <phoneticPr fontId="8"/>
  </si>
  <si>
    <t>等倍➡</t>
    <rPh sb="0" eb="2">
      <t>トウバイ</t>
    </rPh>
    <phoneticPr fontId="8"/>
  </si>
  <si>
    <t>２倍➡</t>
    <rPh sb="1" eb="2">
      <t>バイ</t>
    </rPh>
    <phoneticPr fontId="8"/>
  </si>
  <si>
    <t>２.５倍➡</t>
    <rPh sb="3" eb="4">
      <t>バイ</t>
    </rPh>
    <phoneticPr fontId="8"/>
  </si>
  <si>
    <t>３倍➡</t>
    <rPh sb="1" eb="2">
      <t>バイ</t>
    </rPh>
    <phoneticPr fontId="8"/>
  </si>
  <si>
    <t>住宅用建具(戸建)</t>
    <rPh sb="0" eb="3">
      <t>ジュウタクヨウ</t>
    </rPh>
    <rPh sb="3" eb="5">
      <t>タテグ</t>
    </rPh>
    <rPh sb="6" eb="8">
      <t>コダ</t>
    </rPh>
    <phoneticPr fontId="8"/>
  </si>
  <si>
    <t>住宅用建具(集合：ｻｯｼ以外)</t>
    <rPh sb="0" eb="3">
      <t>ジュウタクヨウ</t>
    </rPh>
    <rPh sb="3" eb="5">
      <t>タテグ</t>
    </rPh>
    <rPh sb="6" eb="8">
      <t>シュウゴウ</t>
    </rPh>
    <rPh sb="12" eb="14">
      <t>イガイ</t>
    </rPh>
    <phoneticPr fontId="8"/>
  </si>
  <si>
    <t>住宅用建具(集合：ｻｯｼ＋網無)</t>
    <rPh sb="6" eb="8">
      <t>シュウゴウ</t>
    </rPh>
    <rPh sb="13" eb="14">
      <t>アミ</t>
    </rPh>
    <rPh sb="14" eb="15">
      <t>ナ</t>
    </rPh>
    <phoneticPr fontId="8"/>
  </si>
  <si>
    <t>住宅用建具(集合：ｻｯｼ＋網片)</t>
    <rPh sb="6" eb="8">
      <t>シュウゴウ</t>
    </rPh>
    <rPh sb="13" eb="14">
      <t>アミ</t>
    </rPh>
    <rPh sb="14" eb="15">
      <t>カタ</t>
    </rPh>
    <phoneticPr fontId="8"/>
  </si>
  <si>
    <t>住宅用建具(集合：ｻｯｼ＋網全)</t>
    <rPh sb="6" eb="8">
      <t>シュウゴウ</t>
    </rPh>
    <rPh sb="13" eb="14">
      <t>アミ</t>
    </rPh>
    <rPh sb="14" eb="15">
      <t>ゼン</t>
    </rPh>
    <phoneticPr fontId="8"/>
  </si>
  <si>
    <t>備考</t>
    <rPh sb="0" eb="2">
      <t>ビコウ</t>
    </rPh>
    <phoneticPr fontId="20"/>
  </si>
  <si>
    <t>備考</t>
    <rPh sb="0" eb="2">
      <t>ビコウ</t>
    </rPh>
    <phoneticPr fontId="8"/>
  </si>
  <si>
    <t>備考</t>
    <rPh sb="0" eb="2">
      <t>ビコウ</t>
    </rPh>
    <phoneticPr fontId="17"/>
  </si>
  <si>
    <t>備考</t>
    <rPh sb="0" eb="2">
      <t>ビコウ</t>
    </rPh>
    <phoneticPr fontId="8"/>
  </si>
  <si>
    <t>備考</t>
    <rPh sb="0" eb="2">
      <t>ビコウ</t>
    </rPh>
    <phoneticPr fontId="8"/>
  </si>
  <si>
    <t>備考</t>
    <rPh sb="0" eb="2">
      <t>ビコウ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</si>
</sst>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176" formatCode="[$-411]ggge&quot;年&quot;m&quot;月&quot;d&quot;日&quot;;@"/>
    <numFmt numFmtId="177" formatCode="#,##0.000;[Red]\-#,##0.000"/>
    <numFmt numFmtId="178" formatCode="0.00_ "/>
    <numFmt numFmtId="179" formatCode="#,##0.00_ "/>
    <numFmt numFmtId="180" formatCode="#,##0_ "/>
    <numFmt numFmtId="181" formatCode="0_ "/>
    <numFmt numFmtId="182" formatCode="0_);[Red]\(0\)"/>
    <numFmt numFmtId="183" formatCode="#,##0.00&quot;Kw&quot;"/>
    <numFmt numFmtId="184" formatCode="#,##0_ ;[Red]\-#,##0\ "/>
    <numFmt numFmtId="185" formatCode="#,##0.00_ ;[Red]\-#,##0.00\ "/>
    <numFmt numFmtId="186" formatCode="#&quot;cm&quot;"/>
    <numFmt numFmtId="187" formatCode="0.00&quot;kw&quot;"/>
    <numFmt numFmtId="188" formatCode="0.00&quot;㎡&quot;"/>
    <numFmt numFmtId="189" formatCode="0.00&quot;m&quot;"/>
    <numFmt numFmtId="190" formatCode="0.000&quot;箇所&quot;"/>
    <numFmt numFmtId="191" formatCode="0&quot;cm&quot;"/>
    <numFmt numFmtId="192" formatCode="0.00&quot;箇所&quot;"/>
    <numFmt numFmtId="193" formatCode="#,##0&quot;kg&quot;"/>
    <numFmt numFmtId="194" formatCode="0&quot;m/min&quot;"/>
    <numFmt numFmtId="195" formatCode="0&quot;箇所&quot;"/>
    <numFmt numFmtId="196" formatCode="0&quot;個&quot;"/>
    <numFmt numFmtId="197" formatCode="0&quot;組&quot;"/>
    <numFmt numFmtId="198" formatCode="##&quot;㎡&quot;"/>
    <numFmt numFmtId="199" formatCode="0.00&quot;m3&quot;"/>
    <numFmt numFmtId="200" formatCode="0.000&quot;ｔ&quot;"/>
    <numFmt numFmtId="201" formatCode="0&quot;mm&quot;"/>
    <numFmt numFmtId="202" formatCode="0&quot;㎡&quot;"/>
    <numFmt numFmtId="203" formatCode="0&quot;m3&quot;"/>
    <numFmt numFmtId="204" formatCode="#,##0.000_ ;[Red]\-#,##0.000\ "/>
    <numFmt numFmtId="205" formatCode="#&quot;L&quot;"/>
    <numFmt numFmtId="206" formatCode="##&quot;㎡程度&quot;"/>
    <numFmt numFmtId="207" formatCode="General\L"/>
    <numFmt numFmtId="208" formatCode="0.00_);[Red]\(0.00\)"/>
    <numFmt numFmtId="209" formatCode="0&quot;席&quot;"/>
    <numFmt numFmtId="210" formatCode="#,##0&quot;台&quot;"/>
    <numFmt numFmtId="211" formatCode="#,##0&quot;組以下&quot;"/>
    <numFmt numFmtId="212" formatCode="#,##0&quot;組以上&quot;"/>
    <numFmt numFmtId="213" formatCode="#,##0&quot;組&quot;"/>
    <numFmt numFmtId="214" formatCode="0.000&quot;m3&quot;"/>
    <numFmt numFmtId="215" formatCode="0&quot;㎠&quot;"/>
    <numFmt numFmtId="216" formatCode="#,##0&quot;号&quot;"/>
    <numFmt numFmtId="217" formatCode="#,##0.00&quot;号&quot;"/>
    <numFmt numFmtId="218" formatCode="#,##0.00&quot;号相当&quot;"/>
    <numFmt numFmtId="219" formatCode="0.00&quot;kW&quot;"/>
    <numFmt numFmtId="220" formatCode="#\F\ "/>
    <numFmt numFmtId="221" formatCode="&quot;B&quot;#&quot;F&quot;;;&quot;なし&quot;;@"/>
    <numFmt numFmtId="222" formatCode="#,##0_);[Red]\(#,##0\)"/>
    <numFmt numFmtId="223" formatCode="#,##0.00;[Red]\-#,##0.00;;@"/>
    <numFmt numFmtId="224" formatCode="0.000_ "/>
    <numFmt numFmtId="225" formatCode="0.000&quot;個&quot;"/>
    <numFmt numFmtId="226" formatCode="00"/>
    <numFmt numFmtId="227" formatCode="0.0&quot;m&quot;"/>
    <numFmt numFmtId="228" formatCode="0&quot;階&quot;"/>
    <numFmt numFmtId="229" formatCode="#,###&quot;㎡&quot;"/>
    <numFmt numFmtId="230" formatCode="#&quot;号&quot;"/>
    <numFmt numFmtId="231" formatCode="#,##0.0000;[Red]\-#,##0.0000"/>
    <numFmt numFmtId="233" formatCode=";;;"/>
  </numFmts>
  <fonts count="79">
    <font>
      <sz val="9"/>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name val="ＭＳ Ｐゴシック"/>
      <family val="3"/>
      <charset val="128"/>
    </font>
    <font>
      <u/>
      <sz val="9"/>
      <color indexed="12"/>
      <name val="ＭＳ Ｐゴシック"/>
      <family val="3"/>
      <charset val="128"/>
    </font>
    <font>
      <sz val="11"/>
      <name val="ＭＳ Ｐゴシック"/>
      <family val="3"/>
      <charset val="128"/>
    </font>
    <font>
      <sz val="11"/>
      <name val="ＭＳ ゴシック"/>
      <family val="3"/>
      <charset val="128"/>
    </font>
    <font>
      <sz val="10.45"/>
      <name val="ＭＳ 明朝"/>
      <family val="1"/>
      <charset val="128"/>
    </font>
    <font>
      <sz val="6"/>
      <name val="ＭＳ Ｐゴシック"/>
      <family val="3"/>
      <charset val="128"/>
    </font>
    <font>
      <sz val="9"/>
      <name val="HG創英角ｺﾞｼｯｸUB"/>
      <family val="3"/>
      <charset val="128"/>
    </font>
    <font>
      <sz val="10"/>
      <name val="HG創英角ｺﾞｼｯｸUB"/>
      <family val="3"/>
      <charset val="128"/>
    </font>
    <font>
      <sz val="10"/>
      <name val="ＭＳ Ｐ明朝"/>
      <family val="1"/>
      <charset val="128"/>
    </font>
    <font>
      <sz val="10"/>
      <name val="ＭＳ Ｐゴシック"/>
      <family val="3"/>
      <charset val="128"/>
    </font>
    <font>
      <sz val="9"/>
      <name val="ＭＳ ゴシック"/>
      <family val="3"/>
      <charset val="128"/>
    </font>
    <font>
      <sz val="9"/>
      <name val="ＭＳ Ｐ明朝"/>
      <family val="1"/>
      <charset val="128"/>
    </font>
    <font>
      <sz val="10"/>
      <color indexed="10"/>
      <name val="HG創英角ｺﾞｼｯｸUB"/>
      <family val="3"/>
      <charset val="128"/>
    </font>
    <font>
      <sz val="9"/>
      <color indexed="9"/>
      <name val="ＭＳ Ｐゴシック"/>
      <family val="3"/>
      <charset val="128"/>
    </font>
    <font>
      <sz val="6"/>
      <name val="ＭＳ ゴシック"/>
      <family val="3"/>
      <charset val="128"/>
    </font>
    <font>
      <vertAlign val="superscript"/>
      <sz val="9"/>
      <name val="ＭＳ Ｐゴシック"/>
      <family val="3"/>
      <charset val="128"/>
    </font>
    <font>
      <sz val="10"/>
      <color indexed="10"/>
      <name val="ＭＳ Ｐゴシック"/>
      <family val="3"/>
      <charset val="128"/>
    </font>
    <font>
      <sz val="9"/>
      <color indexed="81"/>
      <name val="ＭＳ Ｐゴシック"/>
      <family val="3"/>
      <charset val="128"/>
    </font>
    <font>
      <sz val="9"/>
      <color indexed="10"/>
      <name val="ＭＳ Ｐゴシック"/>
      <family val="3"/>
      <charset val="128"/>
    </font>
    <font>
      <sz val="9"/>
      <color indexed="12"/>
      <name val="HG創英角ｺﾞｼｯｸUB"/>
      <family val="3"/>
      <charset val="128"/>
    </font>
    <font>
      <sz val="11"/>
      <name val="HG創英角ｺﾞｼｯｸUB"/>
      <family val="3"/>
      <charset val="128"/>
    </font>
    <font>
      <sz val="9"/>
      <name val="ＭＳ 明朝"/>
      <family val="1"/>
      <charset val="128"/>
    </font>
    <font>
      <sz val="9.9"/>
      <name val="HG創英角ｺﾞｼｯｸUB"/>
      <family val="3"/>
      <charset val="128"/>
    </font>
    <font>
      <sz val="11"/>
      <name val="ＭＳ 明朝"/>
      <family val="1"/>
      <charset val="128"/>
    </font>
    <font>
      <sz val="9"/>
      <color indexed="12"/>
      <name val="ＭＳ 明朝"/>
      <family val="1"/>
      <charset val="128"/>
    </font>
    <font>
      <sz val="9"/>
      <color indexed="10"/>
      <name val="ＭＳ 明朝"/>
      <family val="1"/>
      <charset val="128"/>
    </font>
    <font>
      <u/>
      <sz val="11"/>
      <name val="HG創英角ｺﾞｼｯｸUB"/>
      <family val="3"/>
      <charset val="128"/>
    </font>
    <font>
      <sz val="14"/>
      <name val="HG創英角ｺﾞｼｯｸUB"/>
      <family val="3"/>
      <charset val="128"/>
    </font>
    <font>
      <sz val="8"/>
      <name val="HG創英角ｺﾞｼｯｸUB"/>
      <family val="3"/>
      <charset val="128"/>
    </font>
    <font>
      <sz val="8"/>
      <name val="ＭＳ Ｐゴシック"/>
      <family val="3"/>
      <charset val="128"/>
    </font>
    <font>
      <sz val="12"/>
      <color indexed="9"/>
      <name val="HG創英角ｺﾞｼｯｸUB"/>
      <family val="3"/>
      <charset val="128"/>
    </font>
    <font>
      <sz val="9"/>
      <color indexed="12"/>
      <name val="ＭＳ Ｐゴシック"/>
      <family val="3"/>
      <charset val="128"/>
    </font>
    <font>
      <b/>
      <sz val="9"/>
      <color indexed="10"/>
      <name val="ＭＳ Ｐゴシック"/>
      <family val="3"/>
      <charset val="128"/>
    </font>
    <font>
      <u/>
      <sz val="9"/>
      <color indexed="81"/>
      <name val="ＭＳ Ｐゴシック"/>
      <family val="3"/>
      <charset val="128"/>
    </font>
    <font>
      <sz val="8"/>
      <color indexed="81"/>
      <name val="ＭＳ Ｐゴシック"/>
      <family val="3"/>
      <charset val="128"/>
    </font>
    <font>
      <b/>
      <sz val="9"/>
      <name val="ＭＳ Ｐ明朝"/>
      <family val="1"/>
      <charset val="128"/>
    </font>
    <font>
      <vertAlign val="superscript"/>
      <sz val="9"/>
      <name val="ＭＳ Ｐ明朝"/>
      <family val="1"/>
      <charset val="128"/>
    </font>
    <font>
      <sz val="6"/>
      <name val="ＭＳ Ｐゴシック"/>
      <family val="3"/>
      <charset val="128"/>
      <scheme val="minor"/>
    </font>
    <font>
      <sz val="9"/>
      <color theme="1"/>
      <name val="ＭＳ Ｐ明朝"/>
      <family val="1"/>
      <charset val="128"/>
    </font>
    <font>
      <sz val="8"/>
      <name val="ＭＳ ゴシック"/>
      <family val="3"/>
      <charset val="128"/>
    </font>
    <font>
      <sz val="11"/>
      <color theme="1"/>
      <name val="ＭＳ Ｐゴシック"/>
      <family val="3"/>
      <charset val="128"/>
      <scheme val="minor"/>
    </font>
    <font>
      <sz val="9"/>
      <color rgb="FFFF0000"/>
      <name val="ＭＳ Ｐ明朝"/>
      <family val="1"/>
      <charset val="128"/>
    </font>
    <font>
      <sz val="9"/>
      <color rgb="FFFF0000"/>
      <name val="ＭＳ 明朝"/>
      <family val="1"/>
      <charset val="128"/>
    </font>
    <font>
      <sz val="9"/>
      <color rgb="FFFF0000"/>
      <name val="ＭＳ Ｐゴシック"/>
      <family val="3"/>
      <charset val="128"/>
    </font>
    <font>
      <sz val="6"/>
      <name val="ＭＳ Ｐゴシック"/>
      <family val="2"/>
      <charset val="128"/>
      <scheme val="minor"/>
    </font>
    <font>
      <sz val="8"/>
      <name val="ＭＳ Ｐ明朝"/>
      <family val="1"/>
      <charset val="128"/>
    </font>
    <font>
      <sz val="11"/>
      <color theme="1"/>
      <name val="ＭＳ Ｐゴシック"/>
      <family val="2"/>
      <scheme val="minor"/>
    </font>
    <font>
      <sz val="8"/>
      <color rgb="FFFF0000"/>
      <name val="ＭＳ Ｐゴシック"/>
      <family val="3"/>
      <charset val="128"/>
    </font>
    <font>
      <sz val="9"/>
      <color indexed="81"/>
      <name val="MS P ゴシック"/>
      <family val="3"/>
      <charset val="128"/>
    </font>
    <font>
      <sz val="9"/>
      <color rgb="FF0000FF"/>
      <name val="ＭＳ 明朝"/>
      <family val="1"/>
      <charset val="128"/>
    </font>
    <font>
      <b/>
      <sz val="9"/>
      <color indexed="81"/>
      <name val="MS P ゴシック"/>
      <family val="3"/>
      <charset val="128"/>
    </font>
    <font>
      <sz val="9"/>
      <color rgb="FF7030A0"/>
      <name val="ＭＳ Ｐゴシック"/>
      <family val="3"/>
      <charset val="128"/>
    </font>
    <font>
      <sz val="6"/>
      <name val="ＭＳ 明朝"/>
      <family val="1"/>
      <charset val="128"/>
    </font>
    <font>
      <sz val="6"/>
      <name val="HG創英角ｺﾞｼｯｸUB"/>
      <family val="3"/>
      <charset val="128"/>
    </font>
    <font>
      <sz val="11"/>
      <name val="ＭＳ Ｐゴシック"/>
      <family val="3"/>
      <charset val="128"/>
      <scheme val="minor"/>
    </font>
    <font>
      <sz val="9"/>
      <color rgb="FFFF0000"/>
      <name val="HG創英角ｺﾞｼｯｸUB"/>
      <family val="3"/>
      <charset val="128"/>
    </font>
    <font>
      <sz val="9"/>
      <name val="Meiryo UI"/>
      <family val="3"/>
      <charset val="128"/>
    </font>
    <font>
      <sz val="9"/>
      <color rgb="FFFF0000"/>
      <name val="Meiryo UI"/>
      <family val="3"/>
      <charset val="128"/>
    </font>
    <font>
      <sz val="9"/>
      <name val="HGS創英角ｺﾞｼｯｸUB"/>
      <family val="3"/>
      <charset val="128"/>
    </font>
    <font>
      <sz val="14"/>
      <name val="Terminal"/>
      <charset val="128"/>
    </font>
    <font>
      <sz val="9"/>
      <color indexed="81"/>
      <name val="Meiryo UI"/>
      <family val="3"/>
      <charset val="128"/>
    </font>
    <font>
      <sz val="8"/>
      <name val="@HG創英角ｺﾞｼｯｸUB"/>
      <family val="3"/>
      <charset val="128"/>
    </font>
    <font>
      <sz val="9"/>
      <color theme="0"/>
      <name val="HG創英角ｺﾞｼｯｸUB"/>
      <family val="3"/>
      <charset val="128"/>
    </font>
    <font>
      <sz val="9"/>
      <color theme="1" tint="0.499984740745262"/>
      <name val="ＭＳ Ｐ明朝"/>
      <family val="1"/>
      <charset val="128"/>
    </font>
    <font>
      <sz val="8"/>
      <color indexed="81"/>
      <name val="Meiryo UI"/>
      <family val="3"/>
      <charset val="128"/>
    </font>
    <font>
      <sz val="8"/>
      <color rgb="FFFF0000"/>
      <name val="Meiryo UI"/>
      <family val="3"/>
      <charset val="128"/>
    </font>
    <font>
      <sz val="11"/>
      <color indexed="9"/>
      <name val="UD デジタル 教科書体 NK-B"/>
      <family val="1"/>
      <charset val="128"/>
    </font>
    <font>
      <sz val="9"/>
      <color indexed="9"/>
      <name val="UD デジタル 教科書体 NK-B"/>
      <family val="1"/>
      <charset val="128"/>
    </font>
    <font>
      <sz val="9"/>
      <name val="UD デジタル 教科書体 NK-B"/>
      <family val="1"/>
      <charset val="128"/>
    </font>
    <font>
      <sz val="9"/>
      <color theme="3" tint="0.39997558519241921"/>
      <name val="Meiryo UI"/>
      <family val="3"/>
      <charset val="128"/>
    </font>
    <font>
      <sz val="9"/>
      <color theme="3" tint="0.39997558519241921"/>
      <name val="ＭＳ Ｐ明朝"/>
      <family val="1"/>
      <charset val="128"/>
    </font>
    <font>
      <b/>
      <sz val="11"/>
      <color indexed="9"/>
      <name val="UD デジタル 教科書体 NK-B"/>
      <family val="1"/>
      <charset val="128"/>
    </font>
    <font>
      <sz val="9"/>
      <name val="@HG創英角ｺﾞｼｯｸUB"/>
      <family val="3"/>
      <charset val="128"/>
    </font>
    <font>
      <sz val="9"/>
      <name val="@ＭＳ ゴシック"/>
      <family val="3"/>
      <charset val="128"/>
    </font>
    <font>
      <b/>
      <sz val="9"/>
      <color rgb="FFFF0000"/>
      <name val="ＭＳ Ｐ明朝"/>
      <family val="1"/>
      <charset val="128"/>
    </font>
    <font>
      <sz val="9.9"/>
      <color theme="0"/>
      <name val="HG創英角ｺﾞｼｯｸUB"/>
      <family val="3"/>
      <charset val="128"/>
    </font>
  </fonts>
  <fills count="22">
    <fill>
      <patternFill patternType="none"/>
    </fill>
    <fill>
      <patternFill patternType="gray125"/>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99"/>
        <bgColor indexed="64"/>
      </patternFill>
    </fill>
    <fill>
      <patternFill patternType="solid">
        <fgColor rgb="FFFFCC99"/>
        <bgColor indexed="64"/>
      </patternFill>
    </fill>
    <fill>
      <patternFill patternType="solid">
        <fgColor rgb="FFCCFFFF"/>
        <bgColor indexed="64"/>
      </patternFill>
    </fill>
    <fill>
      <patternFill patternType="solid">
        <fgColor rgb="FFFFFFA3"/>
        <bgColor indexed="64"/>
      </patternFill>
    </fill>
    <fill>
      <patternFill patternType="solid">
        <fgColor rgb="FFFFCCFF"/>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6" tint="0.79998168889431442"/>
        <bgColor indexed="64"/>
      </patternFill>
    </fill>
  </fills>
  <borders count="26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10"/>
      </left>
      <right/>
      <top style="thin">
        <color indexed="10"/>
      </top>
      <bottom/>
      <diagonal/>
    </border>
    <border>
      <left/>
      <right/>
      <top style="thin">
        <color indexed="10"/>
      </top>
      <bottom/>
      <diagonal/>
    </border>
    <border>
      <left style="hair">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medium">
        <color indexed="64"/>
      </bottom>
      <diagonal style="hair">
        <color indexed="64"/>
      </diagonal>
    </border>
    <border diagonalUp="1">
      <left/>
      <right/>
      <top style="hair">
        <color indexed="64"/>
      </top>
      <bottom style="medium">
        <color indexed="64"/>
      </bottom>
      <diagonal style="hair">
        <color indexed="64"/>
      </diagonal>
    </border>
    <border diagonalUp="1">
      <left/>
      <right style="thin">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diagonal/>
    </border>
    <border>
      <left style="hair">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diagonalDown="1">
      <left style="thin">
        <color auto="1"/>
      </left>
      <right style="thin">
        <color auto="1"/>
      </right>
      <top style="thin">
        <color auto="1"/>
      </top>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auto="1"/>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auto="1"/>
      </top>
      <bottom style="thin">
        <color indexed="64"/>
      </bottom>
      <diagonal/>
    </border>
    <border>
      <left style="thin">
        <color indexed="64"/>
      </left>
      <right style="hair">
        <color indexed="64"/>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medium">
        <color auto="1"/>
      </right>
      <top style="medium">
        <color auto="1"/>
      </top>
      <bottom style="hair">
        <color indexed="64"/>
      </bottom>
      <diagonal/>
    </border>
    <border>
      <left style="thin">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style="hair">
        <color indexed="64"/>
      </left>
      <right style="thin">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style="medium">
        <color auto="1"/>
      </right>
      <top style="hair">
        <color indexed="64"/>
      </top>
      <bottom style="medium">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s>
  <cellStyleXfs count="17">
    <xf numFmtId="180" fontId="0" fillId="0" borderId="0">
      <alignment vertical="center"/>
    </xf>
    <xf numFmtId="0" fontId="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5" fillId="0" borderId="0"/>
    <xf numFmtId="0" fontId="5" fillId="0" borderId="0">
      <alignment vertical="center"/>
    </xf>
    <xf numFmtId="0" fontId="6" fillId="0" borderId="0">
      <alignment vertical="center"/>
    </xf>
    <xf numFmtId="0" fontId="7" fillId="0" borderId="0"/>
    <xf numFmtId="0" fontId="6" fillId="0" borderId="0">
      <alignment vertical="center"/>
    </xf>
    <xf numFmtId="0" fontId="43" fillId="0" borderId="0">
      <alignment vertical="center"/>
    </xf>
    <xf numFmtId="38" fontId="43"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2" fillId="0" borderId="0">
      <alignment vertical="center"/>
    </xf>
    <xf numFmtId="0" fontId="1" fillId="0" borderId="0">
      <alignment vertical="center"/>
    </xf>
    <xf numFmtId="0" fontId="49" fillId="0" borderId="0"/>
    <xf numFmtId="9" fontId="3" fillId="0" borderId="0" applyFont="0" applyFill="0" applyBorder="0" applyAlignment="0" applyProtection="0">
      <alignment vertical="center"/>
    </xf>
    <xf numFmtId="0" fontId="62" fillId="0" borderId="0"/>
  </cellStyleXfs>
  <cellXfs count="3684">
    <xf numFmtId="180" fontId="0" fillId="0" borderId="0" xfId="0">
      <alignment vertical="center"/>
    </xf>
    <xf numFmtId="180" fontId="0" fillId="2" borderId="0" xfId="0" applyFill="1">
      <alignment vertical="center"/>
    </xf>
    <xf numFmtId="40" fontId="14" fillId="0" borderId="0" xfId="0" applyNumberFormat="1" applyFont="1">
      <alignment vertical="center"/>
    </xf>
    <xf numFmtId="40" fontId="14" fillId="0" borderId="16" xfId="0" applyNumberFormat="1" applyFont="1" applyBorder="1">
      <alignment vertical="center"/>
    </xf>
    <xf numFmtId="180" fontId="0" fillId="0" borderId="0" xfId="0" applyAlignment="1">
      <alignment vertical="center" shrinkToFit="1"/>
    </xf>
    <xf numFmtId="180" fontId="0" fillId="0" borderId="8" xfId="0" applyBorder="1">
      <alignment vertical="center"/>
    </xf>
    <xf numFmtId="180" fontId="14" fillId="0" borderId="13" xfId="0" applyFont="1" applyBorder="1">
      <alignment vertical="center"/>
    </xf>
    <xf numFmtId="180" fontId="14" fillId="0" borderId="15" xfId="0" applyFont="1" applyBorder="1">
      <alignment vertical="center"/>
    </xf>
    <xf numFmtId="180" fontId="14" fillId="0" borderId="16" xfId="0" applyFont="1" applyBorder="1" applyAlignment="1">
      <alignment horizontal="center" vertical="center"/>
    </xf>
    <xf numFmtId="180" fontId="14" fillId="0" borderId="0" xfId="0" applyFont="1">
      <alignment vertical="center"/>
    </xf>
    <xf numFmtId="180" fontId="14" fillId="0" borderId="28" xfId="0" applyFont="1" applyBorder="1">
      <alignment vertical="center"/>
    </xf>
    <xf numFmtId="177" fontId="0" fillId="0" borderId="0" xfId="0" applyNumberFormat="1">
      <alignment vertical="center"/>
    </xf>
    <xf numFmtId="180" fontId="0" fillId="0" borderId="0" xfId="0" applyAlignment="1">
      <alignment horizontal="right" vertical="center"/>
    </xf>
    <xf numFmtId="40" fontId="0" fillId="0" borderId="14" xfId="0" applyNumberFormat="1" applyBorder="1" applyAlignment="1">
      <alignment horizontal="centerContinuous" vertical="center"/>
    </xf>
    <xf numFmtId="40" fontId="0" fillId="0" borderId="15" xfId="0" applyNumberFormat="1" applyBorder="1" applyAlignment="1">
      <alignment horizontal="centerContinuous" vertical="center"/>
    </xf>
    <xf numFmtId="40" fontId="3" fillId="0" borderId="14" xfId="0" applyNumberFormat="1" applyFont="1" applyBorder="1" applyAlignment="1">
      <alignment horizontal="centerContinuous" vertical="center"/>
    </xf>
    <xf numFmtId="40" fontId="3" fillId="0" borderId="29" xfId="0" applyNumberFormat="1" applyFont="1" applyBorder="1" applyAlignment="1">
      <alignment horizontal="centerContinuous" vertical="center"/>
    </xf>
    <xf numFmtId="40" fontId="0" fillId="0" borderId="30" xfId="0" applyNumberFormat="1" applyBorder="1" applyAlignment="1">
      <alignment horizontal="centerContinuous" vertical="center"/>
    </xf>
    <xf numFmtId="180" fontId="0" fillId="0" borderId="0" xfId="0" applyAlignment="1">
      <alignment horizontal="center" vertical="center"/>
    </xf>
    <xf numFmtId="40" fontId="14" fillId="0" borderId="0" xfId="0" applyNumberFormat="1" applyFont="1" applyAlignment="1">
      <alignment horizontal="centerContinuous" vertical="center"/>
    </xf>
    <xf numFmtId="184" fontId="0" fillId="0" borderId="25" xfId="0" applyNumberFormat="1" applyBorder="1" applyAlignment="1">
      <alignment horizontal="centerContinuous" vertical="center"/>
    </xf>
    <xf numFmtId="40" fontId="3" fillId="0" borderId="31" xfId="0" applyNumberFormat="1" applyFont="1" applyBorder="1" applyAlignment="1">
      <alignment horizontal="centerContinuous" vertical="center"/>
    </xf>
    <xf numFmtId="208" fontId="0" fillId="0" borderId="32" xfId="0" applyNumberFormat="1" applyBorder="1" applyAlignment="1">
      <alignment horizontal="centerContinuous" vertical="center"/>
    </xf>
    <xf numFmtId="40" fontId="0" fillId="0" borderId="27" xfId="0" applyNumberFormat="1" applyBorder="1" applyAlignment="1">
      <alignment horizontal="centerContinuous" vertical="center"/>
    </xf>
    <xf numFmtId="40" fontId="3" fillId="0" borderId="25" xfId="0" applyNumberFormat="1" applyFont="1" applyBorder="1" applyAlignment="1">
      <alignment horizontal="centerContinuous" vertical="center"/>
    </xf>
    <xf numFmtId="40" fontId="0" fillId="0" borderId="32" xfId="0" applyNumberFormat="1" applyBorder="1" applyAlignment="1">
      <alignment horizontal="centerContinuous" vertical="center"/>
    </xf>
    <xf numFmtId="40" fontId="3" fillId="0" borderId="17" xfId="0" applyNumberFormat="1" applyFont="1" applyBorder="1" applyAlignment="1">
      <alignment horizontal="centerContinuous" vertical="center"/>
    </xf>
    <xf numFmtId="40" fontId="3" fillId="0" borderId="33" xfId="0" applyNumberFormat="1" applyFont="1" applyBorder="1" applyAlignment="1">
      <alignment horizontal="centerContinuous" vertical="center"/>
    </xf>
    <xf numFmtId="40" fontId="0" fillId="0" borderId="34" xfId="0" applyNumberFormat="1" applyBorder="1" applyAlignment="1">
      <alignment horizontal="centerContinuous" vertical="center"/>
    </xf>
    <xf numFmtId="40" fontId="0" fillId="0" borderId="23" xfId="0" applyNumberFormat="1" applyBorder="1" applyAlignment="1">
      <alignment horizontal="centerContinuous" vertical="center"/>
    </xf>
    <xf numFmtId="40" fontId="3" fillId="0" borderId="0" xfId="0" applyNumberFormat="1" applyFont="1" applyAlignment="1">
      <alignment horizontal="center" vertical="center"/>
    </xf>
    <xf numFmtId="40" fontId="0" fillId="0" borderId="0" xfId="0" applyNumberFormat="1" applyAlignment="1">
      <alignment horizontal="center" vertical="center"/>
    </xf>
    <xf numFmtId="180" fontId="0" fillId="0" borderId="22" xfId="0" applyBorder="1">
      <alignment vertical="center"/>
    </xf>
    <xf numFmtId="206" fontId="0" fillId="0" borderId="0" xfId="0" applyNumberFormat="1" applyAlignment="1">
      <alignment horizontal="center" vertical="center"/>
    </xf>
    <xf numFmtId="208" fontId="0" fillId="0" borderId="34" xfId="0" applyNumberFormat="1" applyBorder="1" applyAlignment="1">
      <alignment horizontal="centerContinuous" vertical="center"/>
    </xf>
    <xf numFmtId="40" fontId="3" fillId="0" borderId="2" xfId="0" applyNumberFormat="1" applyFont="1" applyBorder="1" applyAlignment="1">
      <alignment horizontal="centerContinuous" vertical="center"/>
    </xf>
    <xf numFmtId="40" fontId="0" fillId="0" borderId="2" xfId="0" applyNumberFormat="1" applyBorder="1" applyAlignment="1">
      <alignment horizontal="centerContinuous" vertical="center"/>
    </xf>
    <xf numFmtId="185" fontId="0" fillId="0" borderId="0" xfId="0" applyNumberFormat="1">
      <alignment vertical="center"/>
    </xf>
    <xf numFmtId="40" fontId="3" fillId="0" borderId="0" xfId="0" applyNumberFormat="1" applyFont="1" applyAlignment="1">
      <alignment horizontal="centerContinuous" vertical="center"/>
    </xf>
    <xf numFmtId="40" fontId="0" fillId="0" borderId="0" xfId="0" applyNumberFormat="1" applyAlignment="1">
      <alignment horizontal="centerContinuous" vertical="center"/>
    </xf>
    <xf numFmtId="180" fontId="0" fillId="0" borderId="1" xfId="0" applyBorder="1">
      <alignment vertical="center"/>
    </xf>
    <xf numFmtId="180" fontId="0" fillId="0" borderId="2" xfId="0" applyBorder="1">
      <alignment vertical="center"/>
    </xf>
    <xf numFmtId="180" fontId="14" fillId="0" borderId="16" xfId="0" applyFont="1" applyBorder="1" applyAlignment="1">
      <alignment horizontal="right" vertical="center" shrinkToFit="1"/>
    </xf>
    <xf numFmtId="180" fontId="0" fillId="0" borderId="28" xfId="0" applyBorder="1">
      <alignment vertical="center"/>
    </xf>
    <xf numFmtId="180" fontId="14" fillId="0" borderId="8" xfId="0" applyFont="1" applyBorder="1">
      <alignment vertical="center"/>
    </xf>
    <xf numFmtId="180" fontId="14" fillId="0" borderId="46" xfId="0" applyFont="1" applyBorder="1">
      <alignment vertical="center"/>
    </xf>
    <xf numFmtId="180" fontId="0" fillId="0" borderId="47" xfId="0" applyBorder="1">
      <alignment vertical="center"/>
    </xf>
    <xf numFmtId="180" fontId="0" fillId="0" borderId="48" xfId="0" applyBorder="1">
      <alignment vertical="center"/>
    </xf>
    <xf numFmtId="180" fontId="0" fillId="0" borderId="25" xfId="0" applyBorder="1">
      <alignment vertical="center"/>
    </xf>
    <xf numFmtId="180" fontId="0" fillId="0" borderId="26" xfId="0" applyBorder="1">
      <alignment vertical="center"/>
    </xf>
    <xf numFmtId="180" fontId="0" fillId="0" borderId="17" xfId="0" applyBorder="1">
      <alignment vertical="center"/>
    </xf>
    <xf numFmtId="180" fontId="0" fillId="0" borderId="16" xfId="0" applyBorder="1">
      <alignment vertical="center"/>
    </xf>
    <xf numFmtId="180" fontId="10" fillId="0" borderId="0" xfId="0" applyFont="1" applyAlignment="1">
      <alignment horizontal="center" vertical="center" textRotation="255" wrapText="1"/>
    </xf>
    <xf numFmtId="0" fontId="14" fillId="0" borderId="15" xfId="0" applyNumberFormat="1" applyFont="1" applyBorder="1" applyAlignment="1">
      <alignment horizontal="center" vertical="center"/>
    </xf>
    <xf numFmtId="40" fontId="0" fillId="0" borderId="29" xfId="0" applyNumberFormat="1" applyBorder="1" applyAlignment="1">
      <alignment horizontal="centerContinuous" vertical="center"/>
    </xf>
    <xf numFmtId="40" fontId="3" fillId="0" borderId="13" xfId="0" applyNumberFormat="1" applyFont="1" applyBorder="1" applyAlignment="1">
      <alignment horizontal="centerContinuous" vertical="center"/>
    </xf>
    <xf numFmtId="40" fontId="0" fillId="0" borderId="13" xfId="0" applyNumberFormat="1" applyBorder="1" applyAlignment="1">
      <alignment horizontal="centerContinuous" vertical="center"/>
    </xf>
    <xf numFmtId="40" fontId="0" fillId="0" borderId="25" xfId="0" applyNumberFormat="1" applyBorder="1" applyAlignment="1">
      <alignment horizontal="centerContinuous" vertical="center"/>
    </xf>
    <xf numFmtId="40" fontId="0" fillId="0" borderId="31" xfId="0" applyNumberFormat="1" applyBorder="1" applyAlignment="1">
      <alignment horizontal="centerContinuous" vertical="center"/>
    </xf>
    <xf numFmtId="40" fontId="3" fillId="0" borderId="26" xfId="0" applyNumberFormat="1" applyFont="1" applyBorder="1" applyAlignment="1">
      <alignment horizontal="centerContinuous" vertical="center"/>
    </xf>
    <xf numFmtId="40" fontId="0" fillId="0" borderId="26" xfId="0" applyNumberFormat="1" applyBorder="1" applyAlignment="1">
      <alignment horizontal="centerContinuous" vertical="center"/>
    </xf>
    <xf numFmtId="40" fontId="0" fillId="0" borderId="17" xfId="0" applyNumberFormat="1" applyBorder="1" applyAlignment="1">
      <alignment horizontal="centerContinuous" vertical="center"/>
    </xf>
    <xf numFmtId="40" fontId="0" fillId="0" borderId="33" xfId="0" applyNumberFormat="1" applyBorder="1" applyAlignment="1">
      <alignment horizontal="centerContinuous" vertical="center"/>
    </xf>
    <xf numFmtId="40" fontId="0" fillId="0" borderId="16" xfId="0" applyNumberFormat="1" applyBorder="1" applyAlignment="1">
      <alignment horizontal="centerContinuous" vertical="center"/>
    </xf>
    <xf numFmtId="180" fontId="10" fillId="0" borderId="0" xfId="0" applyFont="1" applyAlignment="1">
      <alignment vertical="center" textRotation="255"/>
    </xf>
    <xf numFmtId="40" fontId="0" fillId="0" borderId="2" xfId="0" applyNumberFormat="1" applyBorder="1">
      <alignment vertical="center"/>
    </xf>
    <xf numFmtId="40" fontId="0" fillId="0" borderId="0" xfId="0" applyNumberFormat="1">
      <alignment vertical="center"/>
    </xf>
    <xf numFmtId="40" fontId="3" fillId="0" borderId="0" xfId="0" applyNumberFormat="1" applyFont="1">
      <alignment vertical="center"/>
    </xf>
    <xf numFmtId="40" fontId="3" fillId="0" borderId="16" xfId="0" applyNumberFormat="1" applyFont="1" applyBorder="1" applyAlignment="1">
      <alignment horizontal="centerContinuous" vertical="center"/>
    </xf>
    <xf numFmtId="180" fontId="14" fillId="0" borderId="24" xfId="0" applyFont="1" applyBorder="1">
      <alignment vertical="center"/>
    </xf>
    <xf numFmtId="40" fontId="14" fillId="0" borderId="8" xfId="0" applyNumberFormat="1" applyFont="1" applyBorder="1">
      <alignment vertical="center"/>
    </xf>
    <xf numFmtId="0" fontId="14" fillId="0" borderId="1" xfId="0" applyNumberFormat="1" applyFont="1" applyBorder="1">
      <alignment vertical="center"/>
    </xf>
    <xf numFmtId="0" fontId="14" fillId="0" borderId="2" xfId="0" applyNumberFormat="1" applyFont="1" applyBorder="1">
      <alignment vertical="center"/>
    </xf>
    <xf numFmtId="0" fontId="14" fillId="0" borderId="19" xfId="0" applyNumberFormat="1" applyFont="1" applyBorder="1">
      <alignment vertical="center"/>
    </xf>
    <xf numFmtId="0" fontId="14" fillId="0" borderId="7" xfId="0" applyNumberFormat="1" applyFont="1" applyBorder="1">
      <alignment vertical="center"/>
    </xf>
    <xf numFmtId="0" fontId="14" fillId="0" borderId="8" xfId="0" applyNumberFormat="1" applyFont="1" applyBorder="1">
      <alignment vertical="center"/>
    </xf>
    <xf numFmtId="0" fontId="14" fillId="0" borderId="24" xfId="0" applyNumberFormat="1" applyFont="1" applyBorder="1">
      <alignment vertical="center"/>
    </xf>
    <xf numFmtId="180" fontId="14" fillId="0" borderId="26" xfId="0" applyFont="1" applyBorder="1">
      <alignment vertical="center"/>
    </xf>
    <xf numFmtId="180" fontId="14" fillId="0" borderId="27" xfId="0" applyFont="1" applyBorder="1">
      <alignment vertical="center"/>
    </xf>
    <xf numFmtId="180" fontId="14" fillId="0" borderId="16" xfId="0" applyFont="1" applyBorder="1">
      <alignment vertical="center"/>
    </xf>
    <xf numFmtId="180" fontId="14" fillId="0" borderId="23" xfId="0" applyFont="1" applyBorder="1">
      <alignment vertical="center"/>
    </xf>
    <xf numFmtId="180" fontId="14" fillId="0" borderId="1" xfId="0" applyFont="1" applyBorder="1" applyAlignment="1">
      <alignment horizontal="center" vertical="center" wrapText="1"/>
    </xf>
    <xf numFmtId="180" fontId="14" fillId="0" borderId="2" xfId="0" applyFont="1" applyBorder="1" applyAlignment="1">
      <alignment horizontal="center" vertical="center" wrapText="1"/>
    </xf>
    <xf numFmtId="180" fontId="3" fillId="0" borderId="2" xfId="0" applyFont="1" applyBorder="1">
      <alignment vertical="center"/>
    </xf>
    <xf numFmtId="180" fontId="0" fillId="0" borderId="13" xfId="0" applyBorder="1">
      <alignment vertical="center"/>
    </xf>
    <xf numFmtId="180" fontId="3" fillId="0" borderId="19" xfId="0" applyFont="1" applyBorder="1">
      <alignment vertical="center"/>
    </xf>
    <xf numFmtId="180" fontId="14" fillId="0" borderId="22" xfId="0" applyFont="1" applyBorder="1" applyAlignment="1">
      <alignment horizontal="center" vertical="center" wrapText="1"/>
    </xf>
    <xf numFmtId="180" fontId="14" fillId="0" borderId="0" xfId="0" applyFont="1" applyAlignment="1">
      <alignment horizontal="center" vertical="center" wrapText="1"/>
    </xf>
    <xf numFmtId="180" fontId="3" fillId="0" borderId="0" xfId="0" applyFont="1">
      <alignment vertical="center"/>
    </xf>
    <xf numFmtId="180" fontId="3" fillId="0" borderId="28" xfId="0" applyFont="1" applyBorder="1">
      <alignment vertical="center"/>
    </xf>
    <xf numFmtId="180" fontId="14" fillId="0" borderId="7" xfId="0" applyFont="1" applyBorder="1" applyAlignment="1">
      <alignment horizontal="center" vertical="center" wrapText="1"/>
    </xf>
    <xf numFmtId="180" fontId="14" fillId="0" borderId="8" xfId="0" applyFont="1" applyBorder="1" applyAlignment="1">
      <alignment horizontal="center" vertical="center" wrapText="1"/>
    </xf>
    <xf numFmtId="180" fontId="3" fillId="0" borderId="8" xfId="0" applyFont="1" applyBorder="1">
      <alignment vertical="center"/>
    </xf>
    <xf numFmtId="180" fontId="3" fillId="0" borderId="8" xfId="0" applyFont="1" applyBorder="1" applyAlignment="1">
      <alignment horizontal="centerContinuous" vertical="center"/>
    </xf>
    <xf numFmtId="180" fontId="3" fillId="0" borderId="8" xfId="0" applyFont="1" applyBorder="1" applyAlignment="1">
      <alignment horizontal="right" vertical="center"/>
    </xf>
    <xf numFmtId="180" fontId="3" fillId="0" borderId="8" xfId="0" applyFont="1" applyBorder="1" applyAlignment="1">
      <alignment vertical="center" shrinkToFit="1"/>
    </xf>
    <xf numFmtId="40" fontId="3" fillId="0" borderId="8" xfId="0" applyNumberFormat="1" applyFont="1" applyBorder="1" applyAlignment="1">
      <alignment horizontal="centerContinuous" vertical="center"/>
    </xf>
    <xf numFmtId="180" fontId="14" fillId="0" borderId="13" xfId="0" applyFont="1" applyBorder="1" applyAlignment="1">
      <alignment horizontal="center" vertical="center"/>
    </xf>
    <xf numFmtId="40" fontId="14" fillId="0" borderId="30" xfId="0" applyNumberFormat="1" applyFont="1" applyBorder="1" applyAlignment="1">
      <alignment horizontal="centerContinuous" vertical="center"/>
    </xf>
    <xf numFmtId="40" fontId="14" fillId="0" borderId="15" xfId="0" applyNumberFormat="1" applyFont="1" applyBorder="1" applyAlignment="1">
      <alignment horizontal="centerContinuous" vertical="center"/>
    </xf>
    <xf numFmtId="40" fontId="14" fillId="0" borderId="29" xfId="0" applyNumberFormat="1" applyFont="1" applyBorder="1" applyAlignment="1">
      <alignment horizontal="center" vertical="center"/>
    </xf>
    <xf numFmtId="180" fontId="14" fillId="0" borderId="14" xfId="0" applyFont="1" applyBorder="1" applyAlignment="1">
      <alignment horizontal="centerContinuous" vertical="center"/>
    </xf>
    <xf numFmtId="180" fontId="14" fillId="0" borderId="13" xfId="0" applyFont="1" applyBorder="1" applyAlignment="1">
      <alignment horizontal="centerContinuous" vertical="center"/>
    </xf>
    <xf numFmtId="180" fontId="14" fillId="0" borderId="15" xfId="0" applyFont="1" applyBorder="1" applyAlignment="1">
      <alignment horizontal="centerContinuous" vertical="center"/>
    </xf>
    <xf numFmtId="180" fontId="14" fillId="0" borderId="26" xfId="0" applyFont="1" applyBorder="1" applyAlignment="1">
      <alignment horizontal="center" vertical="center"/>
    </xf>
    <xf numFmtId="40" fontId="14" fillId="0" borderId="32" xfId="0" applyNumberFormat="1" applyFont="1" applyBorder="1" applyAlignment="1">
      <alignment horizontal="centerContinuous" vertical="center"/>
    </xf>
    <xf numFmtId="40" fontId="14" fillId="0" borderId="27" xfId="0" applyNumberFormat="1" applyFont="1" applyBorder="1" applyAlignment="1">
      <alignment horizontal="centerContinuous" vertical="center"/>
    </xf>
    <xf numFmtId="40" fontId="14" fillId="0" borderId="31" xfId="0" applyNumberFormat="1" applyFont="1" applyBorder="1" applyAlignment="1">
      <alignment horizontal="center" vertical="center"/>
    </xf>
    <xf numFmtId="180" fontId="14" fillId="0" borderId="25" xfId="0" applyFont="1" applyBorder="1" applyAlignment="1">
      <alignment horizontal="centerContinuous" vertical="center"/>
    </xf>
    <xf numFmtId="180" fontId="14" fillId="0" borderId="26" xfId="0" applyFont="1" applyBorder="1" applyAlignment="1">
      <alignment horizontal="centerContinuous" vertical="center"/>
    </xf>
    <xf numFmtId="180" fontId="14" fillId="0" borderId="27" xfId="0" applyFont="1" applyBorder="1" applyAlignment="1">
      <alignment horizontal="centerContinuous" vertical="center"/>
    </xf>
    <xf numFmtId="40" fontId="14" fillId="0" borderId="34" xfId="0" applyNumberFormat="1" applyFont="1" applyBorder="1" applyAlignment="1">
      <alignment horizontal="centerContinuous" vertical="center"/>
    </xf>
    <xf numFmtId="40" fontId="14" fillId="0" borderId="23" xfId="0" applyNumberFormat="1" applyFont="1" applyBorder="1" applyAlignment="1">
      <alignment horizontal="centerContinuous" vertical="center"/>
    </xf>
    <xf numFmtId="40" fontId="14" fillId="0" borderId="33" xfId="0" applyNumberFormat="1" applyFont="1" applyBorder="1" applyAlignment="1">
      <alignment horizontal="center" vertical="center"/>
    </xf>
    <xf numFmtId="180" fontId="14" fillId="0" borderId="17" xfId="0" applyFont="1" applyBorder="1" applyAlignment="1">
      <alignment horizontal="centerContinuous" vertical="center"/>
    </xf>
    <xf numFmtId="180" fontId="14" fillId="0" borderId="16" xfId="0" applyFont="1" applyBorder="1" applyAlignment="1">
      <alignment horizontal="centerContinuous" vertical="center"/>
    </xf>
    <xf numFmtId="180" fontId="14" fillId="0" borderId="23" xfId="0" applyFont="1" applyBorder="1" applyAlignment="1">
      <alignment horizontal="centerContinuous" vertical="center"/>
    </xf>
    <xf numFmtId="180" fontId="14" fillId="0" borderId="13" xfId="0" applyFont="1" applyBorder="1" applyAlignment="1">
      <alignment horizontal="right" vertical="center" shrinkToFit="1"/>
    </xf>
    <xf numFmtId="180" fontId="14" fillId="0" borderId="48" xfId="0" applyFont="1" applyBorder="1" applyAlignment="1">
      <alignment horizontal="center" vertical="center"/>
    </xf>
    <xf numFmtId="180" fontId="14" fillId="0" borderId="26" xfId="0" applyFont="1" applyBorder="1" applyAlignment="1">
      <alignment horizontal="right" vertical="center" shrinkToFit="1"/>
    </xf>
    <xf numFmtId="180" fontId="14" fillId="0" borderId="26" xfId="0" applyFont="1" applyBorder="1" applyAlignment="1">
      <alignment horizontal="center" vertical="center" shrinkToFit="1"/>
    </xf>
    <xf numFmtId="180" fontId="14" fillId="0" borderId="37" xfId="0" applyFont="1" applyBorder="1" applyAlignment="1">
      <alignment horizontal="center" vertical="center" shrinkToFit="1"/>
    </xf>
    <xf numFmtId="180" fontId="14" fillId="0" borderId="14" xfId="0" applyFont="1" applyBorder="1">
      <alignment vertical="center"/>
    </xf>
    <xf numFmtId="180" fontId="14" fillId="0" borderId="13" xfId="0" applyFont="1" applyBorder="1" applyAlignment="1">
      <alignment horizontal="center" vertical="center" shrinkToFit="1"/>
    </xf>
    <xf numFmtId="180" fontId="14" fillId="0" borderId="25" xfId="0" applyFont="1" applyBorder="1">
      <alignment vertical="center"/>
    </xf>
    <xf numFmtId="180" fontId="14" fillId="0" borderId="39" xfId="0" applyFont="1" applyBorder="1">
      <alignment vertical="center"/>
    </xf>
    <xf numFmtId="180" fontId="14" fillId="0" borderId="0" xfId="0" applyFont="1" applyAlignment="1">
      <alignment horizontal="center" vertical="center" shrinkToFit="1"/>
    </xf>
    <xf numFmtId="180" fontId="14" fillId="0" borderId="17" xfId="0" applyFont="1" applyBorder="1">
      <alignment vertical="center"/>
    </xf>
    <xf numFmtId="180" fontId="14" fillId="0" borderId="16" xfId="0" applyFont="1" applyBorder="1" applyAlignment="1">
      <alignment horizontal="center" vertical="center" shrinkToFit="1"/>
    </xf>
    <xf numFmtId="40" fontId="14" fillId="0" borderId="30" xfId="0" applyNumberFormat="1" applyFont="1" applyBorder="1" applyAlignment="1">
      <alignment horizontal="centerContinuous" vertical="center" shrinkToFit="1"/>
    </xf>
    <xf numFmtId="40" fontId="14" fillId="0" borderId="15" xfId="0" applyNumberFormat="1" applyFont="1" applyBorder="1" applyAlignment="1">
      <alignment horizontal="centerContinuous" vertical="center" shrinkToFit="1"/>
    </xf>
    <xf numFmtId="40" fontId="14" fillId="0" borderId="13" xfId="0" applyNumberFormat="1" applyFont="1" applyBorder="1" applyAlignment="1">
      <alignment horizontal="centerContinuous" vertical="center"/>
    </xf>
    <xf numFmtId="40" fontId="14" fillId="0" borderId="32" xfId="0" applyNumberFormat="1" applyFont="1" applyBorder="1" applyAlignment="1">
      <alignment horizontal="centerContinuous" vertical="center" shrinkToFit="1"/>
    </xf>
    <xf numFmtId="40" fontId="14" fillId="0" borderId="27" xfId="0" applyNumberFormat="1" applyFont="1" applyBorder="1" applyAlignment="1">
      <alignment horizontal="centerContinuous" vertical="center" shrinkToFit="1"/>
    </xf>
    <xf numFmtId="40" fontId="14" fillId="0" borderId="26" xfId="0" applyNumberFormat="1" applyFont="1" applyBorder="1" applyAlignment="1">
      <alignment horizontal="centerContinuous" vertical="center"/>
    </xf>
    <xf numFmtId="40" fontId="14" fillId="0" borderId="34" xfId="0" applyNumberFormat="1" applyFont="1" applyBorder="1" applyAlignment="1">
      <alignment horizontal="centerContinuous" vertical="center" shrinkToFit="1"/>
    </xf>
    <xf numFmtId="40" fontId="14" fillId="0" borderId="23" xfId="0" applyNumberFormat="1" applyFont="1" applyBorder="1" applyAlignment="1">
      <alignment horizontal="centerContinuous" vertical="center" shrinkToFit="1"/>
    </xf>
    <xf numFmtId="40" fontId="14" fillId="0" borderId="16" xfId="0" applyNumberFormat="1" applyFont="1" applyBorder="1" applyAlignment="1">
      <alignment horizontal="centerContinuous" vertical="center"/>
    </xf>
    <xf numFmtId="180" fontId="14" fillId="0" borderId="48" xfId="0" applyFont="1" applyBorder="1">
      <alignment vertical="center"/>
    </xf>
    <xf numFmtId="180" fontId="9" fillId="0" borderId="0" xfId="0" applyFont="1" applyAlignment="1">
      <alignment horizontal="center" vertical="center" wrapText="1"/>
    </xf>
    <xf numFmtId="180" fontId="3" fillId="0" borderId="0" xfId="0" applyFont="1" applyAlignment="1">
      <alignment horizontal="centerContinuous" vertical="center"/>
    </xf>
    <xf numFmtId="38" fontId="14" fillId="0" borderId="0" xfId="0" applyNumberFormat="1" applyFont="1">
      <alignment vertical="center"/>
    </xf>
    <xf numFmtId="180" fontId="14" fillId="0" borderId="37" xfId="0" applyFont="1" applyBorder="1" applyAlignment="1">
      <alignment horizontal="centerContinuous" vertical="center"/>
    </xf>
    <xf numFmtId="180" fontId="0" fillId="0" borderId="62" xfId="0" applyBorder="1">
      <alignment vertical="center"/>
    </xf>
    <xf numFmtId="180" fontId="0" fillId="0" borderId="46" xfId="0" applyBorder="1">
      <alignment vertical="center"/>
    </xf>
    <xf numFmtId="0" fontId="9" fillId="0" borderId="43" xfId="0" applyNumberFormat="1" applyFont="1" applyBorder="1">
      <alignment vertical="center"/>
    </xf>
    <xf numFmtId="0" fontId="3" fillId="0" borderId="43" xfId="0" applyNumberFormat="1" applyFont="1" applyBorder="1">
      <alignment vertical="center"/>
    </xf>
    <xf numFmtId="0" fontId="3" fillId="0" borderId="45" xfId="0" applyNumberFormat="1" applyFont="1" applyBorder="1">
      <alignment vertical="center"/>
    </xf>
    <xf numFmtId="0" fontId="9" fillId="0" borderId="0" xfId="0" applyNumberFormat="1" applyFont="1">
      <alignment vertical="center"/>
    </xf>
    <xf numFmtId="0" fontId="3" fillId="0" borderId="0" xfId="0" applyNumberFormat="1" applyFont="1">
      <alignment vertical="center"/>
    </xf>
    <xf numFmtId="0" fontId="3" fillId="0" borderId="53" xfId="0" applyNumberFormat="1" applyFont="1" applyBorder="1">
      <alignment vertical="center"/>
    </xf>
    <xf numFmtId="0" fontId="9" fillId="0" borderId="4" xfId="0" applyNumberFormat="1" applyFont="1" applyBorder="1">
      <alignment vertical="center"/>
    </xf>
    <xf numFmtId="0" fontId="3" fillId="0" borderId="4" xfId="0" applyNumberFormat="1" applyFont="1" applyBorder="1">
      <alignment vertical="center"/>
    </xf>
    <xf numFmtId="0" fontId="3" fillId="0" borderId="21" xfId="0" applyNumberFormat="1" applyFont="1" applyBorder="1">
      <alignment vertical="center"/>
    </xf>
    <xf numFmtId="0" fontId="9" fillId="0" borderId="72" xfId="0" applyNumberFormat="1" applyFont="1" applyBorder="1">
      <alignment vertical="center"/>
    </xf>
    <xf numFmtId="0" fontId="3" fillId="0" borderId="72" xfId="0" applyNumberFormat="1" applyFont="1" applyBorder="1">
      <alignment vertical="center"/>
    </xf>
    <xf numFmtId="0" fontId="3" fillId="0" borderId="74" xfId="0" applyNumberFormat="1" applyFont="1" applyBorder="1">
      <alignment vertical="center"/>
    </xf>
    <xf numFmtId="180" fontId="23" fillId="0" borderId="8" xfId="0" applyFont="1" applyBorder="1">
      <alignment vertical="center"/>
    </xf>
    <xf numFmtId="180" fontId="11" fillId="0" borderId="8" xfId="0" applyFont="1" applyBorder="1">
      <alignment vertical="center"/>
    </xf>
    <xf numFmtId="177" fontId="14" fillId="0" borderId="0" xfId="0" applyNumberFormat="1" applyFont="1">
      <alignment vertical="center"/>
    </xf>
    <xf numFmtId="180" fontId="14" fillId="6" borderId="47" xfId="0" applyFont="1" applyFill="1" applyBorder="1">
      <alignment vertical="center"/>
    </xf>
    <xf numFmtId="180" fontId="14" fillId="0" borderId="75" xfId="0" applyFont="1" applyBorder="1" applyAlignment="1">
      <alignment horizontal="center" vertical="center"/>
    </xf>
    <xf numFmtId="177" fontId="14" fillId="0" borderId="48" xfId="0" applyNumberFormat="1" applyFont="1" applyBorder="1" applyAlignment="1">
      <alignment horizontal="center" vertical="center"/>
    </xf>
    <xf numFmtId="177" fontId="14" fillId="0" borderId="48" xfId="0" applyNumberFormat="1" applyFont="1" applyBorder="1">
      <alignment vertical="center"/>
    </xf>
    <xf numFmtId="177" fontId="14" fillId="0" borderId="49" xfId="0" applyNumberFormat="1" applyFont="1" applyBorder="1">
      <alignment vertical="center"/>
    </xf>
    <xf numFmtId="180" fontId="14" fillId="0" borderId="76" xfId="0" applyFont="1" applyBorder="1" applyAlignment="1">
      <alignment horizontal="center" vertical="center"/>
    </xf>
    <xf numFmtId="177" fontId="14" fillId="0" borderId="26" xfId="0" applyNumberFormat="1" applyFont="1" applyBorder="1" applyAlignment="1">
      <alignment horizontal="center" vertical="center"/>
    </xf>
    <xf numFmtId="177" fontId="14" fillId="0" borderId="26" xfId="0" applyNumberFormat="1" applyFont="1" applyBorder="1">
      <alignment vertical="center"/>
    </xf>
    <xf numFmtId="177" fontId="14" fillId="0" borderId="27" xfId="0" applyNumberFormat="1" applyFont="1" applyBorder="1">
      <alignment vertical="center"/>
    </xf>
    <xf numFmtId="40" fontId="14" fillId="0" borderId="26" xfId="0" applyNumberFormat="1" applyFont="1" applyBorder="1" applyAlignment="1">
      <alignment horizontal="center" vertical="center"/>
    </xf>
    <xf numFmtId="40" fontId="14" fillId="0" borderId="26" xfId="0" applyNumberFormat="1" applyFont="1" applyBorder="1">
      <alignment vertical="center"/>
    </xf>
    <xf numFmtId="40" fontId="14" fillId="0" borderId="27" xfId="0" applyNumberFormat="1" applyFont="1" applyBorder="1">
      <alignment vertical="center"/>
    </xf>
    <xf numFmtId="180" fontId="14" fillId="0" borderId="52" xfId="0" applyFont="1" applyBorder="1" applyAlignment="1">
      <alignment horizontal="center" vertical="center"/>
    </xf>
    <xf numFmtId="40" fontId="14" fillId="0" borderId="8" xfId="0" applyNumberFormat="1" applyFont="1" applyBorder="1" applyAlignment="1">
      <alignment horizontal="center" vertical="center"/>
    </xf>
    <xf numFmtId="40" fontId="14" fillId="0" borderId="24" xfId="0" applyNumberFormat="1" applyFont="1" applyBorder="1">
      <alignment vertical="center"/>
    </xf>
    <xf numFmtId="40" fontId="14" fillId="0" borderId="48" xfId="0" applyNumberFormat="1" applyFont="1" applyBorder="1" applyAlignment="1">
      <alignment horizontal="center" vertical="center"/>
    </xf>
    <xf numFmtId="40" fontId="14" fillId="0" borderId="48" xfId="0" applyNumberFormat="1" applyFont="1" applyBorder="1">
      <alignment vertical="center"/>
    </xf>
    <xf numFmtId="40" fontId="14" fillId="0" borderId="49" xfId="0" applyNumberFormat="1" applyFont="1" applyBorder="1">
      <alignment vertical="center"/>
    </xf>
    <xf numFmtId="180" fontId="14" fillId="0" borderId="78" xfId="0" applyFont="1" applyBorder="1" applyAlignment="1">
      <alignment horizontal="center" vertical="center"/>
    </xf>
    <xf numFmtId="180" fontId="14" fillId="0" borderId="2" xfId="0" applyFont="1" applyBorder="1">
      <alignment vertical="center"/>
    </xf>
    <xf numFmtId="40" fontId="14" fillId="0" borderId="20" xfId="0" applyNumberFormat="1" applyFont="1" applyBorder="1" applyAlignment="1">
      <alignment horizontal="right" vertical="center"/>
    </xf>
    <xf numFmtId="180" fontId="10" fillId="0" borderId="0" xfId="0" applyFont="1">
      <alignment vertical="center"/>
    </xf>
    <xf numFmtId="180" fontId="10" fillId="0" borderId="8" xfId="0" applyFont="1" applyBorder="1">
      <alignment vertical="center"/>
    </xf>
    <xf numFmtId="180" fontId="14" fillId="6" borderId="17" xfId="0" applyFont="1" applyFill="1" applyBorder="1">
      <alignment vertical="center"/>
    </xf>
    <xf numFmtId="180" fontId="14" fillId="0" borderId="79" xfId="0" applyFont="1" applyBorder="1" applyAlignment="1">
      <alignment horizontal="center" vertical="center"/>
    </xf>
    <xf numFmtId="40" fontId="14" fillId="0" borderId="23" xfId="0" applyNumberFormat="1" applyFont="1" applyBorder="1">
      <alignment vertical="center"/>
    </xf>
    <xf numFmtId="40" fontId="14" fillId="0" borderId="20" xfId="0" applyNumberFormat="1" applyFont="1" applyBorder="1">
      <alignment vertical="center"/>
    </xf>
    <xf numFmtId="180" fontId="14" fillId="6" borderId="75" xfId="0" applyFont="1" applyFill="1" applyBorder="1">
      <alignment vertical="center"/>
    </xf>
    <xf numFmtId="180" fontId="14" fillId="6" borderId="79" xfId="0" applyFont="1" applyFill="1" applyBorder="1">
      <alignment vertical="center"/>
    </xf>
    <xf numFmtId="180" fontId="14" fillId="0" borderId="22" xfId="0" applyFont="1" applyBorder="1">
      <alignment vertical="center"/>
    </xf>
    <xf numFmtId="180" fontId="14" fillId="0" borderId="7" xfId="0" applyFont="1" applyBorder="1">
      <alignment vertical="center"/>
    </xf>
    <xf numFmtId="180" fontId="23" fillId="0" borderId="0" xfId="0" applyFont="1">
      <alignment vertical="center"/>
    </xf>
    <xf numFmtId="180" fontId="14" fillId="0" borderId="4" xfId="0" applyFont="1" applyBorder="1" applyAlignment="1">
      <alignment horizontal="center" vertical="center"/>
    </xf>
    <xf numFmtId="180" fontId="14" fillId="0" borderId="4" xfId="0" applyFont="1" applyBorder="1">
      <alignment vertical="center"/>
    </xf>
    <xf numFmtId="180" fontId="14" fillId="0" borderId="81" xfId="0" applyFont="1" applyBorder="1">
      <alignment vertical="center"/>
    </xf>
    <xf numFmtId="0" fontId="3" fillId="0" borderId="0" xfId="7" applyFont="1" applyAlignment="1">
      <alignment horizontal="center" vertical="center"/>
    </xf>
    <xf numFmtId="40" fontId="14" fillId="0" borderId="81" xfId="0" applyNumberFormat="1" applyFont="1" applyBorder="1">
      <alignment vertical="center"/>
    </xf>
    <xf numFmtId="0" fontId="23" fillId="0" borderId="0" xfId="7" applyFont="1">
      <alignment vertical="center"/>
    </xf>
    <xf numFmtId="0" fontId="3" fillId="0" borderId="0" xfId="7" applyFont="1">
      <alignment vertical="center"/>
    </xf>
    <xf numFmtId="0" fontId="3" fillId="0" borderId="62" xfId="7" applyFont="1" applyBorder="1" applyAlignment="1">
      <alignment horizontal="center" vertical="center"/>
    </xf>
    <xf numFmtId="40" fontId="14" fillId="0" borderId="78" xfId="0" applyNumberFormat="1" applyFont="1" applyBorder="1">
      <alignment vertical="center"/>
    </xf>
    <xf numFmtId="204" fontId="3" fillId="0" borderId="0" xfId="7" applyNumberFormat="1" applyFont="1">
      <alignment vertical="center"/>
    </xf>
    <xf numFmtId="40" fontId="14" fillId="0" borderId="76" xfId="0" applyNumberFormat="1" applyFont="1" applyBorder="1">
      <alignment vertical="center"/>
    </xf>
    <xf numFmtId="40" fontId="14" fillId="0" borderId="77" xfId="0" applyNumberFormat="1" applyFont="1" applyBorder="1">
      <alignment vertical="center"/>
    </xf>
    <xf numFmtId="185" fontId="3" fillId="0" borderId="0" xfId="7" applyNumberFormat="1" applyFont="1">
      <alignment vertical="center"/>
    </xf>
    <xf numFmtId="0" fontId="14" fillId="0" borderId="0" xfId="7" applyFont="1">
      <alignment vertical="center"/>
    </xf>
    <xf numFmtId="0" fontId="3" fillId="0" borderId="83" xfId="7" applyFont="1" applyBorder="1" applyAlignment="1">
      <alignment horizontal="center" vertical="center"/>
    </xf>
    <xf numFmtId="0" fontId="14" fillId="0" borderId="48" xfId="7" applyFont="1" applyBorder="1" applyAlignment="1">
      <alignment horizontal="center" vertical="center"/>
    </xf>
    <xf numFmtId="0" fontId="14" fillId="6" borderId="47" xfId="7" applyFont="1" applyFill="1" applyBorder="1" applyAlignment="1">
      <alignment horizontal="center" vertical="center"/>
    </xf>
    <xf numFmtId="0" fontId="14" fillId="6" borderId="84" xfId="7" applyFont="1" applyFill="1" applyBorder="1" applyAlignment="1">
      <alignment horizontal="center" vertical="center"/>
    </xf>
    <xf numFmtId="40" fontId="14" fillId="6" borderId="47" xfId="0" applyNumberFormat="1" applyFont="1" applyFill="1" applyBorder="1" applyAlignment="1">
      <alignment vertical="center" shrinkToFit="1"/>
    </xf>
    <xf numFmtId="0" fontId="3" fillId="0" borderId="83" xfId="7" applyFont="1" applyBorder="1">
      <alignment vertical="center"/>
    </xf>
    <xf numFmtId="0" fontId="14" fillId="6" borderId="25" xfId="7" applyFont="1" applyFill="1" applyBorder="1" applyAlignment="1">
      <alignment horizontal="center" vertical="center"/>
    </xf>
    <xf numFmtId="0" fontId="14" fillId="6" borderId="85" xfId="7" applyFont="1" applyFill="1" applyBorder="1" applyAlignment="1">
      <alignment horizontal="center" vertical="center"/>
    </xf>
    <xf numFmtId="40" fontId="14" fillId="6" borderId="25" xfId="0" applyNumberFormat="1" applyFont="1" applyFill="1" applyBorder="1" applyAlignment="1">
      <alignment vertical="center" shrinkToFit="1"/>
    </xf>
    <xf numFmtId="0" fontId="14" fillId="0" borderId="26" xfId="7" applyFont="1" applyBorder="1" applyAlignment="1">
      <alignment horizontal="center" vertical="center"/>
    </xf>
    <xf numFmtId="0" fontId="3" fillId="0" borderId="52" xfId="7" applyFont="1" applyBorder="1">
      <alignment vertical="center"/>
    </xf>
    <xf numFmtId="0" fontId="14" fillId="0" borderId="16" xfId="7" applyFont="1" applyBorder="1" applyAlignment="1">
      <alignment horizontal="center" vertical="center"/>
    </xf>
    <xf numFmtId="0" fontId="14" fillId="0" borderId="79" xfId="7" applyFont="1" applyBorder="1" applyAlignment="1">
      <alignment horizontal="center" vertical="center"/>
    </xf>
    <xf numFmtId="0" fontId="14" fillId="6" borderId="17" xfId="7" applyFont="1" applyFill="1" applyBorder="1" applyAlignment="1">
      <alignment horizontal="center" vertical="center"/>
    </xf>
    <xf numFmtId="0" fontId="14" fillId="6" borderId="86" xfId="7" applyFont="1" applyFill="1" applyBorder="1" applyAlignment="1">
      <alignment horizontal="center" vertical="center"/>
    </xf>
    <xf numFmtId="40" fontId="14" fillId="6" borderId="17" xfId="0" applyNumberFormat="1" applyFont="1" applyFill="1" applyBorder="1" applyAlignment="1">
      <alignment vertical="center" shrinkToFit="1"/>
    </xf>
    <xf numFmtId="40" fontId="3" fillId="0" borderId="91" xfId="0" applyNumberFormat="1" applyFont="1" applyBorder="1" applyAlignment="1">
      <alignment vertical="center" shrinkToFit="1"/>
    </xf>
    <xf numFmtId="40" fontId="3" fillId="0" borderId="92" xfId="0" applyNumberFormat="1" applyFont="1" applyBorder="1" applyAlignment="1">
      <alignment vertical="center" shrinkToFit="1"/>
    </xf>
    <xf numFmtId="40" fontId="3" fillId="0" borderId="91" xfId="0" applyNumberFormat="1" applyFont="1" applyBorder="1">
      <alignment vertical="center"/>
    </xf>
    <xf numFmtId="0" fontId="3" fillId="0" borderId="0" xfId="4" applyFont="1">
      <alignment vertical="center"/>
    </xf>
    <xf numFmtId="0" fontId="24" fillId="0" borderId="0" xfId="4" applyFont="1">
      <alignment vertical="center"/>
    </xf>
    <xf numFmtId="0" fontId="24" fillId="0" borderId="0" xfId="4" applyFont="1" applyAlignment="1">
      <alignment horizontal="center" vertical="center"/>
    </xf>
    <xf numFmtId="180" fontId="24" fillId="0" borderId="0" xfId="0" applyFont="1">
      <alignment vertical="center"/>
    </xf>
    <xf numFmtId="0" fontId="23" fillId="0" borderId="0" xfId="4" applyFont="1" applyAlignment="1">
      <alignment horizontal="left" vertical="center"/>
    </xf>
    <xf numFmtId="0" fontId="26" fillId="0" borderId="0" xfId="4" applyFont="1" applyAlignment="1">
      <alignment horizontal="center" vertical="center"/>
    </xf>
    <xf numFmtId="0" fontId="27" fillId="0" borderId="76" xfId="4" applyFont="1" applyBorder="1" applyAlignment="1">
      <alignment horizontal="left" vertical="center"/>
    </xf>
    <xf numFmtId="0" fontId="24" fillId="0" borderId="78" xfId="4" applyFont="1" applyBorder="1" applyAlignment="1">
      <alignment horizontal="center" vertical="center"/>
    </xf>
    <xf numFmtId="180" fontId="24" fillId="0" borderId="78" xfId="0" applyFont="1" applyBorder="1">
      <alignment vertical="center"/>
    </xf>
    <xf numFmtId="40" fontId="24" fillId="0" borderId="78" xfId="0" applyNumberFormat="1" applyFont="1" applyBorder="1">
      <alignment vertical="center"/>
    </xf>
    <xf numFmtId="40" fontId="24" fillId="0" borderId="14" xfId="0" applyNumberFormat="1" applyFont="1" applyBorder="1">
      <alignment vertical="center"/>
    </xf>
    <xf numFmtId="180" fontId="24" fillId="0" borderId="93" xfId="0" applyFont="1" applyBorder="1">
      <alignment vertical="center"/>
    </xf>
    <xf numFmtId="180" fontId="24" fillId="0" borderId="15" xfId="0" applyFont="1" applyBorder="1">
      <alignment vertical="center"/>
    </xf>
    <xf numFmtId="180" fontId="24" fillId="0" borderId="14" xfId="0" applyFont="1" applyBorder="1">
      <alignment vertical="center"/>
    </xf>
    <xf numFmtId="0" fontId="24" fillId="0" borderId="76" xfId="4" applyFont="1" applyBorder="1" applyAlignment="1">
      <alignment horizontal="left" vertical="center"/>
    </xf>
    <xf numFmtId="0" fontId="28" fillId="0" borderId="76" xfId="4" applyFont="1" applyBorder="1" applyAlignment="1">
      <alignment horizontal="center" vertical="center"/>
    </xf>
    <xf numFmtId="180" fontId="24" fillId="0" borderId="76" xfId="0" applyFont="1" applyBorder="1">
      <alignment vertical="center"/>
    </xf>
    <xf numFmtId="40" fontId="24" fillId="0" borderId="76" xfId="0" applyNumberFormat="1" applyFont="1" applyBorder="1">
      <alignment vertical="center"/>
    </xf>
    <xf numFmtId="40" fontId="24" fillId="0" borderId="25" xfId="0" applyNumberFormat="1" applyFont="1" applyBorder="1">
      <alignment vertical="center"/>
    </xf>
    <xf numFmtId="180" fontId="24" fillId="0" borderId="94" xfId="0" applyFont="1" applyBorder="1">
      <alignment vertical="center"/>
    </xf>
    <xf numFmtId="180" fontId="24" fillId="0" borderId="27" xfId="0" applyFont="1" applyBorder="1">
      <alignment vertical="center"/>
    </xf>
    <xf numFmtId="180" fontId="24" fillId="0" borderId="17" xfId="0" applyFont="1" applyBorder="1">
      <alignment vertical="center"/>
    </xf>
    <xf numFmtId="180" fontId="24" fillId="0" borderId="23" xfId="0" applyFont="1" applyBorder="1">
      <alignment vertical="center"/>
    </xf>
    <xf numFmtId="0" fontId="24" fillId="0" borderId="78" xfId="4" applyFont="1" applyBorder="1">
      <alignment vertical="center"/>
    </xf>
    <xf numFmtId="0" fontId="24" fillId="0" borderId="76" xfId="4" applyFont="1" applyBorder="1">
      <alignment vertical="center"/>
    </xf>
    <xf numFmtId="0" fontId="24" fillId="0" borderId="76" xfId="4" applyFont="1" applyBorder="1" applyAlignment="1">
      <alignment horizontal="center" vertical="center"/>
    </xf>
    <xf numFmtId="180" fontId="24" fillId="0" borderId="77" xfId="0" applyFont="1" applyBorder="1">
      <alignment vertical="center"/>
    </xf>
    <xf numFmtId="180" fontId="24" fillId="6" borderId="27" xfId="0" applyFont="1" applyFill="1" applyBorder="1" applyAlignment="1">
      <alignment horizontal="left" vertical="center" shrinkToFit="1"/>
    </xf>
    <xf numFmtId="180" fontId="24" fillId="0" borderId="64" xfId="0" applyFont="1" applyBorder="1" applyAlignment="1">
      <alignment horizontal="center" vertical="center"/>
    </xf>
    <xf numFmtId="40" fontId="24" fillId="0" borderId="39" xfId="0" applyNumberFormat="1" applyFont="1" applyBorder="1">
      <alignment vertical="center"/>
    </xf>
    <xf numFmtId="180" fontId="24" fillId="0" borderId="95" xfId="0" applyFont="1" applyBorder="1">
      <alignment vertical="center"/>
    </xf>
    <xf numFmtId="180" fontId="24" fillId="0" borderId="79" xfId="0" applyFont="1" applyBorder="1">
      <alignment vertical="center"/>
    </xf>
    <xf numFmtId="180" fontId="24" fillId="0" borderId="96" xfId="0" applyFont="1" applyBorder="1">
      <alignment vertical="center"/>
    </xf>
    <xf numFmtId="0" fontId="27" fillId="0" borderId="78" xfId="4" applyFont="1" applyBorder="1" applyAlignment="1">
      <alignment horizontal="left" vertical="center"/>
    </xf>
    <xf numFmtId="0" fontId="27" fillId="0" borderId="78" xfId="4" applyFont="1" applyBorder="1" applyAlignment="1">
      <alignment horizontal="center" vertical="center"/>
    </xf>
    <xf numFmtId="0" fontId="24" fillId="0" borderId="75" xfId="4" applyFont="1" applyBorder="1" applyAlignment="1">
      <alignment horizontal="left" vertical="center"/>
    </xf>
    <xf numFmtId="0" fontId="28" fillId="0" borderId="75" xfId="4" applyFont="1" applyBorder="1" applyAlignment="1">
      <alignment horizontal="center" vertical="center"/>
    </xf>
    <xf numFmtId="180" fontId="24" fillId="0" borderId="25" xfId="0" applyFont="1" applyBorder="1">
      <alignment vertical="center"/>
    </xf>
    <xf numFmtId="0" fontId="27" fillId="0" borderId="75" xfId="4" applyFont="1" applyBorder="1" applyAlignment="1">
      <alignment horizontal="left" vertical="center"/>
    </xf>
    <xf numFmtId="180" fontId="24" fillId="0" borderId="75" xfId="0" applyFont="1" applyBorder="1">
      <alignment vertical="center"/>
    </xf>
    <xf numFmtId="180" fontId="24" fillId="0" borderId="49" xfId="0" applyFont="1" applyBorder="1">
      <alignment vertical="center"/>
    </xf>
    <xf numFmtId="180" fontId="27" fillId="0" borderId="78" xfId="0" applyFont="1" applyBorder="1">
      <alignment vertical="center"/>
    </xf>
    <xf numFmtId="180" fontId="24" fillId="0" borderId="78" xfId="0" applyFont="1" applyBorder="1" applyAlignment="1">
      <alignment horizontal="center" vertical="center"/>
    </xf>
    <xf numFmtId="180" fontId="24" fillId="0" borderId="76" xfId="0" applyFont="1" applyBorder="1" applyAlignment="1">
      <alignment horizontal="left" vertical="center"/>
    </xf>
    <xf numFmtId="180" fontId="28" fillId="0" borderId="76" xfId="0" applyFont="1" applyBorder="1" applyAlignment="1">
      <alignment horizontal="center" vertical="center"/>
    </xf>
    <xf numFmtId="180" fontId="24" fillId="0" borderId="76" xfId="0" applyFont="1" applyBorder="1" applyAlignment="1">
      <alignment horizontal="center" vertical="center"/>
    </xf>
    <xf numFmtId="180" fontId="24" fillId="0" borderId="0" xfId="0" applyFont="1" applyAlignment="1">
      <alignment vertical="center" shrinkToFit="1"/>
    </xf>
    <xf numFmtId="180" fontId="24" fillId="0" borderId="0" xfId="0" applyFont="1" applyAlignment="1">
      <alignment horizontal="centerContinuous" vertical="center" shrinkToFit="1"/>
    </xf>
    <xf numFmtId="180" fontId="10" fillId="0" borderId="0" xfId="0" applyFont="1" applyAlignment="1">
      <alignment horizontal="left" vertical="center"/>
    </xf>
    <xf numFmtId="180" fontId="24" fillId="6" borderId="75" xfId="0" applyFont="1" applyFill="1" applyBorder="1" applyAlignment="1">
      <alignment vertical="center" shrinkToFit="1"/>
    </xf>
    <xf numFmtId="180" fontId="24" fillId="6" borderId="47" xfId="0" applyFont="1" applyFill="1" applyBorder="1" applyAlignment="1">
      <alignment vertical="center" shrinkToFit="1"/>
    </xf>
    <xf numFmtId="180" fontId="24" fillId="0" borderId="48" xfId="0" applyFont="1" applyBorder="1" applyAlignment="1">
      <alignment horizontal="center" vertical="center" shrinkToFit="1"/>
    </xf>
    <xf numFmtId="40" fontId="24" fillId="0" borderId="75" xfId="0" applyNumberFormat="1" applyFont="1" applyBorder="1" applyAlignment="1">
      <alignment vertical="center" shrinkToFit="1"/>
    </xf>
    <xf numFmtId="180" fontId="24" fillId="6" borderId="76" xfId="0" applyFont="1" applyFill="1" applyBorder="1" applyAlignment="1">
      <alignment vertical="center" shrinkToFit="1"/>
    </xf>
    <xf numFmtId="180" fontId="24" fillId="6" borderId="25" xfId="0" applyFont="1" applyFill="1" applyBorder="1" applyAlignment="1">
      <alignment vertical="center" shrinkToFit="1"/>
    </xf>
    <xf numFmtId="180" fontId="24" fillId="0" borderId="26" xfId="0" applyFont="1" applyBorder="1" applyAlignment="1">
      <alignment horizontal="center" vertical="center" shrinkToFit="1"/>
    </xf>
    <xf numFmtId="40" fontId="24" fillId="0" borderId="76" xfId="0" applyNumberFormat="1" applyFont="1" applyBorder="1" applyAlignment="1">
      <alignment vertical="center" shrinkToFit="1"/>
    </xf>
    <xf numFmtId="180" fontId="24" fillId="6" borderId="77" xfId="0" applyFont="1" applyFill="1" applyBorder="1" applyAlignment="1">
      <alignment vertical="center" shrinkToFit="1"/>
    </xf>
    <xf numFmtId="180" fontId="24" fillId="6" borderId="39" xfId="0" applyFont="1" applyFill="1" applyBorder="1" applyAlignment="1">
      <alignment vertical="center" shrinkToFit="1"/>
    </xf>
    <xf numFmtId="180" fontId="24" fillId="0" borderId="37" xfId="0" applyFont="1" applyBorder="1" applyAlignment="1">
      <alignment horizontal="center" vertical="center" shrinkToFit="1"/>
    </xf>
    <xf numFmtId="40" fontId="24" fillId="0" borderId="77" xfId="0" applyNumberFormat="1" applyFont="1" applyBorder="1" applyAlignment="1">
      <alignment vertical="center" shrinkToFit="1"/>
    </xf>
    <xf numFmtId="180" fontId="24" fillId="0" borderId="14" xfId="0" applyFont="1" applyBorder="1" applyAlignment="1">
      <alignment vertical="center" shrinkToFit="1"/>
    </xf>
    <xf numFmtId="180" fontId="24" fillId="0" borderId="13" xfId="0" applyFont="1" applyBorder="1" applyAlignment="1">
      <alignment horizontal="center" vertical="center" shrinkToFit="1"/>
    </xf>
    <xf numFmtId="40" fontId="24" fillId="0" borderId="78" xfId="0" applyNumberFormat="1" applyFont="1" applyBorder="1" applyAlignment="1">
      <alignment vertical="center" shrinkToFit="1"/>
    </xf>
    <xf numFmtId="180" fontId="24" fillId="0" borderId="25" xfId="0" applyFont="1" applyBorder="1" applyAlignment="1">
      <alignment vertical="center" shrinkToFit="1"/>
    </xf>
    <xf numFmtId="40" fontId="24" fillId="0" borderId="0" xfId="0" applyNumberFormat="1" applyFont="1" applyAlignment="1">
      <alignment vertical="center" shrinkToFit="1"/>
    </xf>
    <xf numFmtId="180" fontId="24" fillId="0" borderId="97" xfId="0" applyFont="1" applyBorder="1" applyAlignment="1">
      <alignment horizontal="centerContinuous" vertical="center" shrinkToFit="1"/>
    </xf>
    <xf numFmtId="40" fontId="24" fillId="0" borderId="97" xfId="0" applyNumberFormat="1" applyFont="1" applyBorder="1" applyAlignment="1">
      <alignment vertical="center" shrinkToFit="1"/>
    </xf>
    <xf numFmtId="180" fontId="13" fillId="0" borderId="14" xfId="0" applyFont="1" applyBorder="1">
      <alignment vertical="center"/>
    </xf>
    <xf numFmtId="40" fontId="24" fillId="0" borderId="78" xfId="0" applyNumberFormat="1" applyFont="1" applyBorder="1" applyAlignment="1">
      <alignment horizontal="right" vertical="center" shrinkToFit="1"/>
    </xf>
    <xf numFmtId="40" fontId="24" fillId="0" borderId="99" xfId="0" applyNumberFormat="1" applyFont="1" applyBorder="1" applyAlignment="1">
      <alignment vertical="center" shrinkToFit="1"/>
    </xf>
    <xf numFmtId="40" fontId="24" fillId="0" borderId="45" xfId="0" applyNumberFormat="1" applyFont="1" applyBorder="1" applyAlignment="1">
      <alignment vertical="center" shrinkToFit="1"/>
    </xf>
    <xf numFmtId="180" fontId="13" fillId="0" borderId="17" xfId="0" applyFont="1" applyBorder="1">
      <alignment vertical="center"/>
    </xf>
    <xf numFmtId="40" fontId="24" fillId="0" borderId="79" xfId="0" applyNumberFormat="1" applyFont="1" applyBorder="1" applyAlignment="1">
      <alignment horizontal="right" vertical="center" shrinkToFit="1"/>
    </xf>
    <xf numFmtId="40" fontId="24" fillId="0" borderId="3" xfId="0" applyNumberFormat="1" applyFont="1" applyBorder="1" applyAlignment="1">
      <alignment vertical="center" shrinkToFit="1"/>
    </xf>
    <xf numFmtId="40" fontId="24" fillId="0" borderId="21" xfId="0" applyNumberFormat="1" applyFont="1" applyBorder="1" applyAlignment="1">
      <alignment vertical="center" shrinkToFit="1"/>
    </xf>
    <xf numFmtId="40" fontId="24" fillId="0" borderId="102" xfId="0" applyNumberFormat="1" applyFont="1" applyBorder="1" applyAlignment="1">
      <alignment vertical="center" shrinkToFit="1"/>
    </xf>
    <xf numFmtId="40" fontId="24" fillId="0" borderId="74" xfId="0" applyNumberFormat="1" applyFont="1" applyBorder="1" applyAlignment="1">
      <alignment vertical="center" shrinkToFit="1"/>
    </xf>
    <xf numFmtId="180" fontId="9" fillId="0" borderId="0" xfId="0" applyFont="1" applyAlignment="1">
      <alignment horizontal="center" vertical="center"/>
    </xf>
    <xf numFmtId="180" fontId="14" fillId="6" borderId="75" xfId="0" applyFont="1" applyFill="1" applyBorder="1" applyAlignment="1">
      <alignment horizontal="center" vertical="center" shrinkToFit="1"/>
    </xf>
    <xf numFmtId="180" fontId="14" fillId="0" borderId="22" xfId="0" applyFont="1" applyBorder="1" applyAlignment="1">
      <alignment horizontal="center" vertical="center" shrinkToFit="1"/>
    </xf>
    <xf numFmtId="180" fontId="14" fillId="0" borderId="28" xfId="0" applyFont="1" applyBorder="1" applyAlignment="1">
      <alignment horizontal="center" vertical="center" shrinkToFit="1"/>
    </xf>
    <xf numFmtId="40" fontId="14" fillId="0" borderId="79" xfId="0" applyNumberFormat="1" applyFont="1" applyBorder="1" applyAlignment="1">
      <alignment horizontal="center" vertical="center" shrinkToFit="1"/>
    </xf>
    <xf numFmtId="40" fontId="14" fillId="0" borderId="66" xfId="0" applyNumberFormat="1" applyFont="1" applyBorder="1" applyAlignment="1">
      <alignment horizontal="center" vertical="center" shrinkToFit="1"/>
    </xf>
    <xf numFmtId="40" fontId="14" fillId="0" borderId="67" xfId="0" applyNumberFormat="1" applyFont="1" applyBorder="1" applyAlignment="1">
      <alignment horizontal="center" vertical="center" shrinkToFit="1"/>
    </xf>
    <xf numFmtId="40" fontId="14" fillId="0" borderId="7" xfId="0" applyNumberFormat="1" applyFont="1" applyBorder="1" applyAlignment="1">
      <alignment horizontal="center" vertical="center" shrinkToFit="1"/>
    </xf>
    <xf numFmtId="40" fontId="14" fillId="0" borderId="0" xfId="0" applyNumberFormat="1" applyFont="1" applyAlignment="1">
      <alignment horizontal="center" vertical="center" shrinkToFit="1"/>
    </xf>
    <xf numFmtId="180" fontId="14" fillId="6" borderId="78" xfId="0" applyFont="1" applyFill="1" applyBorder="1" applyAlignment="1">
      <alignment horizontal="center" vertical="center" shrinkToFit="1"/>
    </xf>
    <xf numFmtId="180" fontId="14" fillId="0" borderId="61" xfId="0" applyFont="1" applyBorder="1" applyAlignment="1">
      <alignment horizontal="center" vertical="center" shrinkToFit="1"/>
    </xf>
    <xf numFmtId="180" fontId="14" fillId="0" borderId="60" xfId="0" applyFont="1" applyBorder="1" applyAlignment="1">
      <alignment horizontal="center" vertical="center" shrinkToFit="1"/>
    </xf>
    <xf numFmtId="180" fontId="14" fillId="0" borderId="50" xfId="0" applyFont="1" applyBorder="1" applyAlignment="1">
      <alignment horizontal="center" vertical="center" shrinkToFit="1"/>
    </xf>
    <xf numFmtId="40" fontId="14" fillId="0" borderId="65" xfId="0" applyNumberFormat="1" applyFont="1" applyBorder="1" applyAlignment="1">
      <alignment horizontal="center" vertical="center" shrinkToFit="1"/>
    </xf>
    <xf numFmtId="40" fontId="14" fillId="0" borderId="22" xfId="0" applyNumberFormat="1" applyFont="1" applyBorder="1" applyAlignment="1">
      <alignment horizontal="center" vertical="center" shrinkToFit="1"/>
    </xf>
    <xf numFmtId="180" fontId="14" fillId="0" borderId="30" xfId="0" applyFont="1" applyBorder="1" applyAlignment="1">
      <alignment horizontal="center" vertical="center" shrinkToFit="1"/>
    </xf>
    <xf numFmtId="187" fontId="14" fillId="0" borderId="76" xfId="0" applyNumberFormat="1" applyFont="1" applyBorder="1" applyAlignment="1">
      <alignment horizontal="center" vertical="center" shrinkToFit="1"/>
    </xf>
    <xf numFmtId="187" fontId="14" fillId="0" borderId="64" xfId="0" applyNumberFormat="1" applyFont="1" applyBorder="1" applyAlignment="1">
      <alignment horizontal="center" vertical="center" shrinkToFit="1"/>
    </xf>
    <xf numFmtId="187" fontId="14" fillId="0" borderId="63" xfId="0" applyNumberFormat="1" applyFont="1" applyBorder="1" applyAlignment="1">
      <alignment horizontal="center" vertical="center" shrinkToFit="1"/>
    </xf>
    <xf numFmtId="187" fontId="14" fillId="0" borderId="32" xfId="0" applyNumberFormat="1" applyFont="1" applyBorder="1" applyAlignment="1">
      <alignment horizontal="center" vertical="center" shrinkToFit="1"/>
    </xf>
    <xf numFmtId="187" fontId="14" fillId="0" borderId="51" xfId="0" applyNumberFormat="1" applyFont="1" applyBorder="1" applyAlignment="1">
      <alignment horizontal="center" vertical="center" shrinkToFit="1"/>
    </xf>
    <xf numFmtId="40" fontId="14" fillId="0" borderId="34" xfId="0" applyNumberFormat="1" applyFont="1" applyBorder="1" applyAlignment="1">
      <alignment horizontal="center" vertical="center" shrinkToFit="1"/>
    </xf>
    <xf numFmtId="188" fontId="14" fillId="0" borderId="78" xfId="0" applyNumberFormat="1" applyFont="1" applyBorder="1" applyAlignment="1">
      <alignment horizontal="center" vertical="center" shrinkToFit="1"/>
    </xf>
    <xf numFmtId="202" fontId="14" fillId="0" borderId="61" xfId="0" applyNumberFormat="1" applyFont="1" applyBorder="1" applyAlignment="1">
      <alignment horizontal="center" vertical="center" shrinkToFit="1"/>
    </xf>
    <xf numFmtId="202" fontId="14" fillId="0" borderId="60" xfId="0" applyNumberFormat="1" applyFont="1" applyBorder="1" applyAlignment="1">
      <alignment horizontal="center" vertical="center" shrinkToFit="1"/>
    </xf>
    <xf numFmtId="202" fontId="14" fillId="0" borderId="50" xfId="0" applyNumberFormat="1" applyFont="1" applyBorder="1" applyAlignment="1">
      <alignment horizontal="center" vertical="center" shrinkToFit="1"/>
    </xf>
    <xf numFmtId="40" fontId="14" fillId="0" borderId="8" xfId="0" applyNumberFormat="1" applyFont="1" applyBorder="1" applyAlignment="1">
      <alignment horizontal="center" vertical="center" shrinkToFit="1"/>
    </xf>
    <xf numFmtId="188" fontId="14" fillId="0" borderId="20" xfId="0" applyNumberFormat="1" applyFont="1" applyBorder="1">
      <alignment vertical="center"/>
    </xf>
    <xf numFmtId="180" fontId="14" fillId="0" borderId="29" xfId="0" applyFont="1" applyBorder="1" applyAlignment="1">
      <alignment horizontal="center" vertical="center" shrinkToFit="1"/>
    </xf>
    <xf numFmtId="180" fontId="14" fillId="0" borderId="19" xfId="0" applyFont="1" applyBorder="1" applyAlignment="1">
      <alignment horizontal="center" vertical="center" shrinkToFit="1"/>
    </xf>
    <xf numFmtId="40" fontId="14" fillId="0" borderId="28" xfId="0" applyNumberFormat="1" applyFont="1" applyBorder="1" applyAlignment="1">
      <alignment horizontal="center" vertical="center" shrinkToFit="1"/>
    </xf>
    <xf numFmtId="40" fontId="14" fillId="0" borderId="33" xfId="0" applyNumberFormat="1" applyFont="1" applyBorder="1" applyAlignment="1">
      <alignment horizontal="center" vertical="center" shrinkToFit="1"/>
    </xf>
    <xf numFmtId="40" fontId="14" fillId="0" borderId="24" xfId="0" applyNumberFormat="1" applyFont="1" applyBorder="1" applyAlignment="1">
      <alignment horizontal="center" vertical="center" shrinkToFit="1"/>
    </xf>
    <xf numFmtId="188" fontId="14" fillId="6" borderId="78" xfId="0" applyNumberFormat="1" applyFont="1" applyFill="1" applyBorder="1" applyAlignment="1">
      <alignment horizontal="center" vertical="center" shrinkToFit="1"/>
    </xf>
    <xf numFmtId="188" fontId="14" fillId="0" borderId="76" xfId="0" applyNumberFormat="1" applyFont="1" applyBorder="1" applyAlignment="1">
      <alignment horizontal="center" vertical="center" shrinkToFit="1"/>
    </xf>
    <xf numFmtId="188" fontId="14" fillId="0" borderId="64" xfId="0" applyNumberFormat="1" applyFont="1" applyBorder="1" applyAlignment="1">
      <alignment horizontal="center" vertical="center" shrinkToFit="1"/>
    </xf>
    <xf numFmtId="188" fontId="14" fillId="0" borderId="63" xfId="0" applyNumberFormat="1" applyFont="1" applyBorder="1" applyAlignment="1">
      <alignment horizontal="center" vertical="center" shrinkToFit="1"/>
    </xf>
    <xf numFmtId="188" fontId="14" fillId="0" borderId="32" xfId="0" applyNumberFormat="1" applyFont="1" applyBorder="1" applyAlignment="1">
      <alignment horizontal="center" vertical="center" shrinkToFit="1"/>
    </xf>
    <xf numFmtId="188" fontId="14" fillId="0" borderId="51" xfId="0" applyNumberFormat="1" applyFont="1" applyBorder="1" applyAlignment="1">
      <alignment horizontal="center" vertical="center" shrinkToFit="1"/>
    </xf>
    <xf numFmtId="188" fontId="14" fillId="0" borderId="67" xfId="0" applyNumberFormat="1" applyFont="1" applyBorder="1">
      <alignment vertical="center"/>
    </xf>
    <xf numFmtId="190" fontId="14" fillId="0" borderId="76" xfId="0" applyNumberFormat="1" applyFont="1" applyBorder="1" applyAlignment="1">
      <alignment horizontal="center" vertical="center" shrinkToFit="1"/>
    </xf>
    <xf numFmtId="190" fontId="14" fillId="0" borderId="64" xfId="0" applyNumberFormat="1" applyFont="1" applyBorder="1" applyAlignment="1">
      <alignment horizontal="center" vertical="center" shrinkToFit="1"/>
    </xf>
    <xf numFmtId="190" fontId="14" fillId="0" borderId="63" xfId="0" applyNumberFormat="1" applyFont="1" applyBorder="1" applyAlignment="1">
      <alignment horizontal="center" vertical="center" shrinkToFit="1"/>
    </xf>
    <xf numFmtId="190" fontId="14" fillId="0" borderId="32" xfId="0" applyNumberFormat="1" applyFont="1" applyBorder="1" applyAlignment="1">
      <alignment horizontal="center" vertical="center" shrinkToFit="1"/>
    </xf>
    <xf numFmtId="190" fontId="14" fillId="0" borderId="51" xfId="0" applyNumberFormat="1" applyFont="1" applyBorder="1" applyAlignment="1">
      <alignment horizontal="center" vertical="center" shrinkToFit="1"/>
    </xf>
    <xf numFmtId="0" fontId="14" fillId="0" borderId="2" xfId="0" applyNumberFormat="1" applyFont="1" applyBorder="1" applyAlignment="1">
      <alignment horizontal="center" vertical="center" shrinkToFit="1"/>
    </xf>
    <xf numFmtId="190" fontId="14" fillId="0" borderId="5" xfId="0" applyNumberFormat="1" applyFont="1" applyBorder="1">
      <alignment vertical="center"/>
    </xf>
    <xf numFmtId="192" fontId="14" fillId="0" borderId="76" xfId="0" applyNumberFormat="1" applyFont="1" applyBorder="1" applyAlignment="1">
      <alignment horizontal="center" vertical="center" shrinkToFit="1"/>
    </xf>
    <xf numFmtId="192" fontId="14" fillId="0" borderId="64" xfId="0" applyNumberFormat="1" applyFont="1" applyBorder="1" applyAlignment="1">
      <alignment horizontal="center" vertical="center" shrinkToFit="1"/>
    </xf>
    <xf numFmtId="192" fontId="14" fillId="0" borderId="63" xfId="0" applyNumberFormat="1" applyFont="1" applyBorder="1" applyAlignment="1">
      <alignment horizontal="center" vertical="center" shrinkToFit="1"/>
    </xf>
    <xf numFmtId="192" fontId="14" fillId="0" borderId="32" xfId="0" applyNumberFormat="1" applyFont="1" applyBorder="1" applyAlignment="1">
      <alignment horizontal="center" vertical="center" shrinkToFit="1"/>
    </xf>
    <xf numFmtId="192" fontId="14" fillId="0" borderId="51" xfId="0" applyNumberFormat="1" applyFont="1" applyBorder="1" applyAlignment="1">
      <alignment horizontal="center" vertical="center" shrinkToFit="1"/>
    </xf>
    <xf numFmtId="0" fontId="14" fillId="0" borderId="0" xfId="0" applyNumberFormat="1" applyFont="1" applyAlignment="1">
      <alignment horizontal="center" vertical="center" shrinkToFit="1"/>
    </xf>
    <xf numFmtId="192" fontId="14" fillId="0" borderId="20" xfId="0" applyNumberFormat="1" applyFont="1" applyBorder="1" applyAlignment="1">
      <alignment vertical="center" shrinkToFit="1"/>
    </xf>
    <xf numFmtId="191" fontId="14" fillId="6" borderId="78" xfId="0" applyNumberFormat="1" applyFont="1" applyFill="1" applyBorder="1" applyAlignment="1">
      <alignment horizontal="center" vertical="center" shrinkToFit="1"/>
    </xf>
    <xf numFmtId="191" fontId="14" fillId="0" borderId="61" xfId="0" applyNumberFormat="1" applyFont="1" applyBorder="1" applyAlignment="1">
      <alignment horizontal="center" vertical="center" shrinkToFit="1"/>
    </xf>
    <xf numFmtId="191" fontId="14" fillId="0" borderId="60" xfId="0" applyNumberFormat="1" applyFont="1" applyBorder="1" applyAlignment="1">
      <alignment horizontal="center" vertical="center" shrinkToFit="1"/>
    </xf>
    <xf numFmtId="191" fontId="14" fillId="0" borderId="30" xfId="0" applyNumberFormat="1" applyFont="1" applyBorder="1" applyAlignment="1">
      <alignment horizontal="center" vertical="center" shrinkToFit="1"/>
    </xf>
    <xf numFmtId="191" fontId="14" fillId="0" borderId="50" xfId="0" applyNumberFormat="1" applyFont="1" applyBorder="1" applyAlignment="1">
      <alignment horizontal="center" vertical="center" shrinkToFit="1"/>
    </xf>
    <xf numFmtId="0" fontId="14" fillId="0" borderId="76" xfId="0" applyNumberFormat="1" applyFont="1" applyBorder="1" applyAlignment="1">
      <alignment horizontal="center" vertical="center" shrinkToFit="1"/>
    </xf>
    <xf numFmtId="40" fontId="14" fillId="0" borderId="77" xfId="0" applyNumberFormat="1" applyFont="1" applyBorder="1" applyAlignment="1">
      <alignment horizontal="center" vertical="center" shrinkToFit="1"/>
    </xf>
    <xf numFmtId="40" fontId="14" fillId="0" borderId="111" xfId="0" applyNumberFormat="1" applyFont="1" applyBorder="1" applyAlignment="1">
      <alignment horizontal="center" vertical="center" shrinkToFit="1"/>
    </xf>
    <xf numFmtId="40" fontId="14" fillId="0" borderId="112" xfId="0" applyNumberFormat="1" applyFont="1" applyBorder="1" applyAlignment="1">
      <alignment horizontal="center" vertical="center" shrinkToFit="1"/>
    </xf>
    <xf numFmtId="40" fontId="14" fillId="0" borderId="113" xfId="0" applyNumberFormat="1" applyFont="1" applyBorder="1" applyAlignment="1">
      <alignment horizontal="center" vertical="center" shrinkToFit="1"/>
    </xf>
    <xf numFmtId="180" fontId="14" fillId="0" borderId="50" xfId="0" applyFont="1" applyBorder="1" applyAlignment="1">
      <alignment horizontal="center" vertical="center"/>
    </xf>
    <xf numFmtId="205" fontId="14" fillId="0" borderId="61" xfId="0" applyNumberFormat="1" applyFont="1" applyBorder="1" applyAlignment="1">
      <alignment horizontal="center" vertical="center" shrinkToFit="1"/>
    </xf>
    <xf numFmtId="205" fontId="14" fillId="0" borderId="60" xfId="0" applyNumberFormat="1" applyFont="1" applyBorder="1" applyAlignment="1">
      <alignment horizontal="center" vertical="center" shrinkToFit="1"/>
    </xf>
    <xf numFmtId="0" fontId="14" fillId="0" borderId="61" xfId="0" applyNumberFormat="1" applyFont="1" applyBorder="1" applyAlignment="1">
      <alignment horizontal="center" vertical="center" shrinkToFit="1"/>
    </xf>
    <xf numFmtId="0" fontId="14" fillId="0" borderId="50" xfId="0" applyNumberFormat="1" applyFont="1" applyBorder="1" applyAlignment="1">
      <alignment horizontal="center" vertical="center" shrinkToFit="1"/>
    </xf>
    <xf numFmtId="191" fontId="14" fillId="0" borderId="64" xfId="0" applyNumberFormat="1" applyFont="1" applyBorder="1" applyAlignment="1">
      <alignment horizontal="center" vertical="center" shrinkToFit="1"/>
    </xf>
    <xf numFmtId="191" fontId="14" fillId="0" borderId="63" xfId="0" applyNumberFormat="1" applyFont="1" applyBorder="1" applyAlignment="1">
      <alignment horizontal="center" vertical="center" shrinkToFit="1"/>
    </xf>
    <xf numFmtId="191" fontId="14" fillId="0" borderId="32" xfId="0" applyNumberFormat="1" applyFont="1" applyBorder="1" applyAlignment="1">
      <alignment horizontal="center" vertical="center" shrinkToFit="1"/>
    </xf>
    <xf numFmtId="40" fontId="14" fillId="0" borderId="79" xfId="2" applyNumberFormat="1" applyFont="1" applyBorder="1" applyAlignment="1">
      <alignment horizontal="center" vertical="center" shrinkToFit="1"/>
    </xf>
    <xf numFmtId="40" fontId="14" fillId="0" borderId="66" xfId="2" applyNumberFormat="1" applyFont="1" applyBorder="1" applyAlignment="1">
      <alignment horizontal="center" vertical="center" shrinkToFit="1"/>
    </xf>
    <xf numFmtId="40" fontId="14" fillId="0" borderId="67" xfId="2" applyNumberFormat="1" applyFont="1" applyBorder="1" applyAlignment="1">
      <alignment horizontal="center" vertical="center" shrinkToFit="1"/>
    </xf>
    <xf numFmtId="180" fontId="14" fillId="0" borderId="83" xfId="0" applyFont="1" applyBorder="1" applyAlignment="1">
      <alignment horizontal="center" vertical="center" shrinkToFit="1"/>
    </xf>
    <xf numFmtId="187" fontId="14" fillId="0" borderId="76" xfId="2" applyNumberFormat="1" applyFont="1" applyBorder="1" applyAlignment="1">
      <alignment horizontal="center" vertical="center" shrinkToFit="1"/>
    </xf>
    <xf numFmtId="187" fontId="14" fillId="0" borderId="64" xfId="2" applyNumberFormat="1" applyFont="1" applyBorder="1" applyAlignment="1">
      <alignment horizontal="center" vertical="center" shrinkToFit="1"/>
    </xf>
    <xf numFmtId="187" fontId="14" fillId="0" borderId="63" xfId="2" applyNumberFormat="1" applyFont="1" applyBorder="1" applyAlignment="1">
      <alignment horizontal="center" vertical="center" shrinkToFit="1"/>
    </xf>
    <xf numFmtId="187" fontId="14" fillId="0" borderId="83" xfId="0" applyNumberFormat="1" applyFont="1" applyBorder="1" applyAlignment="1">
      <alignment horizontal="center" vertical="center" shrinkToFit="1"/>
    </xf>
    <xf numFmtId="40" fontId="14" fillId="0" borderId="83" xfId="0" applyNumberFormat="1" applyFont="1" applyBorder="1" applyAlignment="1">
      <alignment horizontal="center" vertical="center" shrinkToFit="1"/>
    </xf>
    <xf numFmtId="180" fontId="14" fillId="0" borderId="114" xfId="0" applyFont="1" applyBorder="1" applyAlignment="1">
      <alignment horizontal="center" vertical="center" shrinkToFit="1"/>
    </xf>
    <xf numFmtId="188" fontId="14" fillId="0" borderId="115" xfId="0" applyNumberFormat="1" applyFont="1" applyBorder="1" applyAlignment="1">
      <alignment horizontal="center" vertical="center" shrinkToFit="1"/>
    </xf>
    <xf numFmtId="40" fontId="14" fillId="0" borderId="115" xfId="0" applyNumberFormat="1" applyFont="1" applyBorder="1" applyAlignment="1">
      <alignment horizontal="center" vertical="center" shrinkToFit="1"/>
    </xf>
    <xf numFmtId="187" fontId="14" fillId="0" borderId="16" xfId="0" applyNumberFormat="1" applyFont="1" applyBorder="1">
      <alignment vertical="center"/>
    </xf>
    <xf numFmtId="188" fontId="14" fillId="0" borderId="4" xfId="0" applyNumberFormat="1" applyFont="1" applyBorder="1">
      <alignment vertical="center"/>
    </xf>
    <xf numFmtId="180" fontId="14" fillId="0" borderId="5" xfId="0" applyFont="1" applyBorder="1" applyAlignment="1">
      <alignment vertical="center" shrinkToFit="1"/>
    </xf>
    <xf numFmtId="40" fontId="14" fillId="0" borderId="34" xfId="2" applyNumberFormat="1" applyFont="1" applyBorder="1" applyAlignment="1">
      <alignment horizontal="center" vertical="center" shrinkToFit="1"/>
    </xf>
    <xf numFmtId="191" fontId="14" fillId="0" borderId="1" xfId="0" applyNumberFormat="1" applyFont="1" applyBorder="1" applyAlignment="1">
      <alignment horizontal="center" vertical="center" shrinkToFit="1"/>
    </xf>
    <xf numFmtId="191" fontId="14" fillId="0" borderId="19" xfId="0" applyNumberFormat="1" applyFont="1" applyBorder="1" applyAlignment="1">
      <alignment horizontal="center" vertical="center" shrinkToFit="1"/>
    </xf>
    <xf numFmtId="40" fontId="14" fillId="0" borderId="7" xfId="2" applyNumberFormat="1" applyFont="1" applyBorder="1" applyAlignment="1">
      <alignment horizontal="center" vertical="center" shrinkToFit="1"/>
    </xf>
    <xf numFmtId="40" fontId="14" fillId="0" borderId="24" xfId="2" applyNumberFormat="1" applyFont="1" applyBorder="1" applyAlignment="1">
      <alignment horizontal="center" vertical="center" shrinkToFit="1"/>
    </xf>
    <xf numFmtId="189" fontId="14" fillId="0" borderId="61" xfId="0" applyNumberFormat="1" applyFont="1" applyBorder="1" applyAlignment="1">
      <alignment horizontal="center" vertical="center" shrinkToFit="1"/>
    </xf>
    <xf numFmtId="189" fontId="14" fillId="0" borderId="60" xfId="0" applyNumberFormat="1" applyFont="1" applyBorder="1" applyAlignment="1">
      <alignment horizontal="center" vertical="center" shrinkToFit="1"/>
    </xf>
    <xf numFmtId="203" fontId="14" fillId="0" borderId="61" xfId="0" applyNumberFormat="1" applyFont="1" applyBorder="1" applyAlignment="1">
      <alignment horizontal="center" vertical="center" shrinkToFit="1"/>
    </xf>
    <xf numFmtId="203" fontId="14" fillId="0" borderId="60" xfId="0" applyNumberFormat="1" applyFont="1" applyBorder="1" applyAlignment="1">
      <alignment horizontal="center" vertical="center" shrinkToFit="1"/>
    </xf>
    <xf numFmtId="202" fontId="14" fillId="0" borderId="30" xfId="0" applyNumberFormat="1" applyFont="1" applyBorder="1" applyAlignment="1">
      <alignment horizontal="center" vertical="center" shrinkToFit="1"/>
    </xf>
    <xf numFmtId="201" fontId="14" fillId="0" borderId="61" xfId="0" applyNumberFormat="1" applyFont="1" applyBorder="1" applyAlignment="1">
      <alignment horizontal="center" vertical="center" shrinkToFit="1"/>
    </xf>
    <xf numFmtId="201" fontId="14" fillId="0" borderId="60" xfId="0" applyNumberFormat="1" applyFont="1" applyBorder="1" applyAlignment="1">
      <alignment horizontal="center" vertical="center" shrinkToFit="1"/>
    </xf>
    <xf numFmtId="193" fontId="14" fillId="0" borderId="61" xfId="0" applyNumberFormat="1" applyFont="1" applyBorder="1" applyAlignment="1">
      <alignment horizontal="center" vertical="center" shrinkToFit="1"/>
    </xf>
    <xf numFmtId="193" fontId="14" fillId="0" borderId="60" xfId="0" applyNumberFormat="1" applyFont="1" applyBorder="1" applyAlignment="1">
      <alignment horizontal="center" vertical="center" shrinkToFit="1"/>
    </xf>
    <xf numFmtId="195" fontId="14" fillId="0" borderId="61" xfId="0" applyNumberFormat="1" applyFont="1" applyBorder="1" applyAlignment="1">
      <alignment horizontal="center" vertical="center" shrinkToFit="1"/>
    </xf>
    <xf numFmtId="195" fontId="14" fillId="0" borderId="60" xfId="0" applyNumberFormat="1" applyFont="1" applyBorder="1" applyAlignment="1">
      <alignment horizontal="center" vertical="center" shrinkToFit="1"/>
    </xf>
    <xf numFmtId="194" fontId="14" fillId="0" borderId="61" xfId="0" applyNumberFormat="1" applyFont="1" applyBorder="1" applyAlignment="1">
      <alignment horizontal="center" vertical="center" shrinkToFit="1"/>
    </xf>
    <xf numFmtId="194" fontId="14" fillId="0" borderId="60" xfId="0" applyNumberFormat="1" applyFont="1" applyBorder="1" applyAlignment="1">
      <alignment horizontal="center" vertical="center" shrinkToFit="1"/>
    </xf>
    <xf numFmtId="0" fontId="14" fillId="6" borderId="78" xfId="0" applyNumberFormat="1" applyFont="1" applyFill="1" applyBorder="1" applyAlignment="1">
      <alignment horizontal="center" vertical="center" shrinkToFit="1"/>
    </xf>
    <xf numFmtId="180" fontId="9" fillId="0" borderId="0" xfId="0" applyFont="1">
      <alignment vertical="center"/>
    </xf>
    <xf numFmtId="0" fontId="23" fillId="0" borderId="0" xfId="5" applyFont="1">
      <alignment vertical="center"/>
    </xf>
    <xf numFmtId="0" fontId="14" fillId="0" borderId="0" xfId="5" applyFont="1">
      <alignment vertical="center"/>
    </xf>
    <xf numFmtId="0" fontId="14" fillId="0" borderId="8" xfId="5" applyFont="1" applyBorder="1">
      <alignment vertical="center"/>
    </xf>
    <xf numFmtId="0" fontId="14" fillId="0" borderId="8" xfId="5" applyFont="1" applyBorder="1" applyAlignment="1">
      <alignment horizontal="center" vertical="center"/>
    </xf>
    <xf numFmtId="0" fontId="14" fillId="0" borderId="0" xfId="5" applyFont="1" applyAlignment="1">
      <alignment horizontal="left" vertical="center"/>
    </xf>
    <xf numFmtId="0" fontId="14" fillId="0" borderId="50" xfId="5" applyFont="1" applyBorder="1" applyAlignment="1">
      <alignment horizontal="center" vertical="center" shrinkToFit="1"/>
    </xf>
    <xf numFmtId="180" fontId="14" fillId="0" borderId="0" xfId="0" applyFont="1" applyAlignment="1">
      <alignment horizontal="left" vertical="center"/>
    </xf>
    <xf numFmtId="0" fontId="14" fillId="0" borderId="13" xfId="5" applyFont="1" applyBorder="1" applyAlignment="1">
      <alignment horizontal="center" vertical="center" shrinkToFit="1"/>
    </xf>
    <xf numFmtId="38" fontId="9" fillId="0" borderId="118" xfId="5" applyNumberFormat="1" applyFont="1" applyBorder="1">
      <alignment vertical="center"/>
    </xf>
    <xf numFmtId="38" fontId="14" fillId="0" borderId="22" xfId="5" applyNumberFormat="1" applyFont="1" applyBorder="1" applyAlignment="1">
      <alignment horizontal="left" vertical="center"/>
    </xf>
    <xf numFmtId="180" fontId="33" fillId="2" borderId="0" xfId="0" applyFont="1" applyFill="1">
      <alignment vertical="center"/>
    </xf>
    <xf numFmtId="180" fontId="22" fillId="2" borderId="0" xfId="0" applyFont="1" applyFill="1">
      <alignment vertical="center"/>
    </xf>
    <xf numFmtId="0" fontId="3" fillId="0" borderId="0" xfId="3" applyFont="1" applyAlignment="1">
      <alignment vertical="center"/>
    </xf>
    <xf numFmtId="0" fontId="3" fillId="0" borderId="2" xfId="3" applyFont="1" applyBorder="1" applyAlignment="1">
      <alignment horizontal="center" vertical="center"/>
    </xf>
    <xf numFmtId="0" fontId="3" fillId="0" borderId="19" xfId="3" applyFont="1" applyBorder="1" applyAlignment="1">
      <alignment horizontal="center" vertical="center"/>
    </xf>
    <xf numFmtId="0" fontId="3" fillId="0" borderId="0" xfId="3" applyFont="1" applyAlignment="1">
      <alignment horizontal="center" vertical="center"/>
    </xf>
    <xf numFmtId="0" fontId="3" fillId="0" borderId="28" xfId="3" applyFont="1" applyBorder="1" applyAlignment="1">
      <alignment horizontal="center" vertical="center"/>
    </xf>
    <xf numFmtId="178" fontId="3" fillId="0" borderId="123" xfId="3" applyNumberFormat="1" applyFont="1" applyBorder="1" applyAlignment="1">
      <alignment horizontal="center" vertical="center" shrinkToFit="1"/>
    </xf>
    <xf numFmtId="178" fontId="3" fillId="0" borderId="109" xfId="3" applyNumberFormat="1" applyFont="1" applyBorder="1" applyAlignment="1">
      <alignment horizontal="center" vertical="center" shrinkToFit="1"/>
    </xf>
    <xf numFmtId="178" fontId="3" fillId="0" borderId="104" xfId="3" applyNumberFormat="1" applyFont="1" applyBorder="1" applyAlignment="1">
      <alignment horizontal="center" vertical="center" shrinkToFit="1"/>
    </xf>
    <xf numFmtId="180" fontId="3" fillId="0" borderId="76" xfId="5" applyNumberFormat="1" applyFont="1" applyBorder="1" applyAlignment="1" applyProtection="1">
      <alignment horizontal="center" vertical="center"/>
      <protection locked="0"/>
    </xf>
    <xf numFmtId="178" fontId="3" fillId="0" borderId="31" xfId="3" applyNumberFormat="1" applyFont="1" applyBorder="1" applyAlignment="1">
      <alignment horizontal="center" vertical="center" shrinkToFit="1"/>
    </xf>
    <xf numFmtId="178" fontId="3" fillId="0" borderId="63" xfId="3" applyNumberFormat="1" applyFont="1" applyBorder="1" applyAlignment="1">
      <alignment horizontal="center" vertical="center" shrinkToFit="1"/>
    </xf>
    <xf numFmtId="178" fontId="3" fillId="0" borderId="51" xfId="3" applyNumberFormat="1" applyFont="1" applyBorder="1" applyAlignment="1">
      <alignment horizontal="center" vertical="center" shrinkToFit="1"/>
    </xf>
    <xf numFmtId="181" fontId="3" fillId="0" borderId="64" xfId="3" applyNumberFormat="1" applyFont="1" applyBorder="1" applyAlignment="1">
      <alignment horizontal="center" vertical="center" shrinkToFit="1"/>
    </xf>
    <xf numFmtId="181" fontId="3" fillId="0" borderId="63" xfId="3" applyNumberFormat="1" applyFont="1" applyBorder="1" applyAlignment="1">
      <alignment horizontal="center" vertical="center" shrinkToFit="1"/>
    </xf>
    <xf numFmtId="178" fontId="3" fillId="0" borderId="32" xfId="3" applyNumberFormat="1" applyFont="1" applyBorder="1" applyAlignment="1">
      <alignment horizontal="center" vertical="center" shrinkToFit="1"/>
    </xf>
    <xf numFmtId="178" fontId="3" fillId="0" borderId="64" xfId="3" applyNumberFormat="1" applyFont="1" applyBorder="1" applyAlignment="1">
      <alignment horizontal="center" vertical="center" shrinkToFit="1"/>
    </xf>
    <xf numFmtId="0" fontId="3" fillId="7" borderId="3" xfId="3" applyFont="1" applyFill="1" applyBorder="1" applyAlignment="1">
      <alignment horizontal="centerContinuous" vertical="center"/>
    </xf>
    <xf numFmtId="0" fontId="3" fillId="7" borderId="4" xfId="3" applyFont="1" applyFill="1" applyBorder="1" applyAlignment="1">
      <alignment horizontal="centerContinuous" vertical="center"/>
    </xf>
    <xf numFmtId="0" fontId="3" fillId="7" borderId="5" xfId="3" applyFont="1" applyFill="1" applyBorder="1" applyAlignment="1">
      <alignment horizontal="centerContinuous" vertical="center"/>
    </xf>
    <xf numFmtId="178" fontId="3" fillId="0" borderId="124" xfId="3" applyNumberFormat="1" applyFont="1" applyBorder="1" applyAlignment="1">
      <alignment horizontal="center" vertical="center" shrinkToFit="1"/>
    </xf>
    <xf numFmtId="178" fontId="3" fillId="0" borderId="112" xfId="3" applyNumberFormat="1" applyFont="1" applyBorder="1" applyAlignment="1">
      <alignment horizontal="center" vertical="center" shrinkToFit="1"/>
    </xf>
    <xf numFmtId="178" fontId="3" fillId="0" borderId="113" xfId="3" applyNumberFormat="1" applyFont="1" applyBorder="1" applyAlignment="1">
      <alignment horizontal="center" vertical="center" shrinkToFit="1"/>
    </xf>
    <xf numFmtId="178" fontId="3" fillId="0" borderId="125" xfId="3" applyNumberFormat="1" applyFont="1" applyBorder="1" applyAlignment="1">
      <alignment horizontal="center" vertical="center" shrinkToFit="1"/>
    </xf>
    <xf numFmtId="178" fontId="3" fillId="0" borderId="66" xfId="3" applyNumberFormat="1" applyFont="1" applyBorder="1" applyAlignment="1">
      <alignment horizontal="center" vertical="center" shrinkToFit="1"/>
    </xf>
    <xf numFmtId="178" fontId="3" fillId="0" borderId="65" xfId="3" applyNumberFormat="1" applyFont="1" applyBorder="1" applyAlignment="1">
      <alignment horizontal="center" vertical="center" shrinkToFit="1"/>
    </xf>
    <xf numFmtId="178" fontId="3" fillId="0" borderId="67" xfId="3" applyNumberFormat="1" applyFont="1" applyBorder="1" applyAlignment="1">
      <alignment horizontal="center" vertical="center" shrinkToFit="1"/>
    </xf>
    <xf numFmtId="178" fontId="3" fillId="0" borderId="22" xfId="3" applyNumberFormat="1" applyFont="1" applyBorder="1" applyAlignment="1">
      <alignment horizontal="center" vertical="center"/>
    </xf>
    <xf numFmtId="178" fontId="3" fillId="0" borderId="0" xfId="3" applyNumberFormat="1" applyFont="1" applyAlignment="1">
      <alignment horizontal="center" vertical="center"/>
    </xf>
    <xf numFmtId="178" fontId="3" fillId="0" borderId="22" xfId="3" applyNumberFormat="1" applyFont="1" applyBorder="1" applyAlignment="1">
      <alignment horizontal="center" vertical="center" shrinkToFit="1"/>
    </xf>
    <xf numFmtId="178" fontId="3" fillId="0" borderId="0" xfId="3" applyNumberFormat="1" applyFont="1" applyAlignment="1">
      <alignment horizontal="center" vertical="center" shrinkToFit="1"/>
    </xf>
    <xf numFmtId="0" fontId="3" fillId="0" borderId="8" xfId="3" applyFont="1" applyBorder="1" applyAlignment="1">
      <alignment horizontal="center" vertical="center"/>
    </xf>
    <xf numFmtId="0" fontId="3" fillId="0" borderId="24" xfId="3" applyFont="1" applyBorder="1" applyAlignment="1">
      <alignment horizontal="center" vertical="center"/>
    </xf>
    <xf numFmtId="180" fontId="3" fillId="0" borderId="1" xfId="3" applyNumberFormat="1" applyFont="1" applyBorder="1" applyAlignment="1">
      <alignment horizontal="center" vertical="center" shrinkToFit="1"/>
    </xf>
    <xf numFmtId="178" fontId="3" fillId="0" borderId="2" xfId="3" applyNumberFormat="1" applyFont="1" applyBorder="1" applyAlignment="1">
      <alignment horizontal="center" vertical="center" shrinkToFit="1"/>
    </xf>
    <xf numFmtId="180" fontId="3" fillId="0" borderId="2" xfId="3" applyNumberFormat="1" applyFont="1" applyBorder="1" applyAlignment="1">
      <alignment horizontal="center" vertical="center" shrinkToFit="1"/>
    </xf>
    <xf numFmtId="180" fontId="3" fillId="0" borderId="22" xfId="3" applyNumberFormat="1" applyFont="1" applyBorder="1" applyAlignment="1">
      <alignment horizontal="center" vertical="center" shrinkToFit="1"/>
    </xf>
    <xf numFmtId="180" fontId="3" fillId="0" borderId="0" xfId="3" applyNumberFormat="1" applyFont="1" applyAlignment="1">
      <alignment horizontal="center" vertical="center" shrinkToFit="1"/>
    </xf>
    <xf numFmtId="178" fontId="3" fillId="0" borderId="1" xfId="3" applyNumberFormat="1" applyFont="1" applyBorder="1" applyAlignment="1">
      <alignment horizontal="center" vertical="center" shrinkToFit="1"/>
    </xf>
    <xf numFmtId="0" fontId="3" fillId="0" borderId="1" xfId="3" applyFont="1" applyBorder="1" applyAlignment="1">
      <alignment horizontal="center" vertical="center"/>
    </xf>
    <xf numFmtId="0" fontId="3" fillId="0" borderId="22" xfId="3" applyFont="1" applyBorder="1" applyAlignment="1">
      <alignment horizontal="center" vertical="center"/>
    </xf>
    <xf numFmtId="181" fontId="3" fillId="0" borderId="1" xfId="3" applyNumberFormat="1" applyFont="1" applyBorder="1" applyAlignment="1">
      <alignment horizontal="center" vertical="center" shrinkToFit="1"/>
    </xf>
    <xf numFmtId="181" fontId="3" fillId="0" borderId="22" xfId="3" applyNumberFormat="1" applyFont="1" applyBorder="1" applyAlignment="1">
      <alignment horizontal="center" vertical="center" shrinkToFit="1"/>
    </xf>
    <xf numFmtId="181" fontId="3" fillId="0" borderId="2" xfId="3" applyNumberFormat="1" applyFont="1" applyBorder="1" applyAlignment="1">
      <alignment horizontal="center" vertical="center" shrinkToFit="1"/>
    </xf>
    <xf numFmtId="178" fontId="34" fillId="0" borderId="2" xfId="3" applyNumberFormat="1" applyFont="1" applyBorder="1" applyAlignment="1">
      <alignment horizontal="center" vertical="center" shrinkToFit="1"/>
    </xf>
    <xf numFmtId="181" fontId="3" fillId="0" borderId="0" xfId="3" applyNumberFormat="1" applyFont="1" applyAlignment="1">
      <alignment horizontal="center" vertical="center" shrinkToFit="1"/>
    </xf>
    <xf numFmtId="178" fontId="34" fillId="0" borderId="0" xfId="3" applyNumberFormat="1" applyFont="1" applyAlignment="1">
      <alignment horizontal="center" vertical="center" shrinkToFit="1"/>
    </xf>
    <xf numFmtId="180" fontId="34" fillId="0" borderId="2" xfId="3" applyNumberFormat="1" applyFont="1" applyBorder="1" applyAlignment="1">
      <alignment horizontal="center" vertical="center" shrinkToFit="1"/>
    </xf>
    <xf numFmtId="180" fontId="34" fillId="0" borderId="0" xfId="3" applyNumberFormat="1" applyFont="1" applyAlignment="1">
      <alignment horizontal="center" vertical="center" shrinkToFit="1"/>
    </xf>
    <xf numFmtId="178" fontId="3" fillId="0" borderId="1" xfId="3" applyNumberFormat="1" applyFont="1" applyBorder="1" applyAlignment="1">
      <alignment horizontal="centerContinuous" vertical="center"/>
    </xf>
    <xf numFmtId="178" fontId="3" fillId="0" borderId="2" xfId="3" applyNumberFormat="1" applyFont="1" applyBorder="1" applyAlignment="1">
      <alignment horizontal="centerContinuous" vertical="center"/>
    </xf>
    <xf numFmtId="178" fontId="3" fillId="0" borderId="22" xfId="3" applyNumberFormat="1" applyFont="1" applyBorder="1" applyAlignment="1">
      <alignment horizontal="centerContinuous" vertical="center"/>
    </xf>
    <xf numFmtId="178" fontId="3" fillId="0" borderId="0" xfId="3" applyNumberFormat="1" applyFont="1" applyAlignment="1">
      <alignment horizontal="centerContinuous" vertical="center"/>
    </xf>
    <xf numFmtId="180" fontId="3" fillId="0" borderId="22" xfId="0" applyFont="1" applyBorder="1" applyAlignment="1">
      <alignment horizontal="center" vertical="center" shrinkToFit="1"/>
    </xf>
    <xf numFmtId="180" fontId="3" fillId="0" borderId="0" xfId="0" applyFont="1" applyAlignment="1">
      <alignment horizontal="center" vertical="center" shrinkToFit="1"/>
    </xf>
    <xf numFmtId="180" fontId="3" fillId="0" borderId="7" xfId="0" applyFont="1" applyBorder="1" applyAlignment="1">
      <alignment horizontal="center" vertical="center" shrinkToFit="1"/>
    </xf>
    <xf numFmtId="180" fontId="3" fillId="0" borderId="8" xfId="0" applyFont="1" applyBorder="1" applyAlignment="1">
      <alignment horizontal="center" vertical="center" shrinkToFit="1"/>
    </xf>
    <xf numFmtId="178" fontId="3" fillId="0" borderId="8" xfId="3" applyNumberFormat="1" applyFont="1" applyBorder="1" applyAlignment="1">
      <alignment horizontal="center" vertical="center" shrinkToFit="1"/>
    </xf>
    <xf numFmtId="178" fontId="3" fillId="0" borderId="34" xfId="3" applyNumberFormat="1" applyFont="1" applyBorder="1" applyAlignment="1">
      <alignment horizontal="center" vertical="center" shrinkToFit="1"/>
    </xf>
    <xf numFmtId="0" fontId="5" fillId="0" borderId="2" xfId="3" applyBorder="1" applyAlignment="1">
      <alignment vertical="center"/>
    </xf>
    <xf numFmtId="0" fontId="5" fillId="0" borderId="0" xfId="3" applyAlignment="1">
      <alignment vertical="center"/>
    </xf>
    <xf numFmtId="0" fontId="3" fillId="0" borderId="7" xfId="3" applyFont="1" applyBorder="1" applyAlignment="1">
      <alignment horizontal="center" vertical="center"/>
    </xf>
    <xf numFmtId="0" fontId="14" fillId="0" borderId="60" xfId="5" applyFont="1" applyBorder="1" applyAlignment="1">
      <alignment horizontal="center" vertical="center" shrinkToFit="1"/>
    </xf>
    <xf numFmtId="0" fontId="14" fillId="0" borderId="104" xfId="5" applyFont="1" applyBorder="1" applyAlignment="1">
      <alignment horizontal="center" vertical="center" shrinkToFit="1"/>
    </xf>
    <xf numFmtId="40" fontId="14" fillId="0" borderId="50" xfId="0" applyNumberFormat="1" applyFont="1" applyBorder="1" applyAlignment="1">
      <alignment horizontal="center" vertical="center" shrinkToFit="1"/>
    </xf>
    <xf numFmtId="0" fontId="14" fillId="0" borderId="51" xfId="5" applyFont="1" applyBorder="1" applyAlignment="1">
      <alignment horizontal="center" vertical="center" shrinkToFit="1"/>
    </xf>
    <xf numFmtId="38" fontId="24" fillId="0" borderId="76" xfId="2" applyFont="1" applyFill="1" applyBorder="1" applyAlignment="1">
      <alignment vertical="center"/>
    </xf>
    <xf numFmtId="38" fontId="24" fillId="0" borderId="76" xfId="2" applyFont="1" applyBorder="1" applyAlignment="1">
      <alignment vertical="center"/>
    </xf>
    <xf numFmtId="38" fontId="24" fillId="0" borderId="94" xfId="2" applyFont="1" applyBorder="1" applyAlignment="1">
      <alignment vertical="center"/>
    </xf>
    <xf numFmtId="188" fontId="24" fillId="0" borderId="25" xfId="0" applyNumberFormat="1" applyFont="1" applyBorder="1">
      <alignment vertical="center"/>
    </xf>
    <xf numFmtId="209" fontId="24" fillId="0" borderId="25" xfId="2" applyNumberFormat="1" applyFont="1" applyFill="1" applyBorder="1" applyAlignment="1">
      <alignment vertical="center"/>
    </xf>
    <xf numFmtId="195" fontId="24" fillId="0" borderId="25" xfId="2" applyNumberFormat="1" applyFont="1" applyFill="1" applyBorder="1" applyAlignment="1">
      <alignment vertical="center"/>
    </xf>
    <xf numFmtId="38" fontId="24" fillId="0" borderId="76" xfId="2" applyFont="1" applyFill="1" applyBorder="1" applyAlignment="1" applyProtection="1">
      <alignment vertical="center"/>
    </xf>
    <xf numFmtId="38" fontId="24" fillId="0" borderId="79" xfId="2" applyFont="1" applyFill="1" applyBorder="1" applyAlignment="1" applyProtection="1">
      <alignment vertical="center"/>
    </xf>
    <xf numFmtId="38" fontId="24" fillId="0" borderId="79" xfId="2" applyFont="1" applyBorder="1" applyAlignment="1">
      <alignment vertical="center"/>
    </xf>
    <xf numFmtId="38" fontId="24" fillId="0" borderId="27" xfId="2" applyFont="1" applyFill="1" applyBorder="1" applyAlignment="1" applyProtection="1">
      <alignment vertical="center"/>
    </xf>
    <xf numFmtId="38" fontId="24" fillId="0" borderId="94" xfId="2" applyFont="1" applyFill="1" applyBorder="1" applyAlignment="1">
      <alignment vertical="center"/>
    </xf>
    <xf numFmtId="38" fontId="24" fillId="0" borderId="96" xfId="2" applyFont="1" applyBorder="1" applyAlignment="1">
      <alignment vertical="center"/>
    </xf>
    <xf numFmtId="0" fontId="24" fillId="0" borderId="77" xfId="4" applyFont="1" applyBorder="1" applyAlignment="1">
      <alignment horizontal="center" vertical="center"/>
    </xf>
    <xf numFmtId="0" fontId="24" fillId="0" borderId="79" xfId="4" applyFont="1" applyBorder="1" applyAlignment="1">
      <alignment horizontal="center" vertical="center"/>
    </xf>
    <xf numFmtId="3" fontId="0" fillId="0" borderId="0" xfId="0" applyNumberFormat="1">
      <alignment vertical="center"/>
    </xf>
    <xf numFmtId="40" fontId="14" fillId="0" borderId="16" xfId="0" applyNumberFormat="1" applyFont="1" applyBorder="1" applyAlignment="1">
      <alignment horizontal="center" vertical="center"/>
    </xf>
    <xf numFmtId="180" fontId="38" fillId="0" borderId="26" xfId="0" applyFont="1" applyBorder="1">
      <alignment vertical="center"/>
    </xf>
    <xf numFmtId="40" fontId="0" fillId="0" borderId="0" xfId="0" applyNumberFormat="1" applyAlignment="1">
      <alignment vertical="center" shrinkToFit="1"/>
    </xf>
    <xf numFmtId="38" fontId="14" fillId="0" borderId="13" xfId="2" applyFont="1" applyFill="1" applyBorder="1" applyAlignment="1">
      <alignment vertical="center" shrinkToFit="1"/>
    </xf>
    <xf numFmtId="38" fontId="14" fillId="0" borderId="0" xfId="2" applyFont="1" applyFill="1" applyBorder="1" applyAlignment="1">
      <alignment vertical="center" shrinkToFit="1"/>
    </xf>
    <xf numFmtId="38" fontId="41" fillId="0" borderId="26" xfId="2" applyFont="1" applyBorder="1" applyAlignment="1">
      <alignment vertical="center"/>
    </xf>
    <xf numFmtId="38" fontId="14" fillId="0" borderId="26" xfId="2" applyFont="1" applyFill="1" applyBorder="1" applyAlignment="1">
      <alignment vertical="center" shrinkToFit="1"/>
    </xf>
    <xf numFmtId="38" fontId="14" fillId="0" borderId="37" xfId="2" applyFont="1" applyFill="1" applyBorder="1" applyAlignment="1">
      <alignment vertical="center" shrinkToFit="1"/>
    </xf>
    <xf numFmtId="38" fontId="14" fillId="0" borderId="13" xfId="2" applyFont="1" applyBorder="1" applyAlignment="1">
      <alignment vertical="center"/>
    </xf>
    <xf numFmtId="38" fontId="14" fillId="0" borderId="26" xfId="2" applyFont="1" applyBorder="1" applyAlignment="1">
      <alignment vertical="center"/>
    </xf>
    <xf numFmtId="38" fontId="14" fillId="0" borderId="48" xfId="2" applyFont="1" applyFill="1" applyBorder="1" applyAlignment="1">
      <alignment vertical="center"/>
    </xf>
    <xf numFmtId="38" fontId="14" fillId="0" borderId="0" xfId="2" applyFont="1" applyFill="1" applyBorder="1" applyAlignment="1">
      <alignment vertical="center"/>
    </xf>
    <xf numFmtId="38" fontId="14" fillId="0" borderId="16" xfId="2" applyFont="1" applyFill="1" applyBorder="1" applyAlignment="1">
      <alignment vertical="center" shrinkToFit="1"/>
    </xf>
    <xf numFmtId="38" fontId="14" fillId="0" borderId="26" xfId="2" applyFont="1" applyBorder="1" applyAlignment="1">
      <alignment vertical="center" shrinkToFit="1"/>
    </xf>
    <xf numFmtId="38" fontId="14" fillId="0" borderId="37" xfId="2" applyFont="1" applyBorder="1" applyAlignment="1">
      <alignment vertical="center" shrinkToFit="1"/>
    </xf>
    <xf numFmtId="38" fontId="14" fillId="0" borderId="16" xfId="2" applyFont="1" applyBorder="1" applyAlignment="1">
      <alignment vertical="center" shrinkToFit="1"/>
    </xf>
    <xf numFmtId="38" fontId="14" fillId="0" borderId="27" xfId="2" applyFont="1" applyFill="1" applyBorder="1" applyAlignment="1">
      <alignment vertical="center" shrinkToFit="1"/>
    </xf>
    <xf numFmtId="38" fontId="14" fillId="0" borderId="47" xfId="2" applyFont="1" applyFill="1" applyBorder="1" applyAlignment="1">
      <alignment vertical="center"/>
    </xf>
    <xf numFmtId="38" fontId="14" fillId="0" borderId="48" xfId="2" applyFont="1" applyBorder="1" applyAlignment="1">
      <alignment vertical="center" shrinkToFit="1"/>
    </xf>
    <xf numFmtId="38" fontId="14" fillId="0" borderId="13" xfId="2" applyFont="1" applyBorder="1" applyAlignment="1">
      <alignment vertical="center" shrinkToFit="1"/>
    </xf>
    <xf numFmtId="38" fontId="14" fillId="0" borderId="0" xfId="2" applyFont="1" applyBorder="1" applyAlignment="1">
      <alignment vertical="center" shrinkToFit="1"/>
    </xf>
    <xf numFmtId="40" fontId="24" fillId="0" borderId="78" xfId="2" applyNumberFormat="1" applyFont="1" applyFill="1" applyBorder="1" applyAlignment="1">
      <alignment vertical="center"/>
    </xf>
    <xf numFmtId="40" fontId="24" fillId="0" borderId="76" xfId="2" applyNumberFormat="1" applyFont="1" applyFill="1" applyBorder="1" applyAlignment="1">
      <alignment vertical="center"/>
    </xf>
    <xf numFmtId="40" fontId="24" fillId="0" borderId="77" xfId="2" applyNumberFormat="1" applyFont="1" applyFill="1" applyBorder="1" applyAlignment="1">
      <alignment vertical="center"/>
    </xf>
    <xf numFmtId="40" fontId="24" fillId="0" borderId="79" xfId="2" applyNumberFormat="1" applyFont="1" applyFill="1" applyBorder="1" applyAlignment="1">
      <alignment vertical="center"/>
    </xf>
    <xf numFmtId="40" fontId="24" fillId="0" borderId="75" xfId="2" applyNumberFormat="1" applyFont="1" applyFill="1" applyBorder="1" applyAlignment="1">
      <alignment vertical="center"/>
    </xf>
    <xf numFmtId="38" fontId="24" fillId="0" borderId="25" xfId="2" applyFont="1" applyFill="1" applyBorder="1" applyAlignment="1" applyProtection="1">
      <alignment vertical="center"/>
    </xf>
    <xf numFmtId="38" fontId="24" fillId="0" borderId="39" xfId="2" applyFont="1" applyFill="1" applyBorder="1" applyAlignment="1" applyProtection="1">
      <alignment vertical="center"/>
    </xf>
    <xf numFmtId="38" fontId="24" fillId="0" borderId="38" xfId="2" applyFont="1" applyFill="1" applyBorder="1" applyAlignment="1" applyProtection="1">
      <alignment vertical="center"/>
    </xf>
    <xf numFmtId="180" fontId="14" fillId="0" borderId="19" xfId="0" applyFont="1" applyBorder="1">
      <alignment vertical="center"/>
    </xf>
    <xf numFmtId="195" fontId="24" fillId="0" borderId="17" xfId="2" applyNumberFormat="1" applyFont="1" applyFill="1" applyBorder="1" applyAlignment="1">
      <alignment vertical="center"/>
    </xf>
    <xf numFmtId="0" fontId="0" fillId="0" borderId="0" xfId="4" applyFont="1">
      <alignment vertical="center"/>
    </xf>
    <xf numFmtId="40" fontId="24" fillId="0" borderId="0" xfId="4" applyNumberFormat="1" applyFont="1">
      <alignment vertical="center"/>
    </xf>
    <xf numFmtId="180" fontId="24" fillId="0" borderId="13" xfId="0" applyFont="1" applyBorder="1" applyAlignment="1">
      <alignment vertical="center" shrinkToFit="1"/>
    </xf>
    <xf numFmtId="180" fontId="24" fillId="0" borderId="15" xfId="0" applyFont="1" applyBorder="1" applyAlignment="1">
      <alignment vertical="center" shrinkToFit="1"/>
    </xf>
    <xf numFmtId="180" fontId="24" fillId="0" borderId="26" xfId="0" applyFont="1" applyBorder="1" applyAlignment="1">
      <alignment vertical="center" shrinkToFit="1"/>
    </xf>
    <xf numFmtId="180" fontId="24" fillId="0" borderId="27" xfId="0" applyFont="1" applyBorder="1" applyAlignment="1">
      <alignment vertical="center" shrinkToFit="1"/>
    </xf>
    <xf numFmtId="180" fontId="24" fillId="0" borderId="17" xfId="0" applyFont="1" applyBorder="1" applyAlignment="1">
      <alignment vertical="center" shrinkToFit="1"/>
    </xf>
    <xf numFmtId="180" fontId="24" fillId="0" borderId="16" xfId="0" applyFont="1" applyBorder="1" applyAlignment="1">
      <alignment vertical="center" shrinkToFit="1"/>
    </xf>
    <xf numFmtId="180" fontId="24" fillId="0" borderId="23" xfId="0" applyFont="1" applyBorder="1" applyAlignment="1">
      <alignment vertical="center" shrinkToFit="1"/>
    </xf>
    <xf numFmtId="180" fontId="13" fillId="0" borderId="14" xfId="0" applyFont="1" applyBorder="1" applyAlignment="1">
      <alignment vertical="center" shrinkToFit="1"/>
    </xf>
    <xf numFmtId="0" fontId="3" fillId="0" borderId="2" xfId="3" applyFont="1" applyBorder="1" applyAlignment="1">
      <alignment vertical="center"/>
    </xf>
    <xf numFmtId="0" fontId="3" fillId="0" borderId="2" xfId="3" applyFont="1" applyBorder="1" applyAlignment="1">
      <alignment horizontal="centerContinuous" vertical="center"/>
    </xf>
    <xf numFmtId="178" fontId="3" fillId="0" borderId="2" xfId="3" applyNumberFormat="1" applyFont="1" applyBorder="1" applyAlignment="1">
      <alignment vertical="center"/>
    </xf>
    <xf numFmtId="178" fontId="3" fillId="0" borderId="22" xfId="3" applyNumberFormat="1" applyFont="1" applyBorder="1" applyAlignment="1">
      <alignment vertical="center"/>
    </xf>
    <xf numFmtId="178" fontId="3" fillId="0" borderId="0" xfId="3" applyNumberFormat="1" applyFont="1" applyAlignment="1">
      <alignment vertical="center"/>
    </xf>
    <xf numFmtId="180" fontId="3" fillId="0" borderId="0" xfId="3" applyNumberFormat="1" applyFont="1" applyAlignment="1">
      <alignment vertical="center" shrinkToFit="1"/>
    </xf>
    <xf numFmtId="178" fontId="3" fillId="0" borderId="0" xfId="3" applyNumberFormat="1" applyFont="1" applyAlignment="1">
      <alignment vertical="center" shrinkToFit="1"/>
    </xf>
    <xf numFmtId="178" fontId="3" fillId="0" borderId="7" xfId="3" applyNumberFormat="1" applyFont="1" applyBorder="1" applyAlignment="1">
      <alignment horizontal="center" vertical="center" shrinkToFit="1"/>
    </xf>
    <xf numFmtId="180" fontId="3" fillId="0" borderId="8" xfId="3" applyNumberFormat="1" applyFont="1" applyBorder="1" applyAlignment="1">
      <alignment vertical="center" shrinkToFit="1"/>
    </xf>
    <xf numFmtId="178" fontId="3" fillId="0" borderId="8" xfId="3" applyNumberFormat="1" applyFont="1" applyBorder="1" applyAlignment="1">
      <alignment vertical="center" shrinkToFit="1"/>
    </xf>
    <xf numFmtId="178" fontId="3" fillId="0" borderId="1" xfId="3" applyNumberFormat="1" applyFont="1" applyBorder="1" applyAlignment="1">
      <alignment vertical="center"/>
    </xf>
    <xf numFmtId="178" fontId="3" fillId="0" borderId="22" xfId="3" applyNumberFormat="1" applyFont="1" applyBorder="1" applyAlignment="1">
      <alignment vertical="center" shrinkToFit="1"/>
    </xf>
    <xf numFmtId="178" fontId="3" fillId="0" borderId="7" xfId="3" applyNumberFormat="1" applyFont="1" applyBorder="1" applyAlignment="1">
      <alignment vertical="center" shrinkToFit="1"/>
    </xf>
    <xf numFmtId="180" fontId="0" fillId="0" borderId="22" xfId="3" applyNumberFormat="1" applyFont="1" applyBorder="1" applyAlignment="1">
      <alignment vertical="center"/>
    </xf>
    <xf numFmtId="188" fontId="14" fillId="0" borderId="50" xfId="0" applyNumberFormat="1" applyFont="1" applyBorder="1" applyAlignment="1">
      <alignment horizontal="center" vertical="center" shrinkToFit="1"/>
    </xf>
    <xf numFmtId="188" fontId="14" fillId="0" borderId="2" xfId="0" applyNumberFormat="1" applyFont="1" applyBorder="1" applyAlignment="1">
      <alignment horizontal="center" vertical="center" shrinkToFit="1"/>
    </xf>
    <xf numFmtId="178" fontId="0" fillId="0" borderId="63" xfId="3" applyNumberFormat="1" applyFont="1" applyBorder="1" applyAlignment="1">
      <alignment horizontal="center" vertical="center" shrinkToFit="1"/>
    </xf>
    <xf numFmtId="178" fontId="0" fillId="0" borderId="123" xfId="3" applyNumberFormat="1" applyFont="1" applyBorder="1" applyAlignment="1">
      <alignment horizontal="center" vertical="center" shrinkToFit="1"/>
    </xf>
    <xf numFmtId="210" fontId="14" fillId="0" borderId="61" xfId="0" applyNumberFormat="1" applyFont="1" applyBorder="1" applyAlignment="1">
      <alignment horizontal="center" vertical="center" shrinkToFit="1"/>
    </xf>
    <xf numFmtId="210" fontId="14" fillId="0" borderId="60" xfId="0" applyNumberFormat="1" applyFont="1" applyBorder="1" applyAlignment="1">
      <alignment horizontal="center" vertical="center" shrinkToFit="1"/>
    </xf>
    <xf numFmtId="210" fontId="14" fillId="0" borderId="50" xfId="0" applyNumberFormat="1" applyFont="1" applyBorder="1" applyAlignment="1">
      <alignment horizontal="center" vertical="center" shrinkToFit="1"/>
    </xf>
    <xf numFmtId="210" fontId="14" fillId="6" borderId="78" xfId="0" applyNumberFormat="1" applyFont="1" applyFill="1" applyBorder="1" applyAlignment="1">
      <alignment horizontal="center" vertical="center" shrinkToFit="1"/>
    </xf>
    <xf numFmtId="178" fontId="0" fillId="0" borderId="22" xfId="3" applyNumberFormat="1" applyFont="1" applyBorder="1" applyAlignment="1">
      <alignment vertical="center"/>
    </xf>
    <xf numFmtId="178" fontId="0" fillId="0" borderId="0" xfId="3" applyNumberFormat="1" applyFont="1" applyAlignment="1">
      <alignment vertical="center" shrinkToFit="1"/>
    </xf>
    <xf numFmtId="178" fontId="0" fillId="0" borderId="8" xfId="3" applyNumberFormat="1" applyFont="1" applyBorder="1" applyAlignment="1">
      <alignment vertical="center" shrinkToFit="1"/>
    </xf>
    <xf numFmtId="0" fontId="3" fillId="0" borderId="8" xfId="3" applyFont="1" applyBorder="1" applyAlignment="1">
      <alignment vertical="center"/>
    </xf>
    <xf numFmtId="181" fontId="3" fillId="0" borderId="2" xfId="3" applyNumberFormat="1" applyFont="1" applyBorder="1" applyAlignment="1">
      <alignment vertical="center" shrinkToFit="1"/>
    </xf>
    <xf numFmtId="181" fontId="3" fillId="0" borderId="0" xfId="3" applyNumberFormat="1" applyFont="1" applyAlignment="1">
      <alignment vertical="center" shrinkToFit="1"/>
    </xf>
    <xf numFmtId="181" fontId="3" fillId="0" borderId="8" xfId="3" applyNumberFormat="1" applyFont="1" applyBorder="1" applyAlignment="1">
      <alignment vertical="center" shrinkToFit="1"/>
    </xf>
    <xf numFmtId="0" fontId="3" fillId="0" borderId="19" xfId="3" applyFont="1" applyBorder="1" applyAlignment="1">
      <alignment vertical="center"/>
    </xf>
    <xf numFmtId="0" fontId="3" fillId="0" borderId="28" xfId="3" applyFont="1" applyBorder="1" applyAlignment="1">
      <alignment vertical="center"/>
    </xf>
    <xf numFmtId="180" fontId="3" fillId="0" borderId="22" xfId="3" applyNumberFormat="1" applyFont="1" applyBorder="1" applyAlignment="1">
      <alignment vertical="center"/>
    </xf>
    <xf numFmtId="180" fontId="3" fillId="0" borderId="0" xfId="3" applyNumberFormat="1" applyFont="1" applyAlignment="1">
      <alignment vertical="center"/>
    </xf>
    <xf numFmtId="180" fontId="3" fillId="0" borderId="7" xfId="3" applyNumberFormat="1" applyFont="1" applyBorder="1" applyAlignment="1">
      <alignment vertical="center"/>
    </xf>
    <xf numFmtId="178" fontId="3" fillId="0" borderId="8" xfId="3" applyNumberFormat="1" applyFont="1" applyBorder="1" applyAlignment="1">
      <alignment vertical="center"/>
    </xf>
    <xf numFmtId="180" fontId="3" fillId="0" borderId="8" xfId="3" applyNumberFormat="1" applyFont="1" applyBorder="1" applyAlignment="1">
      <alignment vertical="center"/>
    </xf>
    <xf numFmtId="0" fontId="3" fillId="0" borderId="24" xfId="3" applyFont="1" applyBorder="1" applyAlignment="1">
      <alignment vertical="center"/>
    </xf>
    <xf numFmtId="179" fontId="3" fillId="0" borderId="0" xfId="3" applyNumberFormat="1" applyFont="1" applyAlignment="1">
      <alignment vertical="center" shrinkToFit="1"/>
    </xf>
    <xf numFmtId="180" fontId="0" fillId="0" borderId="0" xfId="3" applyNumberFormat="1" applyFont="1" applyAlignment="1">
      <alignment vertical="center"/>
    </xf>
    <xf numFmtId="0" fontId="0" fillId="0" borderId="0" xfId="3" applyFont="1" applyAlignment="1">
      <alignment vertical="center"/>
    </xf>
    <xf numFmtId="40" fontId="14" fillId="0" borderId="61" xfId="0" applyNumberFormat="1" applyFont="1" applyBorder="1" applyAlignment="1">
      <alignment horizontal="center" vertical="center" shrinkToFit="1"/>
    </xf>
    <xf numFmtId="40" fontId="14" fillId="0" borderId="1" xfId="0" applyNumberFormat="1" applyFont="1" applyBorder="1" applyAlignment="1">
      <alignment horizontal="center" vertical="center" shrinkToFit="1"/>
    </xf>
    <xf numFmtId="40" fontId="14" fillId="10" borderId="78" xfId="0" applyNumberFormat="1" applyFont="1" applyFill="1" applyBorder="1" applyAlignment="1">
      <alignment horizontal="center" vertical="center" shrinkToFit="1"/>
    </xf>
    <xf numFmtId="207" fontId="14" fillId="6" borderId="78" xfId="0" applyNumberFormat="1" applyFont="1" applyFill="1" applyBorder="1" applyAlignment="1">
      <alignment horizontal="center" vertical="center" shrinkToFit="1"/>
    </xf>
    <xf numFmtId="179" fontId="3" fillId="0" borderId="0" xfId="3" applyNumberFormat="1" applyFont="1" applyAlignment="1">
      <alignment vertical="center"/>
    </xf>
    <xf numFmtId="180" fontId="0" fillId="0" borderId="78" xfId="5" applyNumberFormat="1" applyFont="1" applyBorder="1" applyAlignment="1" applyProtection="1">
      <alignment horizontal="center" vertical="center"/>
      <protection locked="0"/>
    </xf>
    <xf numFmtId="181" fontId="3" fillId="0" borderId="0" xfId="3" applyNumberFormat="1" applyFont="1" applyAlignment="1">
      <alignment vertical="center"/>
    </xf>
    <xf numFmtId="181" fontId="3" fillId="0" borderId="8" xfId="3" applyNumberFormat="1" applyFont="1" applyBorder="1" applyAlignment="1">
      <alignment vertical="center"/>
    </xf>
    <xf numFmtId="191" fontId="14" fillId="0" borderId="2" xfId="0" applyNumberFormat="1" applyFont="1" applyBorder="1" applyAlignment="1">
      <alignment horizontal="center" vertical="center" shrinkToFit="1"/>
    </xf>
    <xf numFmtId="189" fontId="14" fillId="0" borderId="30" xfId="0" applyNumberFormat="1" applyFont="1" applyBorder="1" applyAlignment="1">
      <alignment horizontal="center" vertical="center" shrinkToFit="1"/>
    </xf>
    <xf numFmtId="189" fontId="14" fillId="0" borderId="22" xfId="0" applyNumberFormat="1" applyFont="1" applyBorder="1" applyAlignment="1">
      <alignment horizontal="center" vertical="center" shrinkToFit="1"/>
    </xf>
    <xf numFmtId="180" fontId="14" fillId="0" borderId="7" xfId="0" applyFont="1" applyBorder="1" applyAlignment="1">
      <alignment horizontal="center" vertical="center"/>
    </xf>
    <xf numFmtId="0" fontId="24" fillId="0" borderId="77" xfId="4" applyFont="1" applyBorder="1">
      <alignment vertical="center"/>
    </xf>
    <xf numFmtId="183" fontId="14" fillId="0" borderId="8" xfId="0" applyNumberFormat="1" applyFont="1" applyBorder="1">
      <alignment vertical="center"/>
    </xf>
    <xf numFmtId="180" fontId="14" fillId="0" borderId="8" xfId="0" applyFont="1" applyBorder="1" applyAlignment="1">
      <alignment horizontal="center" vertical="center" shrinkToFit="1"/>
    </xf>
    <xf numFmtId="188" fontId="14" fillId="0" borderId="8" xfId="0" applyNumberFormat="1" applyFont="1" applyBorder="1">
      <alignment vertical="center"/>
    </xf>
    <xf numFmtId="211" fontId="14" fillId="0" borderId="50" xfId="0" applyNumberFormat="1" applyFont="1" applyBorder="1" applyAlignment="1">
      <alignment horizontal="center" vertical="center" shrinkToFit="1"/>
    </xf>
    <xf numFmtId="212" fontId="14" fillId="0" borderId="61" xfId="0" applyNumberFormat="1" applyFont="1" applyBorder="1" applyAlignment="1">
      <alignment horizontal="center" vertical="center" shrinkToFit="1"/>
    </xf>
    <xf numFmtId="213" fontId="14" fillId="0" borderId="1" xfId="0" applyNumberFormat="1" applyFont="1" applyBorder="1" applyAlignment="1">
      <alignment horizontal="center" vertical="center"/>
    </xf>
    <xf numFmtId="203" fontId="14" fillId="0" borderId="50" xfId="0" applyNumberFormat="1" applyFont="1" applyBorder="1" applyAlignment="1">
      <alignment horizontal="center" vertical="center" shrinkToFit="1"/>
    </xf>
    <xf numFmtId="199" fontId="14" fillId="0" borderId="50" xfId="0" applyNumberFormat="1" applyFont="1" applyBorder="1" applyAlignment="1">
      <alignment horizontal="center" vertical="center" shrinkToFit="1"/>
    </xf>
    <xf numFmtId="188" fontId="14" fillId="0" borderId="114" xfId="0" applyNumberFormat="1" applyFont="1" applyBorder="1" applyAlignment="1">
      <alignment horizontal="center" vertical="center" shrinkToFit="1"/>
    </xf>
    <xf numFmtId="40" fontId="14" fillId="0" borderId="58" xfId="0" applyNumberFormat="1" applyFont="1" applyBorder="1" applyAlignment="1">
      <alignment horizontal="center" vertical="center" shrinkToFit="1"/>
    </xf>
    <xf numFmtId="178" fontId="0" fillId="0" borderId="103" xfId="3" applyNumberFormat="1" applyFont="1" applyBorder="1" applyAlignment="1">
      <alignment horizontal="center" vertical="center" shrinkToFit="1"/>
    </xf>
    <xf numFmtId="180" fontId="3" fillId="0" borderId="0" xfId="0" applyFont="1" applyAlignment="1">
      <alignment horizontal="center" vertical="center"/>
    </xf>
    <xf numFmtId="188" fontId="0" fillId="0" borderId="0" xfId="0" applyNumberFormat="1" applyAlignment="1">
      <alignment horizontal="center" vertical="center"/>
    </xf>
    <xf numFmtId="189" fontId="14" fillId="0" borderId="50" xfId="0" applyNumberFormat="1" applyFont="1" applyBorder="1" applyAlignment="1">
      <alignment horizontal="center" vertical="center" shrinkToFit="1"/>
    </xf>
    <xf numFmtId="201" fontId="14" fillId="0" borderId="30" xfId="0" applyNumberFormat="1" applyFont="1" applyBorder="1" applyAlignment="1">
      <alignment horizontal="center" vertical="center" shrinkToFit="1"/>
    </xf>
    <xf numFmtId="201" fontId="14" fillId="0" borderId="22" xfId="0" applyNumberFormat="1" applyFont="1" applyBorder="1" applyAlignment="1">
      <alignment horizontal="center" vertical="center" shrinkToFit="1"/>
    </xf>
    <xf numFmtId="0" fontId="0" fillId="0" borderId="22" xfId="3" applyFont="1" applyBorder="1" applyAlignment="1">
      <alignment vertical="center"/>
    </xf>
    <xf numFmtId="0" fontId="14" fillId="0" borderId="30" xfId="0" applyNumberFormat="1" applyFont="1" applyBorder="1" applyAlignment="1">
      <alignment horizontal="center" vertical="center" shrinkToFit="1"/>
    </xf>
    <xf numFmtId="0" fontId="14" fillId="0" borderId="1" xfId="0" applyNumberFormat="1" applyFont="1" applyBorder="1" applyAlignment="1">
      <alignment horizontal="center" vertical="center" shrinkToFit="1"/>
    </xf>
    <xf numFmtId="194" fontId="14" fillId="0" borderId="30" xfId="0" applyNumberFormat="1" applyFont="1" applyBorder="1" applyAlignment="1">
      <alignment horizontal="center" vertical="center" shrinkToFit="1"/>
    </xf>
    <xf numFmtId="195" fontId="14" fillId="0" borderId="30" xfId="0" applyNumberFormat="1" applyFont="1" applyBorder="1" applyAlignment="1">
      <alignment horizontal="center" vertical="center" shrinkToFit="1"/>
    </xf>
    <xf numFmtId="194" fontId="14" fillId="0" borderId="22" xfId="0" applyNumberFormat="1" applyFont="1" applyBorder="1" applyAlignment="1">
      <alignment horizontal="center" vertical="center" shrinkToFit="1"/>
    </xf>
    <xf numFmtId="193" fontId="14" fillId="0" borderId="50" xfId="0" applyNumberFormat="1" applyFont="1" applyBorder="1" applyAlignment="1">
      <alignment horizontal="center" vertical="center" shrinkToFit="1"/>
    </xf>
    <xf numFmtId="195" fontId="14" fillId="0" borderId="50" xfId="0" applyNumberFormat="1" applyFont="1" applyBorder="1" applyAlignment="1">
      <alignment horizontal="center" vertical="center" shrinkToFit="1"/>
    </xf>
    <xf numFmtId="193" fontId="14" fillId="0" borderId="114" xfId="0" applyNumberFormat="1" applyFont="1" applyBorder="1" applyAlignment="1">
      <alignment horizontal="center" vertical="center" shrinkToFit="1"/>
    </xf>
    <xf numFmtId="193" fontId="14" fillId="0" borderId="2" xfId="0" applyNumberFormat="1" applyFont="1" applyBorder="1" applyAlignment="1">
      <alignment horizontal="center" vertical="center" shrinkToFit="1"/>
    </xf>
    <xf numFmtId="194" fontId="14" fillId="0" borderId="0" xfId="0" applyNumberFormat="1" applyFont="1" applyAlignment="1">
      <alignment horizontal="center" vertical="center" shrinkToFit="1"/>
    </xf>
    <xf numFmtId="194" fontId="14" fillId="0" borderId="50" xfId="0" applyNumberFormat="1" applyFont="1" applyBorder="1" applyAlignment="1">
      <alignment horizontal="center" vertical="center" shrinkToFit="1"/>
    </xf>
    <xf numFmtId="193" fontId="14" fillId="0" borderId="30" xfId="0" applyNumberFormat="1" applyFont="1" applyBorder="1" applyAlignment="1">
      <alignment horizontal="center" vertical="center" shrinkToFit="1"/>
    </xf>
    <xf numFmtId="40" fontId="14" fillId="0" borderId="125" xfId="0" applyNumberFormat="1" applyFont="1" applyBorder="1" applyAlignment="1">
      <alignment horizontal="center" vertical="center" shrinkToFit="1"/>
    </xf>
    <xf numFmtId="194" fontId="14" fillId="0" borderId="57" xfId="0" applyNumberFormat="1" applyFont="1" applyBorder="1" applyAlignment="1">
      <alignment horizontal="center" vertical="center" shrinkToFit="1"/>
    </xf>
    <xf numFmtId="193" fontId="14" fillId="0" borderId="1" xfId="0" applyNumberFormat="1" applyFont="1" applyBorder="1" applyAlignment="1">
      <alignment horizontal="center" vertical="center" shrinkToFit="1"/>
    </xf>
    <xf numFmtId="195" fontId="14" fillId="0" borderId="1" xfId="0" applyNumberFormat="1" applyFont="1" applyBorder="1" applyAlignment="1">
      <alignment horizontal="center" vertical="center" shrinkToFit="1"/>
    </xf>
    <xf numFmtId="195" fontId="14" fillId="0" borderId="22" xfId="0" applyNumberFormat="1" applyFont="1" applyBorder="1" applyAlignment="1">
      <alignment horizontal="center" vertical="center" shrinkToFit="1"/>
    </xf>
    <xf numFmtId="187" fontId="14" fillId="0" borderId="28" xfId="0" applyNumberFormat="1" applyFont="1" applyBorder="1" applyAlignment="1">
      <alignment horizontal="center" vertical="center" shrinkToFit="1"/>
    </xf>
    <xf numFmtId="178" fontId="3" fillId="0" borderId="19" xfId="3" applyNumberFormat="1" applyFont="1" applyBorder="1" applyAlignment="1">
      <alignment vertical="center"/>
    </xf>
    <xf numFmtId="178" fontId="3" fillId="0" borderId="28" xfId="3" applyNumberFormat="1" applyFont="1" applyBorder="1" applyAlignment="1">
      <alignment vertical="center"/>
    </xf>
    <xf numFmtId="0" fontId="3" fillId="0" borderId="22" xfId="3" applyFont="1" applyBorder="1" applyAlignment="1">
      <alignment vertical="center"/>
    </xf>
    <xf numFmtId="0" fontId="3" fillId="0" borderId="7" xfId="3" applyFont="1" applyBorder="1" applyAlignment="1">
      <alignment vertical="center"/>
    </xf>
    <xf numFmtId="178" fontId="3" fillId="0" borderId="24" xfId="3" applyNumberFormat="1" applyFont="1" applyBorder="1" applyAlignment="1">
      <alignment vertical="center"/>
    </xf>
    <xf numFmtId="180" fontId="0" fillId="0" borderId="163" xfId="0" applyBorder="1" applyAlignment="1">
      <alignment horizontal="center" vertical="center"/>
    </xf>
    <xf numFmtId="180" fontId="0" fillId="0" borderId="163" xfId="0" applyBorder="1">
      <alignment vertical="center"/>
    </xf>
    <xf numFmtId="40" fontId="45" fillId="0" borderId="78" xfId="0" applyNumberFormat="1" applyFont="1" applyBorder="1">
      <alignment vertical="center"/>
    </xf>
    <xf numFmtId="180" fontId="14" fillId="0" borderId="2" xfId="0" applyFont="1" applyBorder="1" applyAlignment="1">
      <alignment horizontal="center" vertical="center" shrinkToFit="1"/>
    </xf>
    <xf numFmtId="188" fontId="14" fillId="0" borderId="0" xfId="0" applyNumberFormat="1" applyFont="1" applyAlignment="1">
      <alignment horizontal="center" vertical="center" shrinkToFit="1"/>
    </xf>
    <xf numFmtId="40" fontId="14" fillId="0" borderId="2" xfId="0" applyNumberFormat="1" applyFont="1" applyBorder="1">
      <alignment vertical="center"/>
    </xf>
    <xf numFmtId="40" fontId="14" fillId="0" borderId="2" xfId="0" applyNumberFormat="1" applyFont="1" applyBorder="1" applyAlignment="1">
      <alignment horizontal="center" vertical="center" shrinkToFit="1"/>
    </xf>
    <xf numFmtId="180" fontId="14" fillId="0" borderId="163" xfId="0" applyFont="1" applyBorder="1">
      <alignment vertical="center"/>
    </xf>
    <xf numFmtId="180" fontId="14" fillId="0" borderId="1" xfId="0" applyFont="1" applyBorder="1">
      <alignment vertical="center"/>
    </xf>
    <xf numFmtId="215" fontId="14" fillId="0" borderId="64" xfId="0" applyNumberFormat="1" applyFont="1" applyBorder="1" applyAlignment="1">
      <alignment horizontal="center" vertical="center" shrinkToFit="1"/>
    </xf>
    <xf numFmtId="215" fontId="14" fillId="0" borderId="63" xfId="0" applyNumberFormat="1" applyFont="1" applyBorder="1" applyAlignment="1">
      <alignment horizontal="center" vertical="center" shrinkToFit="1"/>
    </xf>
    <xf numFmtId="215" fontId="14" fillId="0" borderId="32" xfId="0" applyNumberFormat="1" applyFont="1" applyBorder="1" applyAlignment="1">
      <alignment horizontal="center" vertical="center" shrinkToFit="1"/>
    </xf>
    <xf numFmtId="215" fontId="14" fillId="0" borderId="51" xfId="0" applyNumberFormat="1" applyFont="1" applyBorder="1" applyAlignment="1">
      <alignment horizontal="center" vertical="center" shrinkToFit="1"/>
    </xf>
    <xf numFmtId="215" fontId="14" fillId="0" borderId="107" xfId="0" applyNumberFormat="1" applyFont="1" applyBorder="1" applyAlignment="1">
      <alignment horizontal="center" vertical="center"/>
    </xf>
    <xf numFmtId="216" fontId="14" fillId="0" borderId="61" xfId="0" applyNumberFormat="1" applyFont="1" applyBorder="1" applyAlignment="1">
      <alignment horizontal="center" vertical="center" shrinkToFit="1"/>
    </xf>
    <xf numFmtId="216" fontId="14" fillId="0" borderId="60" xfId="0" applyNumberFormat="1" applyFont="1" applyBorder="1" applyAlignment="1">
      <alignment horizontal="center" vertical="center" shrinkToFit="1"/>
    </xf>
    <xf numFmtId="216" fontId="14" fillId="0" borderId="50" xfId="0" applyNumberFormat="1" applyFont="1" applyBorder="1" applyAlignment="1">
      <alignment horizontal="center" vertical="center" shrinkToFit="1"/>
    </xf>
    <xf numFmtId="180" fontId="3" fillId="0" borderId="2" xfId="0" applyFont="1" applyBorder="1" applyAlignment="1">
      <alignment horizontal="center" vertical="center"/>
    </xf>
    <xf numFmtId="180" fontId="3" fillId="0" borderId="8" xfId="0" applyFont="1" applyBorder="1" applyAlignment="1">
      <alignment horizontal="center" vertical="center"/>
    </xf>
    <xf numFmtId="40" fontId="14" fillId="0" borderId="79" xfId="2" applyNumberFormat="1" applyFont="1" applyBorder="1" applyAlignment="1">
      <alignment horizontal="center" vertical="center"/>
    </xf>
    <xf numFmtId="40" fontId="0" fillId="0" borderId="20" xfId="0" applyNumberFormat="1" applyBorder="1" applyAlignment="1">
      <alignment horizontal="center" vertical="center" shrinkToFit="1"/>
    </xf>
    <xf numFmtId="216" fontId="0" fillId="0" borderId="105" xfId="2" applyNumberFormat="1" applyFont="1" applyFill="1" applyBorder="1" applyAlignment="1">
      <alignment horizontal="center" vertical="center" shrinkToFit="1"/>
    </xf>
    <xf numFmtId="216" fontId="0" fillId="0" borderId="106" xfId="2" applyNumberFormat="1" applyFont="1" applyFill="1" applyBorder="1" applyAlignment="1">
      <alignment horizontal="center" vertical="center" shrinkToFit="1"/>
    </xf>
    <xf numFmtId="216" fontId="0" fillId="0" borderId="107" xfId="2" applyNumberFormat="1" applyFont="1" applyFill="1" applyBorder="1" applyAlignment="1">
      <alignment horizontal="center" vertical="center"/>
    </xf>
    <xf numFmtId="40" fontId="0" fillId="0" borderId="20" xfId="0" applyNumberFormat="1" applyBorder="1" applyAlignment="1">
      <alignment horizontal="center" vertical="center"/>
    </xf>
    <xf numFmtId="38" fontId="14" fillId="0" borderId="105" xfId="2" applyFont="1" applyFill="1" applyBorder="1" applyAlignment="1">
      <alignment horizontal="center" vertical="center" shrinkToFit="1"/>
    </xf>
    <xf numFmtId="38" fontId="14" fillId="0" borderId="106" xfId="2" applyFont="1" applyFill="1" applyBorder="1" applyAlignment="1">
      <alignment horizontal="center" vertical="center" shrinkToFit="1"/>
    </xf>
    <xf numFmtId="38" fontId="14" fillId="0" borderId="107" xfId="2" applyFont="1" applyFill="1" applyBorder="1" applyAlignment="1">
      <alignment horizontal="center" vertical="center"/>
    </xf>
    <xf numFmtId="40" fontId="14" fillId="0" borderId="105" xfId="2" applyNumberFormat="1" applyFont="1" applyFill="1" applyBorder="1" applyAlignment="1">
      <alignment horizontal="center" vertical="center" shrinkToFit="1"/>
    </xf>
    <xf numFmtId="40" fontId="14" fillId="0" borderId="106" xfId="2" applyNumberFormat="1" applyFont="1" applyFill="1" applyBorder="1" applyAlignment="1">
      <alignment horizontal="center" vertical="center" shrinkToFit="1"/>
    </xf>
    <xf numFmtId="40" fontId="14" fillId="0" borderId="107" xfId="2" applyNumberFormat="1" applyFont="1" applyFill="1" applyBorder="1" applyAlignment="1">
      <alignment horizontal="center" vertical="center"/>
    </xf>
    <xf numFmtId="217" fontId="14" fillId="6" borderId="78" xfId="0" applyNumberFormat="1" applyFont="1" applyFill="1" applyBorder="1" applyAlignment="1">
      <alignment horizontal="center" vertical="center" shrinkToFit="1"/>
    </xf>
    <xf numFmtId="218" fontId="14" fillId="0" borderId="20" xfId="2" applyNumberFormat="1" applyFont="1" applyFill="1" applyBorder="1" applyAlignment="1">
      <alignment horizontal="center" vertical="center" shrinkToFit="1"/>
    </xf>
    <xf numFmtId="219" fontId="14" fillId="0" borderId="20" xfId="0" applyNumberFormat="1" applyFont="1" applyBorder="1">
      <alignment vertical="center"/>
    </xf>
    <xf numFmtId="219" fontId="14" fillId="0" borderId="5" xfId="0" applyNumberFormat="1" applyFont="1" applyBorder="1">
      <alignment vertical="center"/>
    </xf>
    <xf numFmtId="219" fontId="14" fillId="0" borderId="76" xfId="0" applyNumberFormat="1" applyFont="1" applyBorder="1" applyAlignment="1">
      <alignment horizontal="center" vertical="center" shrinkToFit="1"/>
    </xf>
    <xf numFmtId="219" fontId="14" fillId="0" borderId="64" xfId="0" applyNumberFormat="1" applyFont="1" applyBorder="1" applyAlignment="1">
      <alignment horizontal="center" vertical="center" shrinkToFit="1"/>
    </xf>
    <xf numFmtId="219" fontId="14" fillId="0" borderId="63" xfId="0" applyNumberFormat="1" applyFont="1" applyBorder="1" applyAlignment="1">
      <alignment horizontal="center" vertical="center" shrinkToFit="1"/>
    </xf>
    <xf numFmtId="219" fontId="14" fillId="0" borderId="32" xfId="0" applyNumberFormat="1" applyFont="1" applyBorder="1" applyAlignment="1">
      <alignment horizontal="center" vertical="center" shrinkToFit="1"/>
    </xf>
    <xf numFmtId="219" fontId="14" fillId="0" borderId="51" xfId="0" applyNumberFormat="1" applyFont="1" applyBorder="1" applyAlignment="1">
      <alignment horizontal="center" vertical="center" shrinkToFit="1"/>
    </xf>
    <xf numFmtId="219" fontId="14" fillId="0" borderId="31" xfId="0" applyNumberFormat="1" applyFont="1" applyBorder="1" applyAlignment="1">
      <alignment horizontal="center" vertical="center" shrinkToFit="1"/>
    </xf>
    <xf numFmtId="219" fontId="14" fillId="0" borderId="20" xfId="0" applyNumberFormat="1" applyFont="1" applyBorder="1" applyAlignment="1">
      <alignment horizontal="center" vertical="center" shrinkToFit="1"/>
    </xf>
    <xf numFmtId="215" fontId="14" fillId="0" borderId="76" xfId="0" applyNumberFormat="1" applyFont="1" applyBorder="1" applyAlignment="1">
      <alignment horizontal="center" vertical="center" shrinkToFit="1"/>
    </xf>
    <xf numFmtId="180" fontId="3" fillId="0" borderId="0" xfId="5" applyNumberFormat="1" applyFont="1" applyAlignment="1" applyProtection="1">
      <alignment vertical="center" shrinkToFit="1"/>
      <protection locked="0"/>
    </xf>
    <xf numFmtId="180" fontId="3" fillId="0" borderId="8" xfId="5" applyNumberFormat="1" applyFont="1" applyBorder="1" applyAlignment="1" applyProtection="1">
      <alignment vertical="center" shrinkToFit="1"/>
      <protection locked="0"/>
    </xf>
    <xf numFmtId="40" fontId="14" fillId="0" borderId="16" xfId="0" applyNumberFormat="1" applyFont="1" applyBorder="1" applyAlignment="1">
      <alignment horizontal="center" vertical="center" shrinkToFit="1"/>
    </xf>
    <xf numFmtId="180" fontId="14" fillId="6" borderId="79" xfId="0" applyFont="1" applyFill="1" applyBorder="1" applyAlignment="1">
      <alignment horizontal="center" vertical="center" shrinkToFit="1"/>
    </xf>
    <xf numFmtId="40" fontId="14" fillId="0" borderId="79" xfId="0" applyNumberFormat="1" applyFont="1" applyBorder="1">
      <alignment vertical="center"/>
    </xf>
    <xf numFmtId="180" fontId="14" fillId="0" borderId="79" xfId="0" applyFont="1" applyBorder="1">
      <alignment vertical="center"/>
    </xf>
    <xf numFmtId="40" fontId="14" fillId="0" borderId="23" xfId="0" applyNumberFormat="1" applyFont="1" applyBorder="1" applyAlignment="1">
      <alignment vertical="center" wrapText="1"/>
    </xf>
    <xf numFmtId="40" fontId="14" fillId="0" borderId="67" xfId="8" applyNumberFormat="1" applyFont="1" applyBorder="1" applyAlignment="1">
      <alignment horizontal="center" vertical="center" shrinkToFit="1"/>
    </xf>
    <xf numFmtId="0" fontId="14" fillId="0" borderId="0" xfId="8" applyFont="1" applyAlignment="1">
      <alignment horizontal="left" vertical="center"/>
    </xf>
    <xf numFmtId="180" fontId="45" fillId="0" borderId="78" xfId="0" applyFont="1" applyBorder="1">
      <alignment vertical="center"/>
    </xf>
    <xf numFmtId="40" fontId="24" fillId="0" borderId="77" xfId="0" applyNumberFormat="1" applyFont="1" applyBorder="1">
      <alignment vertical="center"/>
    </xf>
    <xf numFmtId="40" fontId="24" fillId="0" borderId="79" xfId="0" applyNumberFormat="1" applyFont="1" applyBorder="1">
      <alignment vertical="center"/>
    </xf>
    <xf numFmtId="40" fontId="24" fillId="0" borderId="76" xfId="2" applyNumberFormat="1" applyFont="1" applyFill="1" applyBorder="1" applyAlignment="1">
      <alignment horizontal="center" vertical="center"/>
    </xf>
    <xf numFmtId="180" fontId="0" fillId="0" borderId="7" xfId="0" applyBorder="1">
      <alignment vertical="center"/>
    </xf>
    <xf numFmtId="180" fontId="0" fillId="0" borderId="24" xfId="0" applyBorder="1">
      <alignment vertical="center"/>
    </xf>
    <xf numFmtId="40" fontId="14" fillId="0" borderId="2" xfId="0" applyNumberFormat="1" applyFont="1" applyBorder="1" applyAlignment="1">
      <alignment horizontal="center" vertical="center"/>
    </xf>
    <xf numFmtId="40" fontId="0" fillId="0" borderId="2" xfId="0" applyNumberFormat="1" applyBorder="1" applyAlignment="1">
      <alignment horizontal="center" vertical="center"/>
    </xf>
    <xf numFmtId="184" fontId="0" fillId="0" borderId="2" xfId="0" applyNumberFormat="1" applyBorder="1" applyAlignment="1">
      <alignment horizontal="centerContinuous" vertical="center"/>
    </xf>
    <xf numFmtId="180" fontId="32" fillId="0" borderId="0" xfId="0" applyFont="1" applyAlignment="1">
      <alignment horizontal="left" vertical="top" wrapText="1"/>
    </xf>
    <xf numFmtId="188" fontId="32" fillId="0" borderId="0" xfId="0" applyNumberFormat="1" applyFont="1" applyAlignment="1">
      <alignment horizontal="left" vertical="top" wrapText="1"/>
    </xf>
    <xf numFmtId="206" fontId="32" fillId="0" borderId="0" xfId="0" applyNumberFormat="1" applyFont="1" applyAlignment="1">
      <alignment horizontal="left" vertical="top" wrapText="1"/>
    </xf>
    <xf numFmtId="40" fontId="32" fillId="0" borderId="0" xfId="0" applyNumberFormat="1" applyFont="1" applyAlignment="1">
      <alignment horizontal="left" vertical="top" wrapText="1"/>
    </xf>
    <xf numFmtId="180" fontId="32" fillId="0" borderId="0" xfId="0" applyFont="1" applyAlignment="1">
      <alignment horizontal="left" vertical="top"/>
    </xf>
    <xf numFmtId="40" fontId="32" fillId="0" borderId="0" xfId="0" applyNumberFormat="1" applyFont="1" applyAlignment="1">
      <alignment horizontal="left" vertical="top"/>
    </xf>
    <xf numFmtId="180" fontId="32" fillId="0" borderId="8" xfId="0" applyFont="1" applyBorder="1" applyAlignment="1">
      <alignment horizontal="left" vertical="top"/>
    </xf>
    <xf numFmtId="188" fontId="32" fillId="0" borderId="8" xfId="0" applyNumberFormat="1" applyFont="1" applyBorder="1" applyAlignment="1">
      <alignment horizontal="left" vertical="top"/>
    </xf>
    <xf numFmtId="206" fontId="32" fillId="0" borderId="8" xfId="0" applyNumberFormat="1" applyFont="1" applyBorder="1" applyAlignment="1">
      <alignment horizontal="left" vertical="top"/>
    </xf>
    <xf numFmtId="40" fontId="32" fillId="0" borderId="8" xfId="0" applyNumberFormat="1" applyFont="1" applyBorder="1" applyAlignment="1">
      <alignment horizontal="left" vertical="top"/>
    </xf>
    <xf numFmtId="206" fontId="32" fillId="0" borderId="0" xfId="0" applyNumberFormat="1" applyFont="1" applyAlignment="1">
      <alignment horizontal="center" vertical="top"/>
    </xf>
    <xf numFmtId="180" fontId="32" fillId="0" borderId="0" xfId="0" applyFont="1" applyAlignment="1">
      <alignment vertical="top"/>
    </xf>
    <xf numFmtId="38" fontId="32" fillId="0" borderId="0" xfId="2" applyFont="1" applyFill="1" applyBorder="1" applyAlignment="1">
      <alignment horizontal="center" vertical="top"/>
    </xf>
    <xf numFmtId="180" fontId="32" fillId="0" borderId="0" xfId="0" applyFont="1" applyAlignment="1">
      <alignment horizontal="center" vertical="top"/>
    </xf>
    <xf numFmtId="188" fontId="32" fillId="0" borderId="0" xfId="0" applyNumberFormat="1" applyFont="1" applyAlignment="1">
      <alignment horizontal="center" vertical="top"/>
    </xf>
    <xf numFmtId="40" fontId="32" fillId="0" borderId="0" xfId="0" applyNumberFormat="1" applyFont="1" applyAlignment="1">
      <alignment horizontal="center" vertical="top"/>
    </xf>
    <xf numFmtId="40" fontId="32" fillId="0" borderId="0" xfId="0" applyNumberFormat="1" applyFont="1" applyAlignment="1">
      <alignment vertical="top" shrinkToFit="1"/>
    </xf>
    <xf numFmtId="179" fontId="0" fillId="0" borderId="0" xfId="0" applyNumberFormat="1">
      <alignment vertical="center"/>
    </xf>
    <xf numFmtId="40" fontId="3" fillId="0" borderId="6" xfId="2" applyNumberFormat="1" applyFont="1" applyFill="1" applyBorder="1" applyAlignment="1">
      <alignment horizontal="centerContinuous" vertical="center"/>
    </xf>
    <xf numFmtId="40" fontId="0" fillId="0" borderId="6" xfId="2" applyNumberFormat="1" applyFont="1" applyFill="1" applyBorder="1" applyAlignment="1">
      <alignment horizontal="centerContinuous" vertical="center"/>
    </xf>
    <xf numFmtId="180" fontId="14" fillId="0" borderId="1" xfId="0" applyFont="1" applyBorder="1" applyAlignment="1">
      <alignment horizontal="center" vertical="center" shrinkToFit="1"/>
    </xf>
    <xf numFmtId="180" fontId="14" fillId="0" borderId="0" xfId="8" applyNumberFormat="1" applyFont="1" applyAlignment="1">
      <alignment horizontal="left" vertical="center"/>
    </xf>
    <xf numFmtId="197" fontId="14" fillId="0" borderId="20" xfId="0" applyNumberFormat="1" applyFont="1" applyBorder="1">
      <alignment vertical="center"/>
    </xf>
    <xf numFmtId="217" fontId="14" fillId="0" borderId="78" xfId="0" applyNumberFormat="1" applyFont="1" applyBorder="1" applyAlignment="1">
      <alignment horizontal="center" vertical="center" shrinkToFit="1"/>
    </xf>
    <xf numFmtId="225" fontId="14" fillId="0" borderId="5" xfId="0" applyNumberFormat="1" applyFont="1" applyBorder="1">
      <alignment vertical="center"/>
    </xf>
    <xf numFmtId="225" fontId="14" fillId="0" borderId="76" xfId="0" applyNumberFormat="1" applyFont="1" applyBorder="1" applyAlignment="1">
      <alignment horizontal="center" vertical="center" shrinkToFit="1"/>
    </xf>
    <xf numFmtId="225" fontId="14" fillId="0" borderId="64" xfId="0" applyNumberFormat="1" applyFont="1" applyBorder="1" applyAlignment="1">
      <alignment horizontal="center" vertical="center" shrinkToFit="1"/>
    </xf>
    <xf numFmtId="225" fontId="14" fillId="0" borderId="63" xfId="0" applyNumberFormat="1" applyFont="1" applyBorder="1" applyAlignment="1">
      <alignment horizontal="center" vertical="center" shrinkToFit="1"/>
    </xf>
    <xf numFmtId="225" fontId="14" fillId="0" borderId="32" xfId="0" applyNumberFormat="1" applyFont="1" applyBorder="1" applyAlignment="1">
      <alignment horizontal="center" vertical="center" shrinkToFit="1"/>
    </xf>
    <xf numFmtId="225" fontId="14" fillId="0" borderId="51" xfId="0" applyNumberFormat="1" applyFont="1" applyBorder="1" applyAlignment="1">
      <alignment horizontal="center" vertical="center" shrinkToFit="1"/>
    </xf>
    <xf numFmtId="0" fontId="24" fillId="0" borderId="76" xfId="4" applyFont="1" applyBorder="1" applyAlignment="1">
      <alignment vertical="center" shrinkToFit="1"/>
    </xf>
    <xf numFmtId="0" fontId="14" fillId="0" borderId="177" xfId="7" applyFont="1" applyBorder="1" applyAlignment="1">
      <alignment vertical="center" shrinkToFit="1"/>
    </xf>
    <xf numFmtId="0" fontId="14" fillId="0" borderId="178" xfId="7" applyFont="1" applyBorder="1" applyAlignment="1">
      <alignment vertical="center" shrinkToFit="1"/>
    </xf>
    <xf numFmtId="0" fontId="14" fillId="0" borderId="179" xfId="7" applyFont="1" applyBorder="1" applyAlignment="1">
      <alignment vertical="center" shrinkToFit="1"/>
    </xf>
    <xf numFmtId="0" fontId="14" fillId="0" borderId="180" xfId="7" applyFont="1" applyBorder="1" applyAlignment="1">
      <alignment vertical="center" shrinkToFit="1"/>
    </xf>
    <xf numFmtId="40" fontId="14" fillId="6" borderId="177" xfId="0" applyNumberFormat="1" applyFont="1" applyFill="1" applyBorder="1" applyAlignment="1">
      <alignment vertical="center" shrinkToFit="1"/>
    </xf>
    <xf numFmtId="40" fontId="14" fillId="6" borderId="178" xfId="0" applyNumberFormat="1" applyFont="1" applyFill="1" applyBorder="1" applyAlignment="1">
      <alignment vertical="center" shrinkToFit="1"/>
    </xf>
    <xf numFmtId="40" fontId="14" fillId="6" borderId="179" xfId="0" applyNumberFormat="1" applyFont="1" applyFill="1" applyBorder="1" applyAlignment="1">
      <alignment vertical="center" shrinkToFit="1"/>
    </xf>
    <xf numFmtId="40" fontId="3" fillId="0" borderId="89" xfId="0" applyNumberFormat="1" applyFont="1" applyBorder="1">
      <alignment vertical="center"/>
    </xf>
    <xf numFmtId="180" fontId="3" fillId="0" borderId="182" xfId="3" applyNumberFormat="1" applyFont="1" applyBorder="1" applyAlignment="1">
      <alignment vertical="center"/>
    </xf>
    <xf numFmtId="0" fontId="3" fillId="0" borderId="182" xfId="3" applyFont="1" applyBorder="1" applyAlignment="1">
      <alignment vertical="center"/>
    </xf>
    <xf numFmtId="178" fontId="3" fillId="0" borderId="169" xfId="3" applyNumberFormat="1" applyFont="1" applyBorder="1" applyAlignment="1">
      <alignment horizontal="center" vertical="center" shrinkToFit="1"/>
    </xf>
    <xf numFmtId="178" fontId="3" fillId="0" borderId="183" xfId="3" applyNumberFormat="1" applyFont="1" applyBorder="1" applyAlignment="1">
      <alignment horizontal="center" vertical="center" shrinkToFit="1"/>
    </xf>
    <xf numFmtId="0" fontId="14" fillId="0" borderId="167" xfId="0" applyNumberFormat="1" applyFont="1" applyBorder="1">
      <alignment vertical="center"/>
    </xf>
    <xf numFmtId="0" fontId="14" fillId="0" borderId="182" xfId="0" applyNumberFormat="1" applyFont="1" applyBorder="1">
      <alignment vertical="center"/>
    </xf>
    <xf numFmtId="0" fontId="14" fillId="0" borderId="168" xfId="0" applyNumberFormat="1" applyFont="1" applyBorder="1">
      <alignment vertical="center"/>
    </xf>
    <xf numFmtId="0" fontId="14" fillId="0" borderId="169" xfId="0" applyNumberFormat="1" applyFont="1" applyBorder="1">
      <alignment vertical="center"/>
    </xf>
    <xf numFmtId="0" fontId="14" fillId="0" borderId="183" xfId="0" applyNumberFormat="1" applyFont="1" applyBorder="1">
      <alignment vertical="center"/>
    </xf>
    <xf numFmtId="0" fontId="14" fillId="0" borderId="170" xfId="0" applyNumberFormat="1" applyFont="1" applyBorder="1">
      <alignment vertical="center"/>
    </xf>
    <xf numFmtId="40" fontId="3" fillId="0" borderId="182" xfId="0" applyNumberFormat="1" applyFont="1" applyBorder="1" applyAlignment="1">
      <alignment horizontal="centerContinuous" vertical="center" shrinkToFit="1"/>
    </xf>
    <xf numFmtId="40" fontId="0" fillId="0" borderId="182" xfId="0" applyNumberFormat="1" applyBorder="1" applyAlignment="1">
      <alignment horizontal="centerContinuous" vertical="center" shrinkToFit="1"/>
    </xf>
    <xf numFmtId="180" fontId="0" fillId="0" borderId="182" xfId="0" applyBorder="1" applyAlignment="1">
      <alignment horizontal="centerContinuous" vertical="center" shrinkToFit="1"/>
    </xf>
    <xf numFmtId="40" fontId="0" fillId="0" borderId="168" xfId="0" applyNumberFormat="1" applyBorder="1" applyAlignment="1">
      <alignment horizontal="centerContinuous" vertical="center" shrinkToFit="1"/>
    </xf>
    <xf numFmtId="180" fontId="0" fillId="0" borderId="183" xfId="0" applyBorder="1">
      <alignment vertical="center"/>
    </xf>
    <xf numFmtId="180" fontId="0" fillId="0" borderId="170" xfId="0" applyBorder="1">
      <alignment vertical="center"/>
    </xf>
    <xf numFmtId="40" fontId="3" fillId="0" borderId="0" xfId="0" applyNumberFormat="1" applyFont="1" applyAlignment="1">
      <alignment horizontal="centerContinuous" vertical="center" shrinkToFit="1"/>
    </xf>
    <xf numFmtId="180" fontId="0" fillId="0" borderId="0" xfId="0" applyAlignment="1">
      <alignment horizontal="centerContinuous" vertical="center" shrinkToFit="1"/>
    </xf>
    <xf numFmtId="180" fontId="0" fillId="0" borderId="0" xfId="0" applyAlignment="1">
      <alignment horizontal="centerContinuous" vertical="center"/>
    </xf>
    <xf numFmtId="40" fontId="32" fillId="0" borderId="0" xfId="0" applyNumberFormat="1" applyFont="1" applyAlignment="1">
      <alignment horizontal="centerContinuous" vertical="center"/>
    </xf>
    <xf numFmtId="180" fontId="14" fillId="0" borderId="22" xfId="0" applyFont="1" applyBorder="1" applyAlignment="1">
      <alignment horizontal="centerContinuous" vertical="center"/>
    </xf>
    <xf numFmtId="180" fontId="14" fillId="0" borderId="150" xfId="0" applyFont="1" applyBorder="1" applyAlignment="1">
      <alignment horizontal="centerContinuous" vertical="center"/>
    </xf>
    <xf numFmtId="180" fontId="14" fillId="0" borderId="0" xfId="0" applyFont="1" applyAlignment="1">
      <alignment horizontal="centerContinuous" vertical="center"/>
    </xf>
    <xf numFmtId="180" fontId="14" fillId="0" borderId="163" xfId="0" applyFont="1" applyBorder="1" applyAlignment="1">
      <alignment horizontal="centerContinuous" vertical="center"/>
    </xf>
    <xf numFmtId="180" fontId="14" fillId="0" borderId="167" xfId="0" applyFont="1" applyBorder="1" applyAlignment="1">
      <alignment horizontal="centerContinuous" vertical="center"/>
    </xf>
    <xf numFmtId="180" fontId="14" fillId="0" borderId="186" xfId="0" applyFont="1" applyBorder="1" applyAlignment="1">
      <alignment horizontal="centerContinuous" vertical="center"/>
    </xf>
    <xf numFmtId="180" fontId="14" fillId="0" borderId="168" xfId="0" applyFont="1" applyBorder="1" applyAlignment="1">
      <alignment horizontal="centerContinuous" vertical="center"/>
    </xf>
    <xf numFmtId="180" fontId="14" fillId="0" borderId="169" xfId="0" applyFont="1" applyBorder="1" applyAlignment="1">
      <alignment horizontal="centerContinuous" vertical="center"/>
    </xf>
    <xf numFmtId="180" fontId="14" fillId="0" borderId="187" xfId="0" applyFont="1" applyBorder="1" applyAlignment="1">
      <alignment horizontal="centerContinuous" vertical="center"/>
    </xf>
    <xf numFmtId="180" fontId="14" fillId="0" borderId="183" xfId="0" applyFont="1" applyBorder="1" applyAlignment="1">
      <alignment horizontal="centerContinuous" vertical="center"/>
    </xf>
    <xf numFmtId="180" fontId="14" fillId="0" borderId="170" xfId="0" applyFont="1" applyBorder="1" applyAlignment="1">
      <alignment horizontal="centerContinuous" vertical="center"/>
    </xf>
    <xf numFmtId="40" fontId="0" fillId="0" borderId="111" xfId="0" applyNumberFormat="1" applyBorder="1" applyAlignment="1">
      <alignment horizontal="center" vertical="center"/>
    </xf>
    <xf numFmtId="40" fontId="0" fillId="0" borderId="113" xfId="0" applyNumberFormat="1" applyBorder="1" applyAlignment="1">
      <alignment horizontal="center" vertical="center"/>
    </xf>
    <xf numFmtId="0" fontId="14" fillId="0" borderId="167" xfId="5" applyFont="1" applyBorder="1">
      <alignment vertical="center"/>
    </xf>
    <xf numFmtId="0" fontId="14" fillId="0" borderId="182" xfId="5" applyFont="1" applyBorder="1">
      <alignment vertical="center"/>
    </xf>
    <xf numFmtId="0" fontId="14" fillId="0" borderId="168" xfId="5" applyFont="1" applyBorder="1">
      <alignment vertical="center"/>
    </xf>
    <xf numFmtId="0" fontId="3" fillId="0" borderId="169" xfId="0" applyNumberFormat="1" applyFont="1" applyBorder="1" applyAlignment="1">
      <alignment horizontal="right" vertical="center"/>
    </xf>
    <xf numFmtId="198" fontId="3" fillId="0" borderId="183" xfId="0" applyNumberFormat="1" applyFont="1" applyBorder="1" applyAlignment="1">
      <alignment horizontal="left" vertical="center"/>
    </xf>
    <xf numFmtId="180" fontId="14" fillId="6" borderId="25" xfId="0" applyFont="1" applyFill="1" applyBorder="1">
      <alignment vertical="center"/>
    </xf>
    <xf numFmtId="180" fontId="14" fillId="6" borderId="14" xfId="0" applyFont="1" applyFill="1" applyBorder="1">
      <alignment vertical="center"/>
    </xf>
    <xf numFmtId="40" fontId="14" fillId="0" borderId="174" xfId="0" applyNumberFormat="1" applyFont="1" applyBorder="1">
      <alignment vertical="center"/>
    </xf>
    <xf numFmtId="40" fontId="14" fillId="0" borderId="15" xfId="0" applyNumberFormat="1" applyFont="1" applyBorder="1">
      <alignment vertical="center"/>
    </xf>
    <xf numFmtId="180" fontId="14" fillId="6" borderId="78" xfId="0" applyFont="1" applyFill="1" applyBorder="1">
      <alignment vertical="center"/>
    </xf>
    <xf numFmtId="180" fontId="14" fillId="6" borderId="76" xfId="0" applyFont="1" applyFill="1" applyBorder="1">
      <alignment vertical="center"/>
    </xf>
    <xf numFmtId="40" fontId="14" fillId="6" borderId="61" xfId="0" applyNumberFormat="1" applyFont="1" applyFill="1" applyBorder="1" applyAlignment="1">
      <alignment vertical="center" shrinkToFit="1"/>
    </xf>
    <xf numFmtId="40" fontId="14" fillId="6" borderId="190" xfId="0" applyNumberFormat="1" applyFont="1" applyFill="1" applyBorder="1" applyAlignment="1">
      <alignment vertical="center" shrinkToFit="1"/>
    </xf>
    <xf numFmtId="40" fontId="14" fillId="6" borderId="103" xfId="0" applyNumberFormat="1" applyFont="1" applyFill="1" applyBorder="1" applyAlignment="1">
      <alignment vertical="center" shrinkToFit="1"/>
    </xf>
    <xf numFmtId="40" fontId="14" fillId="6" borderId="191" xfId="0" applyNumberFormat="1" applyFont="1" applyFill="1" applyBorder="1" applyAlignment="1">
      <alignment vertical="center" shrinkToFit="1"/>
    </xf>
    <xf numFmtId="40" fontId="14" fillId="6" borderId="64" xfId="0" applyNumberFormat="1" applyFont="1" applyFill="1" applyBorder="1" applyAlignment="1">
      <alignment vertical="center" shrinkToFit="1"/>
    </xf>
    <xf numFmtId="40" fontId="14" fillId="6" borderId="192" xfId="0" applyNumberFormat="1" applyFont="1" applyFill="1" applyBorder="1" applyAlignment="1">
      <alignment vertical="center" shrinkToFit="1"/>
    </xf>
    <xf numFmtId="40" fontId="14" fillId="6" borderId="66" xfId="0" applyNumberFormat="1" applyFont="1" applyFill="1" applyBorder="1" applyAlignment="1">
      <alignment vertical="center" shrinkToFit="1"/>
    </xf>
    <xf numFmtId="40" fontId="14" fillId="6" borderId="193" xfId="0" applyNumberFormat="1" applyFont="1" applyFill="1" applyBorder="1" applyAlignment="1">
      <alignment vertical="center" shrinkToFit="1"/>
    </xf>
    <xf numFmtId="40" fontId="14" fillId="6" borderId="50" xfId="0" applyNumberFormat="1" applyFont="1" applyFill="1" applyBorder="1" applyAlignment="1">
      <alignment vertical="center" shrinkToFit="1"/>
    </xf>
    <xf numFmtId="40" fontId="14" fillId="6" borderId="104" xfId="0" applyNumberFormat="1" applyFont="1" applyFill="1" applyBorder="1" applyAlignment="1">
      <alignment vertical="center" shrinkToFit="1"/>
    </xf>
    <xf numFmtId="40" fontId="14" fillId="6" borderId="51" xfId="0" applyNumberFormat="1" applyFont="1" applyFill="1" applyBorder="1" applyAlignment="1">
      <alignment vertical="center" shrinkToFit="1"/>
    </xf>
    <xf numFmtId="40" fontId="14" fillId="6" borderId="67" xfId="0" applyNumberFormat="1" applyFont="1" applyFill="1" applyBorder="1" applyAlignment="1">
      <alignment vertical="center" shrinkToFit="1"/>
    </xf>
    <xf numFmtId="180" fontId="0" fillId="0" borderId="167" xfId="0" applyBorder="1">
      <alignment vertical="center"/>
    </xf>
    <xf numFmtId="180" fontId="0" fillId="0" borderId="168" xfId="0" applyBorder="1">
      <alignment vertical="center"/>
    </xf>
    <xf numFmtId="0" fontId="5" fillId="0" borderId="0" xfId="11">
      <alignment vertical="center"/>
    </xf>
    <xf numFmtId="226" fontId="6" fillId="0" borderId="166" xfId="13" applyNumberFormat="1" applyFont="1" applyBorder="1" applyAlignment="1">
      <alignment horizontal="center" vertical="center"/>
    </xf>
    <xf numFmtId="0" fontId="6" fillId="0" borderId="166" xfId="13" applyFont="1" applyBorder="1">
      <alignment vertical="center"/>
    </xf>
    <xf numFmtId="0" fontId="6" fillId="4" borderId="166" xfId="13" applyFont="1" applyFill="1" applyBorder="1">
      <alignment vertical="center"/>
    </xf>
    <xf numFmtId="0" fontId="6" fillId="0" borderId="166" xfId="13" applyFont="1" applyBorder="1" applyAlignment="1">
      <alignment horizontal="center" vertical="center"/>
    </xf>
    <xf numFmtId="226" fontId="5" fillId="0" borderId="0" xfId="11" applyNumberFormat="1">
      <alignment vertical="center"/>
    </xf>
    <xf numFmtId="0" fontId="49" fillId="0" borderId="0" xfId="14"/>
    <xf numFmtId="49" fontId="49" fillId="0" borderId="0" xfId="14" applyNumberFormat="1"/>
    <xf numFmtId="49" fontId="49" fillId="0" borderId="0" xfId="14" applyNumberFormat="1" applyAlignment="1">
      <alignment horizontal="center" vertical="center"/>
    </xf>
    <xf numFmtId="0" fontId="49" fillId="0" borderId="0" xfId="14" applyAlignment="1">
      <alignment vertical="center"/>
    </xf>
    <xf numFmtId="180" fontId="44" fillId="0" borderId="26" xfId="0" applyFont="1" applyBorder="1">
      <alignment vertical="center"/>
    </xf>
    <xf numFmtId="180" fontId="44" fillId="0" borderId="27" xfId="0" applyFont="1" applyBorder="1">
      <alignment vertical="center"/>
    </xf>
    <xf numFmtId="180" fontId="44" fillId="0" borderId="16" xfId="0" applyFont="1" applyBorder="1">
      <alignment vertical="center"/>
    </xf>
    <xf numFmtId="180" fontId="44" fillId="0" borderId="23" xfId="0" applyFont="1" applyBorder="1">
      <alignment vertical="center"/>
    </xf>
    <xf numFmtId="40" fontId="3" fillId="0" borderId="0" xfId="0" applyNumberFormat="1" applyFont="1" applyAlignment="1">
      <alignment horizontal="center" vertical="center" shrinkToFit="1"/>
    </xf>
    <xf numFmtId="178" fontId="0" fillId="0" borderId="22" xfId="3" applyNumberFormat="1" applyFont="1" applyBorder="1" applyAlignment="1">
      <alignment horizontal="center" vertical="center" shrinkToFit="1"/>
    </xf>
    <xf numFmtId="40" fontId="3" fillId="0" borderId="183" xfId="0" applyNumberFormat="1" applyFont="1" applyBorder="1" applyAlignment="1">
      <alignment horizontal="center" vertical="center" shrinkToFit="1"/>
    </xf>
    <xf numFmtId="0" fontId="3" fillId="0" borderId="22" xfId="3" applyFont="1" applyBorder="1" applyAlignment="1">
      <alignment horizontal="centerContinuous" vertical="center"/>
    </xf>
    <xf numFmtId="0" fontId="3" fillId="0" borderId="0" xfId="3" applyFont="1" applyAlignment="1">
      <alignment horizontal="centerContinuous" vertical="center"/>
    </xf>
    <xf numFmtId="40" fontId="14" fillId="0" borderId="183" xfId="0" applyNumberFormat="1" applyFont="1" applyBorder="1" applyAlignment="1">
      <alignment horizontal="center" vertical="center" shrinkToFit="1"/>
    </xf>
    <xf numFmtId="180" fontId="14" fillId="0" borderId="182" xfId="0" applyFont="1" applyBorder="1" applyAlignment="1">
      <alignment horizontal="center" vertical="center" shrinkToFit="1"/>
    </xf>
    <xf numFmtId="178" fontId="3" fillId="0" borderId="163" xfId="3" applyNumberFormat="1" applyFont="1" applyBorder="1" applyAlignment="1">
      <alignment horizontal="center" vertical="center" shrinkToFit="1"/>
    </xf>
    <xf numFmtId="181" fontId="3" fillId="0" borderId="169" xfId="3" applyNumberFormat="1" applyFont="1" applyBorder="1" applyAlignment="1">
      <alignment horizontal="center" vertical="center" shrinkToFit="1"/>
    </xf>
    <xf numFmtId="181" fontId="3" fillId="0" borderId="183" xfId="3" applyNumberFormat="1" applyFont="1" applyBorder="1" applyAlignment="1">
      <alignment horizontal="center" vertical="center" shrinkToFit="1"/>
    </xf>
    <xf numFmtId="178" fontId="3" fillId="0" borderId="170" xfId="3" applyNumberFormat="1" applyFont="1" applyBorder="1" applyAlignment="1">
      <alignment horizontal="center" vertical="center" shrinkToFit="1"/>
    </xf>
    <xf numFmtId="178" fontId="3" fillId="0" borderId="167" xfId="3" applyNumberFormat="1" applyFont="1" applyBorder="1" applyAlignment="1">
      <alignment horizontal="centerContinuous" vertical="center"/>
    </xf>
    <xf numFmtId="178" fontId="3" fillId="0" borderId="182" xfId="3" applyNumberFormat="1" applyFont="1" applyBorder="1" applyAlignment="1">
      <alignment horizontal="centerContinuous" vertical="center"/>
    </xf>
    <xf numFmtId="178" fontId="3" fillId="0" borderId="168" xfId="3" applyNumberFormat="1" applyFont="1" applyBorder="1" applyAlignment="1">
      <alignment horizontal="centerContinuous" vertical="center"/>
    </xf>
    <xf numFmtId="178" fontId="3" fillId="0" borderId="163" xfId="3" applyNumberFormat="1" applyFont="1" applyBorder="1" applyAlignment="1">
      <alignment horizontal="centerContinuous" vertical="center"/>
    </xf>
    <xf numFmtId="178" fontId="3" fillId="0" borderId="33" xfId="3" applyNumberFormat="1" applyFont="1" applyBorder="1" applyAlignment="1">
      <alignment horizontal="center" vertical="center" shrinkToFit="1"/>
    </xf>
    <xf numFmtId="181" fontId="3" fillId="0" borderId="182" xfId="3" applyNumberFormat="1" applyFont="1" applyBorder="1" applyAlignment="1">
      <alignment horizontal="center" vertical="center" shrinkToFit="1"/>
    </xf>
    <xf numFmtId="178" fontId="0" fillId="0" borderId="167" xfId="3" applyNumberFormat="1" applyFont="1" applyBorder="1" applyAlignment="1">
      <alignment horizontal="centerContinuous" vertical="center"/>
    </xf>
    <xf numFmtId="178" fontId="0" fillId="0" borderId="182" xfId="3" applyNumberFormat="1" applyFont="1" applyBorder="1" applyAlignment="1">
      <alignment horizontal="centerContinuous" vertical="center"/>
    </xf>
    <xf numFmtId="180" fontId="14" fillId="0" borderId="168" xfId="0" applyFont="1" applyBorder="1">
      <alignment vertical="center"/>
    </xf>
    <xf numFmtId="180" fontId="14" fillId="0" borderId="183" xfId="0" applyFont="1" applyBorder="1">
      <alignment vertical="center"/>
    </xf>
    <xf numFmtId="180" fontId="14" fillId="0" borderId="170" xfId="0" applyFont="1" applyBorder="1">
      <alignment vertical="center"/>
    </xf>
    <xf numFmtId="178" fontId="3" fillId="0" borderId="115" xfId="3"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38" fontId="0" fillId="0" borderId="0" xfId="2" applyFont="1" applyFill="1" applyBorder="1" applyAlignment="1">
      <alignment horizontal="center" vertical="center" shrinkToFit="1"/>
    </xf>
    <xf numFmtId="38" fontId="3" fillId="0" borderId="0" xfId="2" applyFont="1" applyFill="1" applyBorder="1" applyAlignment="1">
      <alignment horizontal="center" vertical="center" shrinkToFit="1"/>
    </xf>
    <xf numFmtId="177" fontId="3" fillId="0" borderId="183" xfId="0" applyNumberFormat="1" applyFont="1" applyBorder="1" applyAlignment="1">
      <alignment horizontal="center" vertical="center" shrinkToFit="1"/>
    </xf>
    <xf numFmtId="180" fontId="3" fillId="0" borderId="183" xfId="3" applyNumberFormat="1" applyFont="1" applyBorder="1" applyAlignment="1">
      <alignment horizontal="center" vertical="center" shrinkToFit="1"/>
    </xf>
    <xf numFmtId="38" fontId="0" fillId="0" borderId="183" xfId="2" applyFont="1" applyFill="1" applyBorder="1" applyAlignment="1">
      <alignment horizontal="center" vertical="center" shrinkToFit="1"/>
    </xf>
    <xf numFmtId="178" fontId="3" fillId="0" borderId="194" xfId="3" applyNumberFormat="1" applyFont="1" applyBorder="1" applyAlignment="1">
      <alignment horizontal="centerContinuous" vertical="center"/>
    </xf>
    <xf numFmtId="0" fontId="3" fillId="0" borderId="194" xfId="3" applyFont="1" applyBorder="1" applyAlignment="1">
      <alignment horizontal="centerContinuous" vertical="center"/>
    </xf>
    <xf numFmtId="178" fontId="0" fillId="0" borderId="0" xfId="3" applyNumberFormat="1" applyFont="1" applyAlignment="1">
      <alignment horizontal="centerContinuous" vertical="center"/>
    </xf>
    <xf numFmtId="178" fontId="3" fillId="0" borderId="194" xfId="3" applyNumberFormat="1" applyFont="1" applyBorder="1" applyAlignment="1">
      <alignment vertical="center"/>
    </xf>
    <xf numFmtId="178" fontId="3" fillId="0" borderId="168" xfId="3" applyNumberFormat="1" applyFont="1" applyBorder="1" applyAlignment="1">
      <alignment vertical="center"/>
    </xf>
    <xf numFmtId="178" fontId="3" fillId="0" borderId="163" xfId="3" applyNumberFormat="1" applyFont="1" applyBorder="1" applyAlignment="1">
      <alignment vertical="center"/>
    </xf>
    <xf numFmtId="177" fontId="3" fillId="0" borderId="22" xfId="0" applyNumberFormat="1" applyFont="1" applyBorder="1" applyAlignment="1">
      <alignment horizontal="center" vertical="center" shrinkToFit="1"/>
    </xf>
    <xf numFmtId="177" fontId="3" fillId="0" borderId="169" xfId="0" applyNumberFormat="1" applyFont="1" applyBorder="1" applyAlignment="1">
      <alignment horizontal="center" vertical="center" shrinkToFit="1"/>
    </xf>
    <xf numFmtId="178" fontId="46" fillId="0" borderId="22" xfId="3" applyNumberFormat="1" applyFont="1" applyBorder="1" applyAlignment="1">
      <alignment horizontal="center" vertical="center" shrinkToFit="1"/>
    </xf>
    <xf numFmtId="178" fontId="46" fillId="0" borderId="0" xfId="3" applyNumberFormat="1" applyFont="1" applyAlignment="1">
      <alignment horizontal="center" vertical="center" shrinkToFit="1"/>
    </xf>
    <xf numFmtId="178" fontId="0" fillId="0" borderId="0" xfId="3" applyNumberFormat="1" applyFont="1" applyAlignment="1">
      <alignment horizontal="center" vertical="center" shrinkToFit="1"/>
    </xf>
    <xf numFmtId="178" fontId="0" fillId="0" borderId="1" xfId="3" applyNumberFormat="1" applyFont="1" applyBorder="1" applyAlignment="1">
      <alignment horizontal="centerContinuous" vertical="center"/>
    </xf>
    <xf numFmtId="178" fontId="46" fillId="0" borderId="163" xfId="3" applyNumberFormat="1" applyFont="1" applyBorder="1" applyAlignment="1">
      <alignment horizontal="center" vertical="center" shrinkToFit="1"/>
    </xf>
    <xf numFmtId="178" fontId="46" fillId="0" borderId="1" xfId="3" applyNumberFormat="1" applyFont="1" applyBorder="1" applyAlignment="1">
      <alignment vertical="center"/>
    </xf>
    <xf numFmtId="178" fontId="46" fillId="0" borderId="194" xfId="3" applyNumberFormat="1" applyFont="1" applyBorder="1" applyAlignment="1">
      <alignment vertical="center"/>
    </xf>
    <xf numFmtId="178" fontId="3" fillId="0" borderId="115" xfId="3" applyNumberFormat="1" applyFont="1" applyBorder="1" applyAlignment="1">
      <alignment horizontal="centerContinuous" vertical="center"/>
    </xf>
    <xf numFmtId="180" fontId="3" fillId="0" borderId="183" xfId="3" applyNumberFormat="1" applyFont="1" applyBorder="1" applyAlignment="1">
      <alignment vertical="center" shrinkToFit="1"/>
    </xf>
    <xf numFmtId="40" fontId="14" fillId="0" borderId="169" xfId="0" applyNumberFormat="1" applyFont="1" applyBorder="1" applyAlignment="1">
      <alignment horizontal="center" vertical="center" shrinkToFit="1"/>
    </xf>
    <xf numFmtId="180" fontId="3" fillId="0" borderId="170" xfId="0" applyFont="1" applyBorder="1" applyAlignment="1">
      <alignment horizontal="center" vertical="center"/>
    </xf>
    <xf numFmtId="188" fontId="14" fillId="0" borderId="194" xfId="0" applyNumberFormat="1" applyFont="1" applyBorder="1" applyAlignment="1">
      <alignment horizontal="center" vertical="center" shrinkToFit="1"/>
    </xf>
    <xf numFmtId="180" fontId="14" fillId="0" borderId="168" xfId="0" applyFont="1" applyBorder="1" applyAlignment="1">
      <alignment horizontal="center" vertical="center"/>
    </xf>
    <xf numFmtId="180" fontId="0" fillId="0" borderId="22" xfId="3" applyNumberFormat="1" applyFont="1" applyBorder="1" applyAlignment="1">
      <alignment horizontal="center" vertical="center" shrinkToFit="1"/>
    </xf>
    <xf numFmtId="180" fontId="3" fillId="0" borderId="169" xfId="3" applyNumberFormat="1" applyFont="1" applyBorder="1" applyAlignment="1">
      <alignment horizontal="center" vertical="center" shrinkToFit="1"/>
    </xf>
    <xf numFmtId="179" fontId="3" fillId="0" borderId="0" xfId="3" applyNumberFormat="1" applyFont="1" applyAlignment="1">
      <alignment horizontal="center" vertical="center" shrinkToFit="1"/>
    </xf>
    <xf numFmtId="180" fontId="0" fillId="0" borderId="0" xfId="3" applyNumberFormat="1" applyFont="1" applyAlignment="1">
      <alignment horizontal="center" vertical="center" shrinkToFit="1"/>
    </xf>
    <xf numFmtId="179" fontId="3" fillId="0" borderId="163" xfId="3" applyNumberFormat="1" applyFont="1" applyBorder="1" applyAlignment="1">
      <alignment horizontal="center" vertical="center" shrinkToFit="1"/>
    </xf>
    <xf numFmtId="0" fontId="14" fillId="0" borderId="83" xfId="5" applyFont="1" applyBorder="1" applyAlignment="1">
      <alignment horizontal="center" vertical="center" shrinkToFit="1"/>
    </xf>
    <xf numFmtId="40" fontId="14" fillId="0" borderId="172" xfId="0" applyNumberFormat="1" applyFont="1" applyBorder="1" applyAlignment="1">
      <alignment horizontal="center" vertical="center" shrinkToFit="1"/>
    </xf>
    <xf numFmtId="180" fontId="52" fillId="0" borderId="27" xfId="0" applyFont="1" applyBorder="1">
      <alignment vertical="center"/>
    </xf>
    <xf numFmtId="178" fontId="3" fillId="0" borderId="48" xfId="3" applyNumberFormat="1" applyFont="1" applyBorder="1" applyAlignment="1">
      <alignment horizontal="center" vertical="center" shrinkToFit="1"/>
    </xf>
    <xf numFmtId="178" fontId="3" fillId="0" borderId="49" xfId="3" applyNumberFormat="1" applyFont="1" applyBorder="1" applyAlignment="1">
      <alignment horizontal="center" vertical="center" shrinkToFit="1"/>
    </xf>
    <xf numFmtId="0" fontId="45" fillId="0" borderId="0" xfId="4" applyFont="1" applyAlignment="1">
      <alignment horizontal="center" vertical="center"/>
    </xf>
    <xf numFmtId="180" fontId="45" fillId="0" borderId="0" xfId="0" applyFont="1">
      <alignment vertical="center"/>
    </xf>
    <xf numFmtId="0" fontId="45" fillId="0" borderId="0" xfId="4" applyFont="1">
      <alignment vertical="center"/>
    </xf>
    <xf numFmtId="40" fontId="45" fillId="0" borderId="0" xfId="4" applyNumberFormat="1" applyFont="1">
      <alignment vertical="center"/>
    </xf>
    <xf numFmtId="40" fontId="14" fillId="0" borderId="84" xfId="0" applyNumberFormat="1" applyFont="1" applyBorder="1">
      <alignment vertical="center"/>
    </xf>
    <xf numFmtId="40" fontId="14" fillId="0" borderId="85" xfId="0" applyNumberFormat="1" applyFont="1" applyBorder="1">
      <alignment vertical="center"/>
    </xf>
    <xf numFmtId="40" fontId="14" fillId="0" borderId="86" xfId="0" applyNumberFormat="1" applyFont="1" applyBorder="1">
      <alignment vertical="center"/>
    </xf>
    <xf numFmtId="40" fontId="3" fillId="0" borderId="86" xfId="0" applyNumberFormat="1" applyFont="1" applyBorder="1">
      <alignment vertical="center"/>
    </xf>
    <xf numFmtId="0" fontId="14" fillId="0" borderId="171" xfId="5" applyFont="1" applyBorder="1" applyAlignment="1">
      <alignment horizontal="center" vertical="center" shrinkToFit="1"/>
    </xf>
    <xf numFmtId="38" fontId="41" fillId="0" borderId="26" xfId="2" applyFont="1" applyFill="1" applyBorder="1" applyAlignment="1">
      <alignment vertical="center" shrinkToFit="1"/>
    </xf>
    <xf numFmtId="0" fontId="3" fillId="0" borderId="0" xfId="8" applyFont="1">
      <alignment vertical="center"/>
    </xf>
    <xf numFmtId="178" fontId="3" fillId="0" borderId="183" xfId="3" applyNumberFormat="1" applyFont="1" applyBorder="1" applyAlignment="1">
      <alignment vertical="center" shrinkToFit="1"/>
    </xf>
    <xf numFmtId="0" fontId="0" fillId="12" borderId="3" xfId="3" applyFont="1" applyFill="1" applyBorder="1" applyAlignment="1">
      <alignment horizontal="centerContinuous" vertical="center"/>
    </xf>
    <xf numFmtId="0" fontId="3" fillId="12" borderId="4" xfId="3" applyFont="1" applyFill="1" applyBorder="1" applyAlignment="1">
      <alignment horizontal="centerContinuous" vertical="center"/>
    </xf>
    <xf numFmtId="0" fontId="3" fillId="12" borderId="5" xfId="3" applyFont="1" applyFill="1" applyBorder="1" applyAlignment="1">
      <alignment horizontal="centerContinuous" vertical="center"/>
    </xf>
    <xf numFmtId="180" fontId="14" fillId="10" borderId="78" xfId="0" applyFont="1" applyFill="1" applyBorder="1" applyAlignment="1">
      <alignment horizontal="center" vertical="center" shrinkToFit="1"/>
    </xf>
    <xf numFmtId="178" fontId="3" fillId="0" borderId="194" xfId="3" applyNumberFormat="1" applyFont="1" applyBorder="1" applyAlignment="1">
      <alignment horizontal="center" vertical="center" shrinkToFit="1"/>
    </xf>
    <xf numFmtId="0" fontId="3" fillId="0" borderId="194" xfId="3" applyFont="1" applyBorder="1" applyAlignment="1">
      <alignment vertical="center"/>
    </xf>
    <xf numFmtId="180" fontId="3" fillId="0" borderId="183" xfId="5" applyNumberFormat="1" applyFont="1" applyBorder="1" applyAlignment="1" applyProtection="1">
      <alignment vertical="center" shrinkToFit="1"/>
      <protection locked="0"/>
    </xf>
    <xf numFmtId="0" fontId="24" fillId="0" borderId="0" xfId="4" applyFont="1" applyAlignment="1">
      <alignment vertical="center" shrinkToFit="1"/>
    </xf>
    <xf numFmtId="0" fontId="3" fillId="13" borderId="3" xfId="3" applyFont="1" applyFill="1" applyBorder="1" applyAlignment="1">
      <alignment horizontal="centerContinuous" vertical="center"/>
    </xf>
    <xf numFmtId="0" fontId="3" fillId="13" borderId="4" xfId="3" applyFont="1" applyFill="1" applyBorder="1" applyAlignment="1">
      <alignment horizontal="centerContinuous" vertical="center"/>
    </xf>
    <xf numFmtId="0" fontId="3" fillId="13" borderId="5" xfId="3" applyFont="1" applyFill="1" applyBorder="1" applyAlignment="1">
      <alignment horizontal="centerContinuous" vertical="center"/>
    </xf>
    <xf numFmtId="180" fontId="44" fillId="0" borderId="0" xfId="0" applyFont="1" applyAlignment="1">
      <alignment horizontal="center" vertical="center"/>
    </xf>
    <xf numFmtId="180" fontId="14" fillId="0" borderId="35" xfId="0" applyFont="1" applyBorder="1">
      <alignment vertical="center"/>
    </xf>
    <xf numFmtId="180" fontId="14" fillId="0" borderId="83" xfId="0" applyFont="1" applyBorder="1">
      <alignment vertical="center"/>
    </xf>
    <xf numFmtId="0" fontId="24" fillId="10" borderId="103" xfId="4" applyFont="1" applyFill="1" applyBorder="1" applyAlignment="1">
      <alignment horizontal="center" vertical="center"/>
    </xf>
    <xf numFmtId="180" fontId="24" fillId="0" borderId="109" xfId="0" applyFont="1" applyBorder="1" applyAlignment="1">
      <alignment horizontal="center" vertical="center"/>
    </xf>
    <xf numFmtId="0" fontId="24" fillId="0" borderId="109" xfId="4" applyFont="1" applyBorder="1" applyAlignment="1">
      <alignment horizontal="center" vertical="center"/>
    </xf>
    <xf numFmtId="40" fontId="24" fillId="0" borderId="57" xfId="4" applyNumberFormat="1" applyFont="1" applyBorder="1" applyAlignment="1">
      <alignment horizontal="center" vertical="center"/>
    </xf>
    <xf numFmtId="188" fontId="24" fillId="0" borderId="64" xfId="4" applyNumberFormat="1" applyFont="1" applyBorder="1" applyAlignment="1">
      <alignment horizontal="center" vertical="center"/>
    </xf>
    <xf numFmtId="188" fontId="24" fillId="0" borderId="63" xfId="0" applyNumberFormat="1" applyFont="1" applyBorder="1" applyAlignment="1">
      <alignment horizontal="center" vertical="center"/>
    </xf>
    <xf numFmtId="188" fontId="24" fillId="0" borderId="63" xfId="4" applyNumberFormat="1" applyFont="1" applyBorder="1" applyAlignment="1">
      <alignment horizontal="center" vertical="center"/>
    </xf>
    <xf numFmtId="188" fontId="24" fillId="0" borderId="32" xfId="4" applyNumberFormat="1" applyFont="1" applyBorder="1" applyAlignment="1">
      <alignment horizontal="center" vertical="center"/>
    </xf>
    <xf numFmtId="2" fontId="24" fillId="0" borderId="111" xfId="4" applyNumberFormat="1" applyFont="1" applyBorder="1" applyAlignment="1">
      <alignment horizontal="center" vertical="center"/>
    </xf>
    <xf numFmtId="179" fontId="24" fillId="0" borderId="112" xfId="0" applyNumberFormat="1" applyFont="1" applyBorder="1" applyAlignment="1">
      <alignment horizontal="center" vertical="center"/>
    </xf>
    <xf numFmtId="179" fontId="24" fillId="0" borderId="112" xfId="4" applyNumberFormat="1" applyFont="1" applyBorder="1" applyAlignment="1">
      <alignment horizontal="center" vertical="center"/>
    </xf>
    <xf numFmtId="40" fontId="24" fillId="0" borderId="125" xfId="4" applyNumberFormat="1" applyFont="1" applyBorder="1" applyAlignment="1">
      <alignment horizontal="center" vertical="center"/>
    </xf>
    <xf numFmtId="0" fontId="24" fillId="10" borderId="61" xfId="4" applyFont="1" applyFill="1" applyBorder="1" applyAlignment="1">
      <alignment horizontal="center" vertical="center"/>
    </xf>
    <xf numFmtId="180" fontId="24" fillId="0" borderId="60" xfId="0" applyFont="1" applyBorder="1" applyAlignment="1">
      <alignment horizontal="center" vertical="center"/>
    </xf>
    <xf numFmtId="0" fontId="24" fillId="0" borderId="60" xfId="4" applyFont="1" applyBorder="1" applyAlignment="1">
      <alignment horizontal="center" vertical="center"/>
    </xf>
    <xf numFmtId="0" fontId="24" fillId="0" borderId="30" xfId="4" applyFont="1" applyBorder="1" applyAlignment="1">
      <alignment horizontal="center" vertical="center"/>
    </xf>
    <xf numFmtId="40" fontId="24" fillId="0" borderId="1" xfId="4" applyNumberFormat="1" applyFont="1" applyBorder="1">
      <alignment vertical="center"/>
    </xf>
    <xf numFmtId="179" fontId="24" fillId="0" borderId="66" xfId="0" applyNumberFormat="1" applyFont="1" applyBorder="1" applyAlignment="1">
      <alignment horizontal="center" vertical="center"/>
    </xf>
    <xf numFmtId="179" fontId="24" fillId="0" borderId="65" xfId="4" applyNumberFormat="1" applyFont="1" applyBorder="1" applyAlignment="1">
      <alignment horizontal="center" vertical="center"/>
    </xf>
    <xf numFmtId="179" fontId="24" fillId="0" borderId="34" xfId="4" applyNumberFormat="1" applyFont="1" applyBorder="1" applyAlignment="1">
      <alignment horizontal="center" vertical="center"/>
    </xf>
    <xf numFmtId="180" fontId="24" fillId="0" borderId="169" xfId="0" applyFont="1" applyBorder="1">
      <alignment vertical="center"/>
    </xf>
    <xf numFmtId="202" fontId="24" fillId="10" borderId="61" xfId="0" applyNumberFormat="1" applyFont="1" applyFill="1" applyBorder="1" applyAlignment="1">
      <alignment horizontal="center" vertical="center"/>
    </xf>
    <xf numFmtId="202" fontId="24" fillId="0" borderId="60" xfId="4" applyNumberFormat="1" applyFont="1" applyBorder="1" applyAlignment="1">
      <alignment horizontal="center" vertical="center"/>
    </xf>
    <xf numFmtId="180" fontId="24" fillId="0" borderId="30" xfId="0" applyFont="1" applyBorder="1" applyAlignment="1">
      <alignment horizontal="center" vertical="center"/>
    </xf>
    <xf numFmtId="2" fontId="24" fillId="0" borderId="65" xfId="4" applyNumberFormat="1" applyFont="1" applyBorder="1" applyAlignment="1">
      <alignment horizontal="center" vertical="center"/>
    </xf>
    <xf numFmtId="179" fontId="24" fillId="0" borderId="34" xfId="0" applyNumberFormat="1" applyFont="1" applyBorder="1">
      <alignment vertical="center"/>
    </xf>
    <xf numFmtId="188" fontId="14" fillId="0" borderId="61" xfId="0" applyNumberFormat="1" applyFont="1" applyBorder="1" applyAlignment="1">
      <alignment horizontal="center" vertical="center" shrinkToFit="1"/>
    </xf>
    <xf numFmtId="180" fontId="14" fillId="0" borderId="194" xfId="0" applyFont="1" applyBorder="1" applyAlignment="1">
      <alignment horizontal="center" vertical="center" shrinkToFit="1"/>
    </xf>
    <xf numFmtId="180" fontId="14" fillId="0" borderId="194" xfId="0" applyFont="1" applyBorder="1">
      <alignment vertical="center"/>
    </xf>
    <xf numFmtId="229" fontId="14" fillId="0" borderId="66" xfId="0" applyNumberFormat="1" applyFont="1" applyBorder="1" applyAlignment="1">
      <alignment horizontal="center" vertical="center" shrinkToFit="1"/>
    </xf>
    <xf numFmtId="180" fontId="0" fillId="0" borderId="28" xfId="0" applyBorder="1" applyAlignment="1">
      <alignment vertical="center" shrinkToFit="1"/>
    </xf>
    <xf numFmtId="180" fontId="0" fillId="0" borderId="169" xfId="0" applyBorder="1">
      <alignment vertical="center"/>
    </xf>
    <xf numFmtId="180" fontId="48" fillId="0" borderId="22" xfId="0" applyFont="1" applyBorder="1">
      <alignment vertical="center"/>
    </xf>
    <xf numFmtId="189" fontId="14" fillId="6" borderId="78" xfId="0" applyNumberFormat="1" applyFont="1" applyFill="1" applyBorder="1" applyAlignment="1">
      <alignment horizontal="center" vertical="center" shrinkToFit="1"/>
    </xf>
    <xf numFmtId="227" fontId="14" fillId="0" borderId="61" xfId="0" applyNumberFormat="1" applyFont="1" applyBorder="1" applyAlignment="1">
      <alignment horizontal="center" vertical="center" shrinkToFit="1"/>
    </xf>
    <xf numFmtId="227" fontId="14" fillId="0" borderId="60" xfId="0" applyNumberFormat="1" applyFont="1" applyBorder="1" applyAlignment="1">
      <alignment horizontal="center" vertical="center" shrinkToFit="1"/>
    </xf>
    <xf numFmtId="199" fontId="14" fillId="6" borderId="78" xfId="0" applyNumberFormat="1" applyFont="1" applyFill="1" applyBorder="1" applyAlignment="1">
      <alignment horizontal="center" vertical="center" shrinkToFit="1"/>
    </xf>
    <xf numFmtId="187" fontId="14" fillId="6" borderId="78" xfId="0" applyNumberFormat="1" applyFont="1" applyFill="1" applyBorder="1" applyAlignment="1">
      <alignment horizontal="center" vertical="center" shrinkToFit="1"/>
    </xf>
    <xf numFmtId="187" fontId="14" fillId="0" borderId="61" xfId="0" applyNumberFormat="1" applyFont="1" applyBorder="1" applyAlignment="1">
      <alignment horizontal="center" vertical="center" shrinkToFit="1"/>
    </xf>
    <xf numFmtId="187" fontId="14" fillId="0" borderId="60" xfId="0" applyNumberFormat="1" applyFont="1" applyBorder="1" applyAlignment="1">
      <alignment horizontal="center" vertical="center" shrinkToFit="1"/>
    </xf>
    <xf numFmtId="201" fontId="14" fillId="6" borderId="78" xfId="0" applyNumberFormat="1" applyFont="1" applyFill="1" applyBorder="1" applyAlignment="1">
      <alignment horizontal="center" vertical="center" shrinkToFit="1"/>
    </xf>
    <xf numFmtId="179" fontId="14" fillId="0" borderId="67" xfId="0" applyNumberFormat="1" applyFont="1" applyBorder="1" applyAlignment="1">
      <alignment horizontal="center" vertical="center"/>
    </xf>
    <xf numFmtId="227" fontId="14" fillId="6" borderId="78" xfId="0" applyNumberFormat="1" applyFont="1" applyFill="1" applyBorder="1" applyAlignment="1">
      <alignment horizontal="center" vertical="center" shrinkToFit="1"/>
    </xf>
    <xf numFmtId="227" fontId="14" fillId="0" borderId="64" xfId="0" applyNumberFormat="1" applyFont="1" applyBorder="1" applyAlignment="1">
      <alignment horizontal="center" vertical="center" shrinkToFit="1"/>
    </xf>
    <xf numFmtId="202" fontId="14" fillId="6" borderId="78" xfId="0" applyNumberFormat="1" applyFont="1" applyFill="1" applyBorder="1" applyAlignment="1">
      <alignment horizontal="center" vertical="center" shrinkToFit="1"/>
    </xf>
    <xf numFmtId="202" fontId="14" fillId="0" borderId="64" xfId="0" applyNumberFormat="1" applyFont="1" applyBorder="1" applyAlignment="1">
      <alignment horizontal="center" vertical="center" shrinkToFit="1"/>
    </xf>
    <xf numFmtId="202" fontId="14" fillId="0" borderId="63" xfId="0" applyNumberFormat="1" applyFont="1" applyBorder="1" applyAlignment="1">
      <alignment horizontal="center" vertical="center" shrinkToFit="1"/>
    </xf>
    <xf numFmtId="228" fontId="14" fillId="6" borderId="78" xfId="0" applyNumberFormat="1" applyFont="1" applyFill="1" applyBorder="1" applyAlignment="1">
      <alignment horizontal="center" vertical="center" shrinkToFit="1"/>
    </xf>
    <xf numFmtId="228" fontId="14" fillId="0" borderId="64" xfId="0" applyNumberFormat="1" applyFont="1" applyBorder="1" applyAlignment="1">
      <alignment horizontal="center" vertical="center" shrinkToFit="1"/>
    </xf>
    <xf numFmtId="228" fontId="14" fillId="0" borderId="63" xfId="0" applyNumberFormat="1" applyFont="1" applyBorder="1" applyAlignment="1">
      <alignment horizontal="center" vertical="center" shrinkToFit="1"/>
    </xf>
    <xf numFmtId="180" fontId="0" fillId="0" borderId="168" xfId="0" applyBorder="1" applyAlignment="1">
      <alignment horizontal="centerContinuous" vertical="center"/>
    </xf>
    <xf numFmtId="228" fontId="14" fillId="0" borderId="163" xfId="0" applyNumberFormat="1" applyFont="1" applyBorder="1" applyAlignment="1">
      <alignment horizontal="center" vertical="center"/>
    </xf>
    <xf numFmtId="188" fontId="14" fillId="10" borderId="78" xfId="0" applyNumberFormat="1" applyFont="1" applyFill="1" applyBorder="1" applyAlignment="1">
      <alignment horizontal="center" vertical="center" shrinkToFit="1"/>
    </xf>
    <xf numFmtId="202" fontId="14" fillId="0" borderId="1" xfId="0" applyNumberFormat="1" applyFont="1" applyBorder="1" applyAlignment="1">
      <alignment horizontal="center" vertical="center" shrinkToFit="1"/>
    </xf>
    <xf numFmtId="180" fontId="14" fillId="0" borderId="15" xfId="0" applyFont="1" applyBorder="1" applyAlignment="1">
      <alignment horizontal="center" vertical="center" shrinkToFit="1"/>
    </xf>
    <xf numFmtId="40" fontId="14" fillId="0" borderId="65" xfId="2" applyNumberFormat="1" applyFont="1" applyBorder="1" applyAlignment="1">
      <alignment horizontal="center" vertical="center" shrinkToFit="1"/>
    </xf>
    <xf numFmtId="38" fontId="0" fillId="0" borderId="0" xfId="0" applyNumberFormat="1" applyAlignment="1">
      <alignment vertical="center" shrinkToFit="1"/>
    </xf>
    <xf numFmtId="202" fontId="14" fillId="0" borderId="195" xfId="0" applyNumberFormat="1" applyFont="1" applyBorder="1" applyAlignment="1">
      <alignment horizontal="center" vertical="center" shrinkToFit="1"/>
    </xf>
    <xf numFmtId="180" fontId="0" fillId="0" borderId="194" xfId="0" applyBorder="1">
      <alignment vertical="center"/>
    </xf>
    <xf numFmtId="181" fontId="14" fillId="0" borderId="58" xfId="0" applyNumberFormat="1" applyFont="1" applyBorder="1" applyAlignment="1">
      <alignment horizontal="center" vertical="center" shrinkToFit="1"/>
    </xf>
    <xf numFmtId="38" fontId="0" fillId="0" borderId="183" xfId="2" applyFont="1" applyFill="1" applyBorder="1">
      <alignment vertical="center"/>
    </xf>
    <xf numFmtId="38" fontId="0" fillId="0" borderId="170" xfId="2" applyFont="1" applyBorder="1" applyAlignment="1">
      <alignment vertical="center" shrinkToFit="1"/>
    </xf>
    <xf numFmtId="180" fontId="0" fillId="0" borderId="0" xfId="0" applyAlignment="1">
      <alignment horizontal="center" vertical="center" shrinkToFit="1"/>
    </xf>
    <xf numFmtId="180" fontId="14" fillId="0" borderId="47" xfId="0" applyFont="1" applyBorder="1">
      <alignment vertical="center"/>
    </xf>
    <xf numFmtId="38" fontId="14" fillId="0" borderId="25" xfId="2" applyFont="1" applyFill="1" applyBorder="1" applyAlignment="1">
      <alignment vertical="center"/>
    </xf>
    <xf numFmtId="180" fontId="14" fillId="0" borderId="37" xfId="0" applyFont="1" applyBorder="1">
      <alignment vertical="center"/>
    </xf>
    <xf numFmtId="180" fontId="14" fillId="0" borderId="38" xfId="0" applyFont="1" applyBorder="1">
      <alignment vertical="center"/>
    </xf>
    <xf numFmtId="40" fontId="14" fillId="0" borderId="163" xfId="0" applyNumberFormat="1" applyFont="1" applyBorder="1">
      <alignment vertical="center"/>
    </xf>
    <xf numFmtId="38" fontId="14" fillId="0" borderId="14" xfId="2" applyFont="1" applyFill="1" applyBorder="1" applyAlignment="1">
      <alignment vertical="center"/>
    </xf>
    <xf numFmtId="180" fontId="0" fillId="0" borderId="173" xfId="0" applyBorder="1">
      <alignment vertical="center"/>
    </xf>
    <xf numFmtId="180" fontId="14" fillId="0" borderId="194" xfId="0" applyFont="1" applyBorder="1" applyAlignment="1">
      <alignment horizontal="centerContinuous" vertical="center"/>
    </xf>
    <xf numFmtId="180" fontId="3" fillId="0" borderId="183" xfId="0" applyFont="1" applyBorder="1" applyAlignment="1">
      <alignment horizontal="center" vertical="center"/>
    </xf>
    <xf numFmtId="185" fontId="0" fillId="0" borderId="183" xfId="0" applyNumberFormat="1" applyBorder="1" applyAlignment="1">
      <alignment horizontal="center" vertical="center"/>
    </xf>
    <xf numFmtId="40" fontId="0" fillId="0" borderId="183" xfId="0" applyNumberFormat="1" applyBorder="1" applyAlignment="1">
      <alignment horizontal="center" vertical="center"/>
    </xf>
    <xf numFmtId="40" fontId="3" fillId="0" borderId="183" xfId="0" applyNumberFormat="1" applyFont="1" applyBorder="1" applyAlignment="1">
      <alignment horizontal="center" vertical="center"/>
    </xf>
    <xf numFmtId="180" fontId="0" fillId="0" borderId="183" xfId="0" applyBorder="1" applyAlignment="1">
      <alignment horizontal="center" vertical="center"/>
    </xf>
    <xf numFmtId="180" fontId="0" fillId="0" borderId="170" xfId="0" applyBorder="1" applyAlignment="1">
      <alignment horizontal="center" vertical="center"/>
    </xf>
    <xf numFmtId="177" fontId="0" fillId="0" borderId="183" xfId="0" applyNumberFormat="1" applyBorder="1">
      <alignment vertical="center"/>
    </xf>
    <xf numFmtId="180" fontId="0" fillId="0" borderId="183" xfId="0" applyBorder="1" applyAlignment="1">
      <alignment horizontal="right" vertical="center"/>
    </xf>
    <xf numFmtId="38" fontId="14" fillId="0" borderId="14" xfId="0" applyNumberFormat="1" applyFont="1" applyBorder="1">
      <alignment vertical="center"/>
    </xf>
    <xf numFmtId="180" fontId="14" fillId="0" borderId="167" xfId="0" applyFont="1" applyBorder="1">
      <alignment vertical="center"/>
    </xf>
    <xf numFmtId="40" fontId="14" fillId="0" borderId="194" xfId="0" applyNumberFormat="1" applyFont="1" applyBorder="1">
      <alignment vertical="center"/>
    </xf>
    <xf numFmtId="40" fontId="14" fillId="0" borderId="168" xfId="0" applyNumberFormat="1" applyFont="1" applyBorder="1">
      <alignment vertical="center"/>
    </xf>
    <xf numFmtId="177" fontId="0" fillId="0" borderId="194" xfId="0" applyNumberFormat="1" applyBorder="1">
      <alignment vertical="center"/>
    </xf>
    <xf numFmtId="180" fontId="0" fillId="0" borderId="194" xfId="0" applyBorder="1" applyAlignment="1">
      <alignment horizontal="right" vertical="center"/>
    </xf>
    <xf numFmtId="40" fontId="3" fillId="0" borderId="194" xfId="0" applyNumberFormat="1" applyFont="1" applyBorder="1" applyAlignment="1">
      <alignment horizontal="centerContinuous" vertical="center"/>
    </xf>
    <xf numFmtId="40" fontId="0" fillId="0" borderId="194" xfId="0" applyNumberFormat="1" applyBorder="1" applyAlignment="1">
      <alignment horizontal="centerContinuous" vertical="center"/>
    </xf>
    <xf numFmtId="40" fontId="3" fillId="0" borderId="173" xfId="0" applyNumberFormat="1" applyFont="1" applyBorder="1" applyAlignment="1">
      <alignment horizontal="centerContinuous" vertical="center"/>
    </xf>
    <xf numFmtId="40" fontId="3" fillId="0" borderId="175" xfId="0" applyNumberFormat="1" applyFont="1" applyBorder="1" applyAlignment="1">
      <alignment horizontal="centerContinuous" vertical="center"/>
    </xf>
    <xf numFmtId="180" fontId="0" fillId="0" borderId="194" xfId="0" applyBorder="1" applyAlignment="1">
      <alignment horizontal="center" vertical="center"/>
    </xf>
    <xf numFmtId="180" fontId="0" fillId="0" borderId="168" xfId="0" applyBorder="1" applyAlignment="1">
      <alignment horizontal="center" vertical="center"/>
    </xf>
    <xf numFmtId="40" fontId="3" fillId="0" borderId="183" xfId="0" applyNumberFormat="1" applyFont="1" applyBorder="1" applyAlignment="1">
      <alignment horizontal="centerContinuous" vertical="center"/>
    </xf>
    <xf numFmtId="40" fontId="0" fillId="0" borderId="183" xfId="0" applyNumberFormat="1" applyBorder="1" applyAlignment="1">
      <alignment horizontal="centerContinuous" vertical="center"/>
    </xf>
    <xf numFmtId="180" fontId="14" fillId="0" borderId="173" xfId="0" applyFont="1" applyBorder="1">
      <alignment vertical="center"/>
    </xf>
    <xf numFmtId="180" fontId="14" fillId="0" borderId="174" xfId="0" applyFont="1" applyBorder="1">
      <alignment vertical="center"/>
    </xf>
    <xf numFmtId="180" fontId="14" fillId="0" borderId="175" xfId="0" applyFont="1" applyBorder="1">
      <alignment vertical="center"/>
    </xf>
    <xf numFmtId="186" fontId="3" fillId="0" borderId="173" xfId="0" applyNumberFormat="1" applyFont="1" applyBorder="1" applyAlignment="1">
      <alignment horizontal="centerContinuous" vertical="center"/>
    </xf>
    <xf numFmtId="40" fontId="3" fillId="0" borderId="197" xfId="0" applyNumberFormat="1" applyFont="1" applyBorder="1" applyAlignment="1">
      <alignment horizontal="centerContinuous" vertical="center"/>
    </xf>
    <xf numFmtId="185" fontId="0" fillId="0" borderId="175" xfId="0" applyNumberFormat="1" applyBorder="1" applyAlignment="1">
      <alignment horizontal="centerContinuous" vertical="center"/>
    </xf>
    <xf numFmtId="187" fontId="14" fillId="0" borderId="0" xfId="0" applyNumberFormat="1" applyFont="1" applyAlignment="1">
      <alignment horizontal="center" vertical="center" shrinkToFit="1"/>
    </xf>
    <xf numFmtId="180" fontId="14" fillId="0" borderId="14" xfId="0" applyFont="1" applyBorder="1" applyAlignment="1">
      <alignment horizontal="center" vertical="center" shrinkToFit="1"/>
    </xf>
    <xf numFmtId="40" fontId="14" fillId="0" borderId="23" xfId="0" applyNumberFormat="1" applyFont="1" applyBorder="1" applyAlignment="1">
      <alignment horizontal="center" vertical="center" shrinkToFit="1"/>
    </xf>
    <xf numFmtId="180" fontId="59" fillId="0" borderId="0" xfId="0" applyFont="1">
      <alignment vertical="center"/>
    </xf>
    <xf numFmtId="180" fontId="60" fillId="0" borderId="0" xfId="0" applyFont="1">
      <alignment vertical="center"/>
    </xf>
    <xf numFmtId="180" fontId="9" fillId="0" borderId="20" xfId="1" applyNumberFormat="1" applyFont="1" applyFill="1" applyBorder="1" applyAlignment="1" applyProtection="1">
      <alignment horizontal="center" vertical="center"/>
    </xf>
    <xf numFmtId="180" fontId="9" fillId="0" borderId="199" xfId="1" applyNumberFormat="1" applyFont="1" applyFill="1" applyBorder="1" applyAlignment="1" applyProtection="1">
      <alignment horizontal="center" vertical="center"/>
    </xf>
    <xf numFmtId="180" fontId="9" fillId="0" borderId="162" xfId="1" applyNumberFormat="1" applyFont="1" applyFill="1" applyBorder="1" applyAlignment="1" applyProtection="1">
      <alignment horizontal="center" vertical="center"/>
    </xf>
    <xf numFmtId="180" fontId="9" fillId="0" borderId="200" xfId="1" applyNumberFormat="1" applyFont="1" applyFill="1" applyBorder="1" applyAlignment="1" applyProtection="1">
      <alignment horizontal="center" vertical="center"/>
    </xf>
    <xf numFmtId="180" fontId="9" fillId="0" borderId="101" xfId="1" applyNumberFormat="1" applyFont="1" applyFill="1" applyBorder="1" applyAlignment="1" applyProtection="1">
      <alignment horizontal="center" vertical="center"/>
    </xf>
    <xf numFmtId="180" fontId="9" fillId="0" borderId="201" xfId="1" applyNumberFormat="1" applyFont="1" applyFill="1" applyBorder="1" applyAlignment="1" applyProtection="1">
      <alignment horizontal="center" vertical="center"/>
    </xf>
    <xf numFmtId="180" fontId="9" fillId="0" borderId="202" xfId="1" applyNumberFormat="1" applyFont="1" applyFill="1" applyBorder="1" applyAlignment="1" applyProtection="1">
      <alignment horizontal="center" vertical="center"/>
    </xf>
    <xf numFmtId="180" fontId="9" fillId="0" borderId="81" xfId="1" applyNumberFormat="1" applyFont="1" applyFill="1" applyBorder="1" applyAlignment="1" applyProtection="1">
      <alignment horizontal="center" vertical="center"/>
    </xf>
    <xf numFmtId="180" fontId="10" fillId="15" borderId="42" xfId="0" applyFont="1" applyFill="1" applyBorder="1" applyAlignment="1">
      <alignment horizontal="centerContinuous" vertical="center"/>
    </xf>
    <xf numFmtId="180" fontId="10" fillId="15" borderId="198" xfId="0" applyFont="1" applyFill="1" applyBorder="1" applyAlignment="1">
      <alignment horizontal="centerContinuous" vertical="center"/>
    </xf>
    <xf numFmtId="180" fontId="10" fillId="15" borderId="44" xfId="0" applyFont="1" applyFill="1" applyBorder="1" applyAlignment="1">
      <alignment horizontal="centerContinuous" vertical="center"/>
    </xf>
    <xf numFmtId="180" fontId="10" fillId="15" borderId="80" xfId="0" applyFont="1" applyFill="1" applyBorder="1" applyAlignment="1">
      <alignment horizontal="centerContinuous" vertical="center"/>
    </xf>
    <xf numFmtId="180" fontId="14" fillId="0" borderId="169" xfId="0" applyFont="1" applyBorder="1">
      <alignment vertical="center"/>
    </xf>
    <xf numFmtId="0" fontId="0" fillId="0" borderId="0" xfId="7" applyFont="1">
      <alignment vertical="center"/>
    </xf>
    <xf numFmtId="0" fontId="0" fillId="0" borderId="0" xfId="7" applyFont="1" applyAlignment="1">
      <alignment horizontal="center" vertical="center"/>
    </xf>
    <xf numFmtId="40" fontId="3" fillId="0" borderId="0" xfId="2" applyNumberFormat="1" applyFont="1" applyBorder="1">
      <alignment vertical="center"/>
    </xf>
    <xf numFmtId="0" fontId="0" fillId="0" borderId="0" xfId="7" applyFont="1" applyAlignment="1">
      <alignment horizontal="left" vertical="center"/>
    </xf>
    <xf numFmtId="177" fontId="3" fillId="0" borderId="0" xfId="7" applyNumberFormat="1" applyFont="1">
      <alignment vertical="center"/>
    </xf>
    <xf numFmtId="177" fontId="0" fillId="0" borderId="0" xfId="0" applyNumberFormat="1" applyAlignment="1">
      <alignment horizontal="center" vertical="center" shrinkToFit="1"/>
    </xf>
    <xf numFmtId="38" fontId="0" fillId="0" borderId="0" xfId="0" applyNumberFormat="1" applyAlignment="1">
      <alignment horizontal="center" vertical="center" shrinkToFit="1"/>
    </xf>
    <xf numFmtId="180" fontId="61" fillId="0" borderId="20" xfId="1" applyNumberFormat="1" applyFont="1" applyFill="1" applyBorder="1" applyAlignment="1" applyProtection="1">
      <alignment horizontal="center" vertical="center"/>
    </xf>
    <xf numFmtId="0" fontId="59" fillId="0" borderId="0" xfId="4" applyFont="1">
      <alignment vertical="center"/>
    </xf>
    <xf numFmtId="0" fontId="59" fillId="0" borderId="0" xfId="0" applyNumberFormat="1" applyFont="1">
      <alignment vertical="center"/>
    </xf>
    <xf numFmtId="0" fontId="59" fillId="0" borderId="0" xfId="4" applyFont="1" applyAlignment="1">
      <alignment vertical="top"/>
    </xf>
    <xf numFmtId="40" fontId="14" fillId="0" borderId="77" xfId="2" applyNumberFormat="1" applyFont="1" applyBorder="1" applyAlignment="1">
      <alignment vertical="center" shrinkToFit="1"/>
    </xf>
    <xf numFmtId="0" fontId="44" fillId="0" borderId="0" xfId="7" applyFont="1" applyAlignment="1">
      <alignment horizontal="left" vertical="center"/>
    </xf>
    <xf numFmtId="40" fontId="14" fillId="0" borderId="0" xfId="2" applyNumberFormat="1" applyFont="1" applyBorder="1">
      <alignment vertical="center"/>
    </xf>
    <xf numFmtId="0" fontId="14" fillId="0" borderId="0" xfId="7" applyFont="1" applyAlignment="1">
      <alignment horizontal="center" vertical="center"/>
    </xf>
    <xf numFmtId="0" fontId="14" fillId="10" borderId="78" xfId="7" applyFont="1" applyFill="1" applyBorder="1" applyAlignment="1">
      <alignment vertical="center" shrinkToFit="1"/>
    </xf>
    <xf numFmtId="0" fontId="14" fillId="10" borderId="76" xfId="7" applyFont="1" applyFill="1" applyBorder="1" applyAlignment="1">
      <alignment vertical="center" shrinkToFit="1"/>
    </xf>
    <xf numFmtId="40" fontId="14" fillId="0" borderId="78" xfId="2" applyNumberFormat="1" applyFont="1" applyBorder="1" applyAlignment="1">
      <alignment vertical="center" shrinkToFit="1"/>
    </xf>
    <xf numFmtId="40" fontId="14" fillId="0" borderId="76" xfId="2" applyNumberFormat="1" applyFont="1" applyBorder="1" applyAlignment="1">
      <alignment vertical="center" shrinkToFit="1"/>
    </xf>
    <xf numFmtId="40" fontId="14" fillId="0" borderId="20" xfId="2" applyNumberFormat="1" applyFont="1" applyBorder="1" applyAlignment="1">
      <alignment vertical="center" shrinkToFit="1"/>
    </xf>
    <xf numFmtId="0" fontId="14" fillId="10" borderId="77" xfId="7" applyFont="1" applyFill="1" applyBorder="1" applyAlignment="1">
      <alignment vertical="center" shrinkToFit="1"/>
    </xf>
    <xf numFmtId="200" fontId="14" fillId="0" borderId="0" xfId="0" applyNumberFormat="1" applyFont="1">
      <alignment vertical="center"/>
    </xf>
    <xf numFmtId="40" fontId="0" fillId="0" borderId="47" xfId="0" applyNumberFormat="1" applyBorder="1" applyAlignment="1">
      <alignment horizontal="centerContinuous" vertical="center"/>
    </xf>
    <xf numFmtId="40" fontId="3" fillId="0" borderId="123" xfId="0" applyNumberFormat="1" applyFont="1" applyBorder="1" applyAlignment="1">
      <alignment horizontal="centerContinuous" vertical="center"/>
    </xf>
    <xf numFmtId="208" fontId="0" fillId="0" borderId="57" xfId="0" applyNumberFormat="1" applyBorder="1" applyAlignment="1">
      <alignment horizontal="centerContinuous" vertical="center"/>
    </xf>
    <xf numFmtId="40" fontId="0" fillId="0" borderId="49" xfId="0" applyNumberFormat="1" applyBorder="1" applyAlignment="1">
      <alignment horizontal="centerContinuous" vertical="center"/>
    </xf>
    <xf numFmtId="40" fontId="3" fillId="0" borderId="47" xfId="0" applyNumberFormat="1" applyFont="1" applyBorder="1" applyAlignment="1">
      <alignment horizontal="centerContinuous" vertical="center"/>
    </xf>
    <xf numFmtId="40" fontId="0" fillId="0" borderId="57" xfId="0" applyNumberFormat="1" applyBorder="1" applyAlignment="1">
      <alignment horizontal="centerContinuous" vertical="center"/>
    </xf>
    <xf numFmtId="180" fontId="44" fillId="0" borderId="13" xfId="0" applyFont="1" applyBorder="1">
      <alignment vertical="center"/>
    </xf>
    <xf numFmtId="180" fontId="44" fillId="0" borderId="15" xfId="0" applyFont="1" applyBorder="1">
      <alignment vertical="center"/>
    </xf>
    <xf numFmtId="185" fontId="0" fillId="0" borderId="0" xfId="0" applyNumberFormat="1" applyAlignment="1">
      <alignment horizontal="center" vertical="center"/>
    </xf>
    <xf numFmtId="180" fontId="3" fillId="0" borderId="0" xfId="0" applyFont="1" applyAlignment="1">
      <alignment horizontal="centerContinuous" vertical="center" shrinkToFit="1"/>
    </xf>
    <xf numFmtId="40" fontId="0" fillId="0" borderId="51" xfId="0" applyNumberFormat="1" applyBorder="1" applyAlignment="1">
      <alignment horizontal="center" vertical="center"/>
    </xf>
    <xf numFmtId="40" fontId="0" fillId="0" borderId="50" xfId="0" applyNumberFormat="1" applyBorder="1" applyAlignment="1">
      <alignment horizontal="center" vertical="center"/>
    </xf>
    <xf numFmtId="178" fontId="0" fillId="0" borderId="48" xfId="3" applyNumberFormat="1" applyFont="1" applyBorder="1" applyAlignment="1">
      <alignment horizontal="center" vertical="center" shrinkToFit="1"/>
    </xf>
    <xf numFmtId="178" fontId="0" fillId="0" borderId="61" xfId="3" applyNumberFormat="1" applyFont="1" applyBorder="1" applyAlignment="1">
      <alignment horizontal="center" vertical="center" shrinkToFit="1"/>
    </xf>
    <xf numFmtId="178" fontId="0" fillId="0" borderId="29" xfId="3" applyNumberFormat="1" applyFont="1" applyBorder="1" applyAlignment="1">
      <alignment horizontal="center" vertical="center" shrinkToFit="1"/>
    </xf>
    <xf numFmtId="178" fontId="0" fillId="0" borderId="15" xfId="3" applyNumberFormat="1" applyFont="1" applyBorder="1" applyAlignment="1">
      <alignment horizontal="center" vertical="center" shrinkToFit="1"/>
    </xf>
    <xf numFmtId="178" fontId="0" fillId="0" borderId="49" xfId="3" applyNumberFormat="1" applyFont="1" applyBorder="1" applyAlignment="1">
      <alignment horizontal="center" vertical="center" shrinkToFit="1"/>
    </xf>
    <xf numFmtId="178" fontId="0" fillId="0" borderId="64" xfId="3" applyNumberFormat="1" applyFont="1" applyBorder="1" applyAlignment="1">
      <alignment horizontal="center" vertical="center" shrinkToFit="1"/>
    </xf>
    <xf numFmtId="178" fontId="0" fillId="0" borderId="66" xfId="3" applyNumberFormat="1" applyFont="1" applyBorder="1" applyAlignment="1">
      <alignment horizontal="center" vertical="center" shrinkToFit="1"/>
    </xf>
    <xf numFmtId="178" fontId="0" fillId="0" borderId="65" xfId="3" applyNumberFormat="1" applyFont="1" applyBorder="1" applyAlignment="1">
      <alignment horizontal="center" vertical="center" shrinkToFit="1"/>
    </xf>
    <xf numFmtId="178" fontId="0" fillId="0" borderId="51" xfId="3" applyNumberFormat="1" applyFont="1" applyBorder="1" applyAlignment="1">
      <alignment horizontal="center" vertical="center" shrinkToFit="1"/>
    </xf>
    <xf numFmtId="178" fontId="0" fillId="0" borderId="67" xfId="3" applyNumberFormat="1" applyFont="1" applyBorder="1" applyAlignment="1">
      <alignment horizontal="center" vertical="center" shrinkToFit="1"/>
    </xf>
    <xf numFmtId="178" fontId="0" fillId="0" borderId="60" xfId="3" applyNumberFormat="1" applyFont="1" applyBorder="1" applyAlignment="1">
      <alignment horizontal="center" vertical="center" shrinkToFit="1"/>
    </xf>
    <xf numFmtId="178" fontId="0" fillId="0" borderId="50" xfId="3" applyNumberFormat="1" applyFont="1" applyBorder="1" applyAlignment="1">
      <alignment horizontal="center" vertical="center" shrinkToFit="1"/>
    </xf>
    <xf numFmtId="178" fontId="0" fillId="0" borderId="30" xfId="3" applyNumberFormat="1" applyFont="1" applyBorder="1" applyAlignment="1">
      <alignment horizontal="center" vertical="center" shrinkToFit="1"/>
    </xf>
    <xf numFmtId="178" fontId="0" fillId="0" borderId="33" xfId="3" applyNumberFormat="1" applyFont="1" applyBorder="1" applyAlignment="1">
      <alignment horizontal="center" vertical="center" shrinkToFit="1"/>
    </xf>
    <xf numFmtId="178" fontId="0" fillId="0" borderId="23" xfId="3" applyNumberFormat="1" applyFont="1" applyBorder="1" applyAlignment="1">
      <alignment horizontal="center" vertical="center" shrinkToFit="1"/>
    </xf>
    <xf numFmtId="180" fontId="3" fillId="0" borderId="79" xfId="5" applyNumberFormat="1" applyFont="1" applyBorder="1" applyAlignment="1" applyProtection="1">
      <alignment horizontal="center" vertical="center"/>
      <protection locked="0"/>
    </xf>
    <xf numFmtId="182" fontId="3" fillId="0" borderId="63" xfId="3" applyNumberFormat="1" applyFont="1" applyBorder="1" applyAlignment="1">
      <alignment horizontal="center" vertical="center" shrinkToFit="1"/>
    </xf>
    <xf numFmtId="182" fontId="3" fillId="0" borderId="31" xfId="3" applyNumberFormat="1" applyFont="1" applyBorder="1" applyAlignment="1">
      <alignment horizontal="center" vertical="center" shrinkToFit="1"/>
    </xf>
    <xf numFmtId="182" fontId="3" fillId="0" borderId="65" xfId="3" applyNumberFormat="1" applyFont="1" applyBorder="1" applyAlignment="1">
      <alignment horizontal="center" vertical="center" shrinkToFit="1"/>
    </xf>
    <xf numFmtId="182" fontId="3" fillId="0" borderId="33" xfId="3" applyNumberFormat="1" applyFont="1" applyBorder="1" applyAlignment="1">
      <alignment horizontal="center" vertical="center" shrinkToFit="1"/>
    </xf>
    <xf numFmtId="180" fontId="0" fillId="0" borderId="79" xfId="5" applyNumberFormat="1" applyFont="1" applyBorder="1" applyAlignment="1" applyProtection="1">
      <alignment horizontal="center" vertical="center"/>
      <protection locked="0"/>
    </xf>
    <xf numFmtId="178" fontId="3" fillId="0" borderId="61" xfId="3" applyNumberFormat="1" applyFont="1" applyBorder="1" applyAlignment="1">
      <alignment horizontal="center" vertical="center" shrinkToFit="1"/>
    </xf>
    <xf numFmtId="178" fontId="3" fillId="0" borderId="60" xfId="3" applyNumberFormat="1" applyFont="1" applyBorder="1" applyAlignment="1">
      <alignment horizontal="center" vertical="center" shrinkToFit="1"/>
    </xf>
    <xf numFmtId="178" fontId="3" fillId="0" borderId="50" xfId="3" applyNumberFormat="1" applyFont="1" applyBorder="1" applyAlignment="1">
      <alignment horizontal="center" vertical="center" shrinkToFit="1"/>
    </xf>
    <xf numFmtId="180" fontId="0" fillId="0" borderId="76" xfId="5" applyNumberFormat="1" applyFont="1" applyBorder="1" applyAlignment="1" applyProtection="1">
      <alignment horizontal="center" vertical="center"/>
      <protection locked="0"/>
    </xf>
    <xf numFmtId="178" fontId="0" fillId="0" borderId="78" xfId="3" applyNumberFormat="1" applyFont="1" applyBorder="1" applyAlignment="1">
      <alignment horizontal="center" vertical="center" shrinkToFit="1"/>
    </xf>
    <xf numFmtId="178" fontId="0" fillId="0" borderId="109" xfId="3" applyNumberFormat="1" applyFont="1" applyBorder="1" applyAlignment="1">
      <alignment horizontal="center" vertical="center" shrinkToFit="1"/>
    </xf>
    <xf numFmtId="178" fontId="0" fillId="0" borderId="104" xfId="3" applyNumberFormat="1" applyFont="1" applyBorder="1" applyAlignment="1">
      <alignment horizontal="center" vertical="center" shrinkToFit="1"/>
    </xf>
    <xf numFmtId="40" fontId="0" fillId="0" borderId="61" xfId="0" applyNumberFormat="1" applyBorder="1" applyAlignment="1">
      <alignment horizontal="center" vertical="center"/>
    </xf>
    <xf numFmtId="40" fontId="0" fillId="0" borderId="78" xfId="0" applyNumberFormat="1" applyBorder="1" applyAlignment="1">
      <alignment horizontal="center" vertical="center"/>
    </xf>
    <xf numFmtId="40" fontId="0" fillId="0" borderId="64" xfId="0" applyNumberFormat="1" applyBorder="1" applyAlignment="1">
      <alignment horizontal="center" vertical="center"/>
    </xf>
    <xf numFmtId="38" fontId="0" fillId="0" borderId="66" xfId="2" applyFont="1" applyFill="1" applyBorder="1" applyAlignment="1">
      <alignment horizontal="center" vertical="center"/>
    </xf>
    <xf numFmtId="40" fontId="0" fillId="0" borderId="67" xfId="0" applyNumberFormat="1" applyBorder="1" applyAlignment="1">
      <alignment horizontal="center" vertical="center"/>
    </xf>
    <xf numFmtId="40" fontId="0" fillId="0" borderId="66" xfId="0" applyNumberFormat="1" applyBorder="1" applyAlignment="1">
      <alignment horizontal="center" vertical="center"/>
    </xf>
    <xf numFmtId="40" fontId="0" fillId="0" borderId="76" xfId="0" applyNumberFormat="1" applyBorder="1" applyAlignment="1">
      <alignment horizontal="center" vertical="center"/>
    </xf>
    <xf numFmtId="38" fontId="0" fillId="0" borderId="111" xfId="2" applyFont="1" applyFill="1" applyBorder="1" applyAlignment="1">
      <alignment horizontal="center" vertical="center"/>
    </xf>
    <xf numFmtId="38" fontId="3" fillId="0" borderId="111" xfId="2" applyFont="1" applyFill="1" applyBorder="1" applyAlignment="1">
      <alignment horizontal="center" vertical="center"/>
    </xf>
    <xf numFmtId="40" fontId="3" fillId="0" borderId="50" xfId="0" applyNumberFormat="1" applyFont="1" applyBorder="1" applyAlignment="1">
      <alignment horizontal="center" vertical="center"/>
    </xf>
    <xf numFmtId="40" fontId="0" fillId="0" borderId="79" xfId="0" applyNumberFormat="1" applyBorder="1" applyAlignment="1">
      <alignment horizontal="center" vertical="center"/>
    </xf>
    <xf numFmtId="180" fontId="0" fillId="0" borderId="163" xfId="0" applyBorder="1" applyAlignment="1">
      <alignment vertical="center" shrinkToFit="1"/>
    </xf>
    <xf numFmtId="40" fontId="14" fillId="0" borderId="121" xfId="0" applyNumberFormat="1" applyFont="1" applyBorder="1" applyAlignment="1">
      <alignment horizontal="center" vertical="center" shrinkToFit="1"/>
    </xf>
    <xf numFmtId="40" fontId="14" fillId="0" borderId="122" xfId="0" applyNumberFormat="1" applyFont="1" applyBorder="1" applyAlignment="1">
      <alignment horizontal="center" vertical="center" shrinkToFit="1"/>
    </xf>
    <xf numFmtId="40" fontId="32" fillId="0" borderId="33" xfId="0" applyNumberFormat="1" applyFont="1" applyBorder="1" applyAlignment="1">
      <alignment horizontal="centerContinuous" vertical="center"/>
    </xf>
    <xf numFmtId="184" fontId="0" fillId="0" borderId="25" xfId="0" applyNumberFormat="1" applyBorder="1" applyAlignment="1">
      <alignment horizontal="centerContinuous" vertical="center" shrinkToFit="1"/>
    </xf>
    <xf numFmtId="184" fontId="0" fillId="0" borderId="17" xfId="0" applyNumberFormat="1" applyBorder="1" applyAlignment="1">
      <alignment horizontal="centerContinuous" vertical="center" shrinkToFit="1"/>
    </xf>
    <xf numFmtId="180" fontId="0" fillId="0" borderId="14" xfId="0" applyBorder="1" applyAlignment="1">
      <alignment horizontal="centerContinuous" vertical="center"/>
    </xf>
    <xf numFmtId="180" fontId="0" fillId="0" borderId="29" xfId="0" applyBorder="1" applyAlignment="1">
      <alignment horizontal="centerContinuous" vertical="center"/>
    </xf>
    <xf numFmtId="180" fontId="0" fillId="0" borderId="25" xfId="0" applyBorder="1" applyAlignment="1">
      <alignment horizontal="centerContinuous" vertical="center"/>
    </xf>
    <xf numFmtId="180" fontId="0" fillId="0" borderId="31" xfId="0" applyBorder="1" applyAlignment="1">
      <alignment horizontal="centerContinuous" vertical="center"/>
    </xf>
    <xf numFmtId="180" fontId="0" fillId="0" borderId="17" xfId="0" applyBorder="1" applyAlignment="1">
      <alignment horizontal="centerContinuous" vertical="center"/>
    </xf>
    <xf numFmtId="180" fontId="0" fillId="0" borderId="33" xfId="0" applyBorder="1" applyAlignment="1">
      <alignment horizontal="centerContinuous" vertical="center"/>
    </xf>
    <xf numFmtId="180" fontId="0" fillId="0" borderId="3" xfId="0" applyBorder="1" applyAlignment="1">
      <alignment horizontal="centerContinuous" vertical="center"/>
    </xf>
    <xf numFmtId="180" fontId="0" fillId="0" borderId="4" xfId="0" applyBorder="1" applyAlignment="1">
      <alignment horizontal="centerContinuous" vertical="center"/>
    </xf>
    <xf numFmtId="180" fontId="0" fillId="0" borderId="5" xfId="0" applyBorder="1" applyAlignment="1">
      <alignment horizontal="centerContinuous" vertical="center"/>
    </xf>
    <xf numFmtId="40" fontId="0" fillId="0" borderId="14" xfId="0" applyNumberFormat="1" applyBorder="1" applyAlignment="1">
      <alignment horizontal="center" vertical="center"/>
    </xf>
    <xf numFmtId="40" fontId="0" fillId="0" borderId="29" xfId="0" applyNumberFormat="1" applyBorder="1" applyAlignment="1">
      <alignment horizontal="center" vertical="center"/>
    </xf>
    <xf numFmtId="40" fontId="0" fillId="0" borderId="30" xfId="0" applyNumberFormat="1" applyBorder="1" applyAlignment="1">
      <alignment horizontal="center" vertical="center"/>
    </xf>
    <xf numFmtId="40" fontId="0" fillId="0" borderId="15" xfId="0" applyNumberFormat="1" applyBorder="1" applyAlignment="1">
      <alignment horizontal="center" vertical="center"/>
    </xf>
    <xf numFmtId="40" fontId="0" fillId="0" borderId="25" xfId="0" applyNumberFormat="1" applyBorder="1" applyAlignment="1">
      <alignment horizontal="center" vertical="center"/>
    </xf>
    <xf numFmtId="40" fontId="0" fillId="0" borderId="31" xfId="0" applyNumberFormat="1" applyBorder="1" applyAlignment="1">
      <alignment horizontal="center" vertical="center"/>
    </xf>
    <xf numFmtId="40" fontId="0" fillId="0" borderId="32" xfId="0" applyNumberFormat="1" applyBorder="1" applyAlignment="1">
      <alignment horizontal="center" vertical="center"/>
    </xf>
    <xf numFmtId="40" fontId="0" fillId="0" borderId="27" xfId="0" applyNumberFormat="1" applyBorder="1" applyAlignment="1">
      <alignment horizontal="center" vertical="center"/>
    </xf>
    <xf numFmtId="40" fontId="0" fillId="0" borderId="17" xfId="0" applyNumberFormat="1" applyBorder="1" applyAlignment="1">
      <alignment horizontal="center" vertical="center"/>
    </xf>
    <xf numFmtId="40" fontId="0" fillId="0" borderId="33" xfId="0" applyNumberFormat="1" applyBorder="1" applyAlignment="1">
      <alignment horizontal="center" vertical="center"/>
    </xf>
    <xf numFmtId="40" fontId="0" fillId="0" borderId="34" xfId="0" applyNumberFormat="1" applyBorder="1" applyAlignment="1">
      <alignment horizontal="center" vertical="center"/>
    </xf>
    <xf numFmtId="40" fontId="0" fillId="0" borderId="23" xfId="0" applyNumberFormat="1" applyBorder="1" applyAlignment="1">
      <alignment horizontal="center" vertical="center"/>
    </xf>
    <xf numFmtId="38" fontId="3" fillId="0" borderId="30" xfId="2" applyFont="1" applyFill="1" applyBorder="1" applyAlignment="1">
      <alignment horizontal="centerContinuous" vertical="center" shrinkToFit="1"/>
    </xf>
    <xf numFmtId="38" fontId="0" fillId="0" borderId="15" xfId="2" applyFont="1" applyFill="1" applyBorder="1" applyAlignment="1">
      <alignment horizontal="centerContinuous" vertical="center" shrinkToFit="1"/>
    </xf>
    <xf numFmtId="38" fontId="3" fillId="0" borderId="34" xfId="2" applyFont="1" applyFill="1" applyBorder="1" applyAlignment="1">
      <alignment horizontal="centerContinuous" vertical="center" shrinkToFit="1"/>
    </xf>
    <xf numFmtId="38" fontId="0" fillId="0" borderId="23" xfId="2" applyFont="1" applyFill="1" applyBorder="1" applyAlignment="1">
      <alignment horizontal="centerContinuous" vertical="center" shrinkToFit="1"/>
    </xf>
    <xf numFmtId="180" fontId="0" fillId="0" borderId="15" xfId="0" applyBorder="1" applyAlignment="1">
      <alignment horizontal="centerContinuous" vertical="center"/>
    </xf>
    <xf numFmtId="180" fontId="0" fillId="0" borderId="27" xfId="0" applyBorder="1" applyAlignment="1">
      <alignment horizontal="centerContinuous" vertical="center"/>
    </xf>
    <xf numFmtId="180" fontId="0" fillId="0" borderId="23" xfId="0" applyBorder="1" applyAlignment="1">
      <alignment horizontal="centerContinuous" vertical="center"/>
    </xf>
    <xf numFmtId="221" fontId="0" fillId="0" borderId="14" xfId="0" applyNumberFormat="1" applyBorder="1" applyAlignment="1">
      <alignment horizontal="centerContinuous" vertical="center"/>
    </xf>
    <xf numFmtId="221" fontId="0" fillId="0" borderId="17" xfId="0" applyNumberFormat="1" applyBorder="1" applyAlignment="1">
      <alignment horizontal="centerContinuous" vertical="center"/>
    </xf>
    <xf numFmtId="40" fontId="0" fillId="0" borderId="22" xfId="0" applyNumberFormat="1" applyBorder="1">
      <alignment vertical="center"/>
    </xf>
    <xf numFmtId="40" fontId="0" fillId="0" borderId="163" xfId="0" applyNumberFormat="1" applyBorder="1">
      <alignment vertical="center"/>
    </xf>
    <xf numFmtId="0" fontId="0" fillId="0" borderId="22" xfId="0" applyNumberFormat="1" applyBorder="1">
      <alignment vertical="center"/>
    </xf>
    <xf numFmtId="0" fontId="0" fillId="0" borderId="0" xfId="0" applyNumberFormat="1">
      <alignment vertical="center"/>
    </xf>
    <xf numFmtId="0" fontId="0" fillId="0" borderId="2" xfId="0" applyNumberFormat="1" applyBorder="1">
      <alignment vertical="center"/>
    </xf>
    <xf numFmtId="180" fontId="0" fillId="0" borderId="15" xfId="0" applyBorder="1">
      <alignment vertical="center"/>
    </xf>
    <xf numFmtId="0" fontId="3" fillId="0" borderId="13" xfId="0" applyNumberFormat="1" applyFont="1" applyBorder="1">
      <alignment vertical="center"/>
    </xf>
    <xf numFmtId="0" fontId="0" fillId="0" borderId="15" xfId="0" applyNumberFormat="1" applyBorder="1">
      <alignment vertical="center"/>
    </xf>
    <xf numFmtId="180" fontId="3" fillId="0" borderId="15" xfId="0" applyFont="1" applyBorder="1" applyAlignment="1">
      <alignment horizontal="centerContinuous" vertical="center"/>
    </xf>
    <xf numFmtId="180" fontId="0" fillId="0" borderId="27" xfId="0" applyBorder="1">
      <alignment vertical="center"/>
    </xf>
    <xf numFmtId="0" fontId="3" fillId="0" borderId="26" xfId="0" applyNumberFormat="1" applyFont="1" applyBorder="1">
      <alignment vertical="center"/>
    </xf>
    <xf numFmtId="0" fontId="0" fillId="0" borderId="27" xfId="0" applyNumberFormat="1" applyBorder="1">
      <alignment vertical="center"/>
    </xf>
    <xf numFmtId="180" fontId="3" fillId="0" borderId="27" xfId="0" applyFont="1" applyBorder="1" applyAlignment="1">
      <alignment horizontal="centerContinuous" vertical="center"/>
    </xf>
    <xf numFmtId="180" fontId="0" fillId="0" borderId="23" xfId="0" applyBorder="1">
      <alignment vertical="center"/>
    </xf>
    <xf numFmtId="0" fontId="3" fillId="0" borderId="16" xfId="0" applyNumberFormat="1" applyFont="1" applyBorder="1">
      <alignment vertical="center"/>
    </xf>
    <xf numFmtId="0" fontId="0" fillId="0" borderId="23" xfId="0" applyNumberFormat="1" applyBorder="1">
      <alignment vertical="center"/>
    </xf>
    <xf numFmtId="180" fontId="3" fillId="0" borderId="23" xfId="0" applyFont="1" applyBorder="1" applyAlignment="1">
      <alignment horizontal="centerContinuous" vertical="center"/>
    </xf>
    <xf numFmtId="180" fontId="3" fillId="0" borderId="14" xfId="0" applyFont="1" applyBorder="1" applyAlignment="1">
      <alignment horizontal="centerContinuous" vertical="center"/>
    </xf>
    <xf numFmtId="180" fontId="3" fillId="0" borderId="25" xfId="0" applyFont="1" applyBorder="1" applyAlignment="1">
      <alignment horizontal="centerContinuous" vertical="center"/>
    </xf>
    <xf numFmtId="180" fontId="3" fillId="0" borderId="17" xfId="0" applyFont="1" applyBorder="1" applyAlignment="1">
      <alignment horizontal="centerContinuous" vertical="center"/>
    </xf>
    <xf numFmtId="180" fontId="3" fillId="0" borderId="13" xfId="0" applyFont="1" applyBorder="1" applyAlignment="1">
      <alignment vertical="center" shrinkToFit="1"/>
    </xf>
    <xf numFmtId="180" fontId="3" fillId="0" borderId="26" xfId="0" applyFont="1" applyBorder="1" applyAlignment="1">
      <alignment vertical="center" shrinkToFit="1"/>
    </xf>
    <xf numFmtId="180" fontId="3" fillId="0" borderId="16" xfId="0" applyFont="1" applyBorder="1" applyAlignment="1">
      <alignment vertical="center" shrinkToFit="1"/>
    </xf>
    <xf numFmtId="180" fontId="14" fillId="0" borderId="48" xfId="0" applyFont="1" applyBorder="1" applyAlignment="1">
      <alignment horizontal="right" vertical="center" shrinkToFit="1"/>
    </xf>
    <xf numFmtId="180" fontId="14" fillId="0" borderId="48" xfId="0" applyFont="1" applyBorder="1" applyAlignment="1">
      <alignment horizontal="center" vertical="center" shrinkToFit="1"/>
    </xf>
    <xf numFmtId="40" fontId="14" fillId="0" borderId="57" xfId="0" applyNumberFormat="1" applyFont="1" applyBorder="1" applyAlignment="1">
      <alignment horizontal="centerContinuous" vertical="center" shrinkToFit="1"/>
    </xf>
    <xf numFmtId="40" fontId="14" fillId="0" borderId="49" xfId="0" applyNumberFormat="1" applyFont="1" applyBorder="1" applyAlignment="1">
      <alignment horizontal="centerContinuous" vertical="center" shrinkToFit="1"/>
    </xf>
    <xf numFmtId="180" fontId="14" fillId="0" borderId="47" xfId="0" applyFont="1" applyBorder="1" applyAlignment="1">
      <alignment horizontal="centerContinuous" vertical="center"/>
    </xf>
    <xf numFmtId="180" fontId="14" fillId="0" borderId="48" xfId="0" applyFont="1" applyBorder="1" applyAlignment="1">
      <alignment horizontal="centerContinuous" vertical="center"/>
    </xf>
    <xf numFmtId="40" fontId="14" fillId="0" borderId="57" xfId="0" applyNumberFormat="1" applyFont="1" applyBorder="1" applyAlignment="1">
      <alignment horizontal="centerContinuous" vertical="center"/>
    </xf>
    <xf numFmtId="40" fontId="14" fillId="0" borderId="48" xfId="0" applyNumberFormat="1" applyFont="1" applyBorder="1" applyAlignment="1">
      <alignment horizontal="centerContinuous" vertical="center"/>
    </xf>
    <xf numFmtId="40" fontId="14" fillId="0" borderId="49" xfId="0" applyNumberFormat="1" applyFont="1" applyBorder="1" applyAlignment="1">
      <alignment horizontal="centerContinuous" vertical="center"/>
    </xf>
    <xf numFmtId="180" fontId="14" fillId="0" borderId="7" xfId="0" applyFont="1" applyBorder="1" applyAlignment="1">
      <alignment horizontal="centerContinuous" vertical="center"/>
    </xf>
    <xf numFmtId="180" fontId="14" fillId="0" borderId="8" xfId="0" applyFont="1" applyBorder="1" applyAlignment="1">
      <alignment horizontal="centerContinuous" vertical="center"/>
    </xf>
    <xf numFmtId="40" fontId="14" fillId="0" borderId="58" xfId="0" applyNumberFormat="1" applyFont="1" applyBorder="1" applyAlignment="1">
      <alignment horizontal="centerContinuous" vertical="center"/>
    </xf>
    <xf numFmtId="40" fontId="14" fillId="0" borderId="8" xfId="0" applyNumberFormat="1" applyFont="1" applyBorder="1" applyAlignment="1">
      <alignment horizontal="centerContinuous" vertical="center"/>
    </xf>
    <xf numFmtId="40" fontId="14" fillId="0" borderId="24" xfId="0" applyNumberFormat="1" applyFont="1" applyBorder="1" applyAlignment="1">
      <alignment horizontal="centerContinuous" vertical="center"/>
    </xf>
    <xf numFmtId="180" fontId="0" fillId="0" borderId="14" xfId="0" applyBorder="1">
      <alignment vertical="center"/>
    </xf>
    <xf numFmtId="180" fontId="0" fillId="0" borderId="16" xfId="0" applyBorder="1" applyAlignment="1">
      <alignment horizontal="centerContinuous" vertical="center"/>
    </xf>
    <xf numFmtId="180" fontId="0" fillId="0" borderId="34" xfId="0" applyBorder="1" applyAlignment="1">
      <alignment horizontal="centerContinuous" vertical="center"/>
    </xf>
    <xf numFmtId="40" fontId="0" fillId="0" borderId="167" xfId="0" applyNumberFormat="1" applyBorder="1" applyAlignment="1">
      <alignment horizontal="centerContinuous" vertical="center"/>
    </xf>
    <xf numFmtId="180" fontId="0" fillId="0" borderId="186" xfId="0" applyBorder="1" applyAlignment="1">
      <alignment horizontal="centerContinuous" vertical="center"/>
    </xf>
    <xf numFmtId="178" fontId="3" fillId="0" borderId="13" xfId="0" applyNumberFormat="1" applyFont="1" applyBorder="1" applyAlignment="1">
      <alignment horizontal="centerContinuous" vertical="center"/>
    </xf>
    <xf numFmtId="178" fontId="3" fillId="0" borderId="15" xfId="0" applyNumberFormat="1" applyFont="1" applyBorder="1" applyAlignment="1">
      <alignment horizontal="centerContinuous" vertical="center"/>
    </xf>
    <xf numFmtId="38" fontId="0" fillId="0" borderId="25" xfId="2" applyFont="1" applyFill="1" applyBorder="1" applyAlignment="1">
      <alignment horizontal="centerContinuous" vertical="center"/>
    </xf>
    <xf numFmtId="178" fontId="3" fillId="0" borderId="26" xfId="0" applyNumberFormat="1" applyFont="1" applyBorder="1" applyAlignment="1">
      <alignment horizontal="centerContinuous" vertical="center"/>
    </xf>
    <xf numFmtId="178" fontId="3" fillId="0" borderId="27" xfId="0" applyNumberFormat="1" applyFont="1" applyBorder="1" applyAlignment="1">
      <alignment horizontal="centerContinuous" vertical="center"/>
    </xf>
    <xf numFmtId="180" fontId="0" fillId="0" borderId="26" xfId="0" applyBorder="1" applyAlignment="1">
      <alignment horizontal="centerContinuous" vertical="center"/>
    </xf>
    <xf numFmtId="38" fontId="0" fillId="0" borderId="17" xfId="2" applyFont="1" applyFill="1" applyBorder="1" applyAlignment="1">
      <alignment horizontal="centerContinuous" vertical="center"/>
    </xf>
    <xf numFmtId="180" fontId="0" fillId="0" borderId="13" xfId="0" applyBorder="1" applyAlignment="1">
      <alignment horizontal="centerContinuous" vertical="center"/>
    </xf>
    <xf numFmtId="180" fontId="0" fillId="0" borderId="30" xfId="0" applyBorder="1" applyAlignment="1">
      <alignment horizontal="centerContinuous" vertical="center"/>
    </xf>
    <xf numFmtId="180" fontId="14" fillId="0" borderId="38" xfId="0" applyFont="1" applyBorder="1" applyAlignment="1">
      <alignment horizontal="centerContinuous" vertical="center"/>
    </xf>
    <xf numFmtId="180" fontId="0" fillId="0" borderId="60" xfId="0" applyBorder="1" applyAlignment="1">
      <alignment horizontal="centerContinuous" vertical="center"/>
    </xf>
    <xf numFmtId="180" fontId="0" fillId="0" borderId="50" xfId="0" applyBorder="1" applyAlignment="1">
      <alignment horizontal="centerContinuous" vertical="center"/>
    </xf>
    <xf numFmtId="180" fontId="0" fillId="0" borderId="63" xfId="0" applyBorder="1" applyAlignment="1">
      <alignment horizontal="centerContinuous" vertical="center"/>
    </xf>
    <xf numFmtId="180" fontId="0" fillId="0" borderId="51" xfId="0" applyBorder="1" applyAlignment="1">
      <alignment horizontal="centerContinuous" vertical="center"/>
    </xf>
    <xf numFmtId="180" fontId="0" fillId="0" borderId="65" xfId="0" applyBorder="1" applyAlignment="1">
      <alignment horizontal="centerContinuous" vertical="center"/>
    </xf>
    <xf numFmtId="180" fontId="0" fillId="0" borderId="67" xfId="0" applyBorder="1" applyAlignment="1">
      <alignment horizontal="centerContinuous" vertical="center"/>
    </xf>
    <xf numFmtId="178" fontId="3" fillId="0" borderId="29" xfId="0" applyNumberFormat="1" applyFont="1" applyBorder="1" applyAlignment="1">
      <alignment horizontal="centerContinuous" vertical="center"/>
    </xf>
    <xf numFmtId="178" fontId="3" fillId="0" borderId="60" xfId="0" applyNumberFormat="1" applyFont="1" applyBorder="1" applyAlignment="1">
      <alignment horizontal="centerContinuous" vertical="center"/>
    </xf>
    <xf numFmtId="40" fontId="3" fillId="0" borderId="60" xfId="0" applyNumberFormat="1" applyFont="1" applyBorder="1" applyAlignment="1">
      <alignment horizontal="centerContinuous" vertical="center"/>
    </xf>
    <xf numFmtId="178" fontId="0" fillId="0" borderId="61" xfId="0" applyNumberFormat="1" applyBorder="1" applyAlignment="1">
      <alignment horizontal="centerContinuous" vertical="center" shrinkToFit="1"/>
    </xf>
    <xf numFmtId="178" fontId="3" fillId="0" borderId="60" xfId="0" applyNumberFormat="1" applyFont="1" applyBorder="1" applyAlignment="1">
      <alignment horizontal="centerContinuous" vertical="center" shrinkToFit="1"/>
    </xf>
    <xf numFmtId="178" fontId="3" fillId="0" borderId="31" xfId="0" applyNumberFormat="1" applyFont="1" applyBorder="1" applyAlignment="1">
      <alignment horizontal="centerContinuous" vertical="center"/>
    </xf>
    <xf numFmtId="178" fontId="3" fillId="0" borderId="63" xfId="0" applyNumberFormat="1" applyFont="1" applyBorder="1" applyAlignment="1">
      <alignment horizontal="centerContinuous" vertical="center"/>
    </xf>
    <xf numFmtId="40" fontId="3" fillId="0" borderId="63" xfId="0" applyNumberFormat="1" applyFont="1" applyBorder="1" applyAlignment="1">
      <alignment horizontal="centerContinuous" vertical="center"/>
    </xf>
    <xf numFmtId="178" fontId="0" fillId="0" borderId="64" xfId="0" applyNumberFormat="1" applyBorder="1" applyAlignment="1">
      <alignment horizontal="centerContinuous" vertical="center" shrinkToFit="1"/>
    </xf>
    <xf numFmtId="178" fontId="3" fillId="0" borderId="63" xfId="0" applyNumberFormat="1" applyFont="1" applyBorder="1" applyAlignment="1">
      <alignment horizontal="centerContinuous" vertical="center" shrinkToFit="1"/>
    </xf>
    <xf numFmtId="178" fontId="3" fillId="0" borderId="33" xfId="0" applyNumberFormat="1" applyFont="1" applyBorder="1" applyAlignment="1">
      <alignment horizontal="centerContinuous" vertical="center"/>
    </xf>
    <xf numFmtId="178" fontId="3" fillId="0" borderId="65" xfId="0" applyNumberFormat="1" applyFont="1" applyBorder="1" applyAlignment="1">
      <alignment horizontal="centerContinuous" vertical="center"/>
    </xf>
    <xf numFmtId="40" fontId="3" fillId="0" borderId="65" xfId="0" applyNumberFormat="1" applyFont="1" applyBorder="1" applyAlignment="1">
      <alignment horizontal="centerContinuous" vertical="center"/>
    </xf>
    <xf numFmtId="178" fontId="0" fillId="0" borderId="66" xfId="0" applyNumberFormat="1" applyBorder="1" applyAlignment="1">
      <alignment horizontal="centerContinuous" vertical="center" shrinkToFit="1"/>
    </xf>
    <xf numFmtId="178" fontId="3" fillId="0" borderId="65" xfId="0" applyNumberFormat="1" applyFont="1" applyBorder="1" applyAlignment="1">
      <alignment horizontal="centerContinuous" vertical="center" shrinkToFit="1"/>
    </xf>
    <xf numFmtId="40" fontId="0" fillId="0" borderId="103" xfId="0" applyNumberFormat="1" applyBorder="1" applyAlignment="1">
      <alignment horizontal="center" vertical="center"/>
    </xf>
    <xf numFmtId="40" fontId="0" fillId="0" borderId="104" xfId="0" applyNumberFormat="1" applyBorder="1" applyAlignment="1">
      <alignment horizontal="center" vertical="center"/>
    </xf>
    <xf numFmtId="181" fontId="3" fillId="0" borderId="66" xfId="3" applyNumberFormat="1" applyFont="1" applyBorder="1" applyAlignment="1">
      <alignment horizontal="center" vertical="center" shrinkToFit="1"/>
    </xf>
    <xf numFmtId="181" fontId="3" fillId="0" borderId="65" xfId="3" applyNumberFormat="1" applyFont="1" applyBorder="1" applyAlignment="1">
      <alignment horizontal="center" vertical="center" shrinkToFit="1"/>
    </xf>
    <xf numFmtId="181" fontId="3" fillId="0" borderId="31" xfId="3" applyNumberFormat="1" applyFont="1" applyBorder="1" applyAlignment="1">
      <alignment horizontal="center" vertical="center" shrinkToFit="1"/>
    </xf>
    <xf numFmtId="181" fontId="3" fillId="0" borderId="32" xfId="3" applyNumberFormat="1" applyFont="1" applyBorder="1" applyAlignment="1">
      <alignment horizontal="center" vertical="center" shrinkToFit="1"/>
    </xf>
    <xf numFmtId="224" fontId="3" fillId="0" borderId="63" xfId="3" applyNumberFormat="1" applyFont="1" applyBorder="1" applyAlignment="1">
      <alignment horizontal="center" vertical="center" shrinkToFit="1"/>
    </xf>
    <xf numFmtId="224" fontId="54" fillId="0" borderId="63" xfId="3" applyNumberFormat="1" applyFont="1" applyBorder="1" applyAlignment="1">
      <alignment horizontal="center" vertical="center" shrinkToFit="1"/>
    </xf>
    <xf numFmtId="180" fontId="3" fillId="0" borderId="31" xfId="3" applyNumberFormat="1" applyFont="1" applyBorder="1" applyAlignment="1">
      <alignment horizontal="center" vertical="center" shrinkToFit="1"/>
    </xf>
    <xf numFmtId="180" fontId="3" fillId="0" borderId="63" xfId="3" applyNumberFormat="1" applyFont="1" applyBorder="1" applyAlignment="1">
      <alignment horizontal="center" vertical="center" shrinkToFit="1"/>
    </xf>
    <xf numFmtId="180" fontId="3" fillId="0" borderId="77" xfId="5" applyNumberFormat="1" applyFont="1" applyBorder="1" applyAlignment="1" applyProtection="1">
      <alignment horizontal="center" vertical="center"/>
      <protection locked="0"/>
    </xf>
    <xf numFmtId="178" fontId="3" fillId="0" borderId="103" xfId="3" applyNumberFormat="1" applyFont="1" applyBorder="1" applyAlignment="1">
      <alignment horizontal="center" vertical="center" shrinkToFit="1"/>
    </xf>
    <xf numFmtId="180" fontId="54" fillId="0" borderId="76" xfId="5" applyNumberFormat="1" applyFont="1" applyBorder="1" applyAlignment="1" applyProtection="1">
      <alignment horizontal="center" vertical="center"/>
      <protection locked="0"/>
    </xf>
    <xf numFmtId="181" fontId="54" fillId="0" borderId="31" xfId="3" applyNumberFormat="1" applyFont="1" applyBorder="1" applyAlignment="1">
      <alignment horizontal="center" vertical="center" shrinkToFit="1"/>
    </xf>
    <xf numFmtId="178" fontId="54" fillId="0" borderId="63" xfId="3" applyNumberFormat="1" applyFont="1" applyBorder="1" applyAlignment="1">
      <alignment horizontal="center" vertical="center" shrinkToFit="1"/>
    </xf>
    <xf numFmtId="181" fontId="54" fillId="0" borderId="63" xfId="3" applyNumberFormat="1" applyFont="1" applyBorder="1" applyAlignment="1">
      <alignment horizontal="center" vertical="center" shrinkToFit="1"/>
    </xf>
    <xf numFmtId="178" fontId="54" fillId="0" borderId="64" xfId="3" applyNumberFormat="1" applyFont="1" applyBorder="1" applyAlignment="1">
      <alignment horizontal="center" vertical="center" shrinkToFit="1"/>
    </xf>
    <xf numFmtId="178" fontId="54" fillId="0" borderId="51" xfId="3" applyNumberFormat="1" applyFont="1" applyBorder="1" applyAlignment="1">
      <alignment horizontal="center" vertical="center" shrinkToFit="1"/>
    </xf>
    <xf numFmtId="180" fontId="54" fillId="0" borderId="79" xfId="5" applyNumberFormat="1" applyFont="1" applyBorder="1" applyAlignment="1" applyProtection="1">
      <alignment horizontal="center" vertical="center"/>
      <protection locked="0"/>
    </xf>
    <xf numFmtId="181" fontId="54" fillId="0" borderId="124" xfId="3" applyNumberFormat="1" applyFont="1" applyBorder="1" applyAlignment="1">
      <alignment horizontal="center" vertical="center" shrinkToFit="1"/>
    </xf>
    <xf numFmtId="178" fontId="54" fillId="0" borderId="112" xfId="3" applyNumberFormat="1" applyFont="1" applyBorder="1" applyAlignment="1">
      <alignment horizontal="center" vertical="center" shrinkToFit="1"/>
    </xf>
    <xf numFmtId="181" fontId="54" fillId="0" borderId="112" xfId="3" applyNumberFormat="1" applyFont="1" applyBorder="1" applyAlignment="1">
      <alignment horizontal="center" vertical="center" shrinkToFit="1"/>
    </xf>
    <xf numFmtId="178" fontId="54" fillId="0" borderId="65" xfId="3" applyNumberFormat="1" applyFont="1" applyBorder="1" applyAlignment="1">
      <alignment horizontal="center" vertical="center" shrinkToFit="1"/>
    </xf>
    <xf numFmtId="216" fontId="3" fillId="0" borderId="64" xfId="3" applyNumberFormat="1" applyFont="1" applyBorder="1" applyAlignment="1">
      <alignment horizontal="center" vertical="center"/>
    </xf>
    <xf numFmtId="178" fontId="3" fillId="0" borderId="63" xfId="3" applyNumberFormat="1" applyFont="1" applyBorder="1" applyAlignment="1">
      <alignment horizontal="center" vertical="center"/>
    </xf>
    <xf numFmtId="216" fontId="3" fillId="0" borderId="63" xfId="3" applyNumberFormat="1" applyFont="1" applyBorder="1" applyAlignment="1">
      <alignment horizontal="center" vertical="center"/>
    </xf>
    <xf numFmtId="178" fontId="3" fillId="0" borderId="32" xfId="3" applyNumberFormat="1" applyFont="1" applyBorder="1" applyAlignment="1">
      <alignment horizontal="center" vertical="center"/>
    </xf>
    <xf numFmtId="0" fontId="3" fillId="0" borderId="64" xfId="3" applyFont="1" applyBorder="1" applyAlignment="1">
      <alignment horizontal="center" vertical="center"/>
    </xf>
    <xf numFmtId="0" fontId="0" fillId="0" borderId="63" xfId="3" applyFont="1" applyBorder="1" applyAlignment="1">
      <alignment horizontal="center" vertical="center"/>
    </xf>
    <xf numFmtId="178" fontId="3" fillId="0" borderId="51" xfId="3" applyNumberFormat="1" applyFont="1" applyBorder="1" applyAlignment="1">
      <alignment horizontal="center" vertical="center"/>
    </xf>
    <xf numFmtId="216" fontId="54" fillId="0" borderId="64" xfId="3" applyNumberFormat="1" applyFont="1" applyBorder="1" applyAlignment="1">
      <alignment horizontal="center" vertical="center"/>
    </xf>
    <xf numFmtId="178" fontId="54" fillId="0" borderId="63" xfId="3" applyNumberFormat="1" applyFont="1" applyBorder="1" applyAlignment="1">
      <alignment horizontal="center" vertical="center"/>
    </xf>
    <xf numFmtId="216" fontId="54" fillId="0" borderId="63" xfId="3" applyNumberFormat="1" applyFont="1" applyBorder="1" applyAlignment="1">
      <alignment horizontal="center" vertical="center"/>
    </xf>
    <xf numFmtId="178" fontId="54" fillId="0" borderId="32" xfId="3" applyNumberFormat="1" applyFont="1" applyBorder="1" applyAlignment="1">
      <alignment horizontal="center" vertical="center"/>
    </xf>
    <xf numFmtId="0" fontId="54" fillId="0" borderId="64" xfId="3" applyFont="1" applyBorder="1" applyAlignment="1">
      <alignment horizontal="center" vertical="center"/>
    </xf>
    <xf numFmtId="0" fontId="54" fillId="0" borderId="63" xfId="3" applyFont="1" applyBorder="1" applyAlignment="1">
      <alignment horizontal="center" vertical="center"/>
    </xf>
    <xf numFmtId="178" fontId="54" fillId="0" borderId="51" xfId="3" applyNumberFormat="1" applyFont="1" applyBorder="1" applyAlignment="1">
      <alignment horizontal="center" vertical="center"/>
    </xf>
    <xf numFmtId="2" fontId="54" fillId="0" borderId="63" xfId="3" applyNumberFormat="1" applyFont="1" applyBorder="1" applyAlignment="1">
      <alignment horizontal="center" vertical="center"/>
    </xf>
    <xf numFmtId="216" fontId="54" fillId="0" borderId="66" xfId="3" applyNumberFormat="1" applyFont="1" applyBorder="1" applyAlignment="1">
      <alignment horizontal="center" vertical="center"/>
    </xf>
    <xf numFmtId="178" fontId="54" fillId="0" borderId="65" xfId="3" applyNumberFormat="1" applyFont="1" applyBorder="1" applyAlignment="1">
      <alignment horizontal="center" vertical="center"/>
    </xf>
    <xf numFmtId="216" fontId="54" fillId="0" borderId="65" xfId="3" applyNumberFormat="1" applyFont="1" applyBorder="1" applyAlignment="1">
      <alignment horizontal="center" vertical="center"/>
    </xf>
    <xf numFmtId="178" fontId="54" fillId="0" borderId="34" xfId="3" applyNumberFormat="1" applyFont="1" applyBorder="1" applyAlignment="1">
      <alignment horizontal="center" vertical="center"/>
    </xf>
    <xf numFmtId="0" fontId="54" fillId="0" borderId="66" xfId="3" applyFont="1" applyBorder="1" applyAlignment="1">
      <alignment horizontal="center" vertical="center"/>
    </xf>
    <xf numFmtId="0" fontId="54" fillId="0" borderId="65" xfId="3" applyFont="1" applyBorder="1" applyAlignment="1">
      <alignment horizontal="center" vertical="center"/>
    </xf>
    <xf numFmtId="178" fontId="54" fillId="0" borderId="67" xfId="3" applyNumberFormat="1" applyFont="1" applyBorder="1" applyAlignment="1">
      <alignment horizontal="center" vertical="center"/>
    </xf>
    <xf numFmtId="2" fontId="54" fillId="0" borderId="65" xfId="3" applyNumberFormat="1" applyFont="1" applyBorder="1" applyAlignment="1">
      <alignment horizontal="center" vertical="center"/>
    </xf>
    <xf numFmtId="181" fontId="3" fillId="0" borderId="109" xfId="3" applyNumberFormat="1" applyFont="1" applyBorder="1" applyAlignment="1">
      <alignment horizontal="center" vertical="center" shrinkToFit="1"/>
    </xf>
    <xf numFmtId="0" fontId="3" fillId="0" borderId="63" xfId="3" applyFont="1" applyBorder="1" applyAlignment="1">
      <alignment horizontal="center" vertical="center"/>
    </xf>
    <xf numFmtId="181" fontId="54" fillId="0" borderId="109" xfId="3" applyNumberFormat="1" applyFont="1" applyBorder="1" applyAlignment="1">
      <alignment horizontal="center" vertical="center" shrinkToFit="1"/>
    </xf>
    <xf numFmtId="178" fontId="54" fillId="0" borderId="31" xfId="3" applyNumberFormat="1" applyFont="1" applyBorder="1" applyAlignment="1">
      <alignment horizontal="center" vertical="center" shrinkToFit="1"/>
    </xf>
    <xf numFmtId="178" fontId="54" fillId="0" borderId="32" xfId="3" applyNumberFormat="1" applyFont="1" applyBorder="1" applyAlignment="1">
      <alignment horizontal="center" vertical="center" shrinkToFit="1"/>
    </xf>
    <xf numFmtId="180" fontId="54" fillId="0" borderId="64" xfId="0" applyFont="1" applyBorder="1" applyAlignment="1">
      <alignment horizontal="center" vertical="center" shrinkToFit="1"/>
    </xf>
    <xf numFmtId="180" fontId="54" fillId="0" borderId="31" xfId="0" applyFont="1" applyBorder="1" applyAlignment="1">
      <alignment horizontal="center" vertical="center" shrinkToFit="1"/>
    </xf>
    <xf numFmtId="180" fontId="54" fillId="0" borderId="63" xfId="0" applyFont="1" applyBorder="1" applyAlignment="1">
      <alignment horizontal="center" vertical="center" shrinkToFit="1"/>
    </xf>
    <xf numFmtId="180" fontId="3" fillId="0" borderId="64" xfId="0" applyFont="1" applyBorder="1" applyAlignment="1">
      <alignment horizontal="center" vertical="center" shrinkToFit="1"/>
    </xf>
    <xf numFmtId="180" fontId="0" fillId="0" borderId="31" xfId="0" applyBorder="1" applyAlignment="1">
      <alignment horizontal="center" vertical="center" shrinkToFit="1"/>
    </xf>
    <xf numFmtId="180" fontId="3" fillId="0" borderId="63" xfId="0" applyFont="1" applyBorder="1" applyAlignment="1">
      <alignment horizontal="center" vertical="center" shrinkToFit="1"/>
    </xf>
    <xf numFmtId="180" fontId="3" fillId="0" borderId="194" xfId="3" applyNumberFormat="1" applyFont="1" applyBorder="1" applyAlignment="1">
      <alignment vertical="center"/>
    </xf>
    <xf numFmtId="179" fontId="3" fillId="0" borderId="63" xfId="3" applyNumberFormat="1" applyFont="1" applyBorder="1" applyAlignment="1">
      <alignment horizontal="center" vertical="center" shrinkToFit="1"/>
    </xf>
    <xf numFmtId="179" fontId="3" fillId="0" borderId="32" xfId="3" applyNumberFormat="1" applyFont="1" applyBorder="1" applyAlignment="1">
      <alignment horizontal="center" vertical="center" shrinkToFit="1"/>
    </xf>
    <xf numFmtId="180" fontId="0" fillId="0" borderId="109" xfId="3" applyNumberFormat="1" applyFont="1" applyBorder="1" applyAlignment="1">
      <alignment horizontal="center" vertical="center" shrinkToFit="1"/>
    </xf>
    <xf numFmtId="179" fontId="3" fillId="0" borderId="49" xfId="3" applyNumberFormat="1" applyFont="1" applyBorder="1" applyAlignment="1">
      <alignment horizontal="center" vertical="center" shrinkToFit="1"/>
    </xf>
    <xf numFmtId="178" fontId="3" fillId="0" borderId="27" xfId="3" applyNumberFormat="1" applyFont="1" applyBorder="1" applyAlignment="1">
      <alignment horizontal="center" vertical="center" shrinkToFit="1"/>
    </xf>
    <xf numFmtId="182" fontId="3" fillId="0" borderId="124" xfId="3" applyNumberFormat="1" applyFont="1" applyBorder="1" applyAlignment="1">
      <alignment horizontal="center" vertical="center" shrinkToFit="1"/>
    </xf>
    <xf numFmtId="181" fontId="3" fillId="0" borderId="112" xfId="3" applyNumberFormat="1" applyFont="1" applyBorder="1" applyAlignment="1">
      <alignment horizontal="center" vertical="center" shrinkToFit="1"/>
    </xf>
    <xf numFmtId="180" fontId="3" fillId="0" borderId="124" xfId="3" applyNumberFormat="1" applyFont="1" applyBorder="1" applyAlignment="1">
      <alignment horizontal="center" vertical="center" shrinkToFit="1"/>
    </xf>
    <xf numFmtId="180" fontId="3" fillId="0" borderId="112" xfId="3" applyNumberFormat="1" applyFont="1" applyBorder="1" applyAlignment="1">
      <alignment horizontal="center" vertical="center" shrinkToFit="1"/>
    </xf>
    <xf numFmtId="180" fontId="3" fillId="0" borderId="108" xfId="3" applyNumberFormat="1" applyFont="1" applyBorder="1" applyAlignment="1">
      <alignment horizontal="center" vertical="center" shrinkToFit="1"/>
    </xf>
    <xf numFmtId="178" fontId="3" fillId="0" borderId="24" xfId="3" applyNumberFormat="1" applyFont="1" applyBorder="1" applyAlignment="1">
      <alignment horizontal="center" vertical="center" shrinkToFit="1"/>
    </xf>
    <xf numFmtId="180" fontId="3" fillId="0" borderId="64" xfId="3" applyNumberFormat="1" applyFont="1" applyBorder="1" applyAlignment="1">
      <alignment horizontal="center" vertical="center" shrinkToFit="1"/>
    </xf>
    <xf numFmtId="180" fontId="3" fillId="0" borderId="66" xfId="3" applyNumberFormat="1" applyFont="1" applyBorder="1" applyAlignment="1">
      <alignment horizontal="center" vertical="center" shrinkToFit="1"/>
    </xf>
    <xf numFmtId="180" fontId="3" fillId="0" borderId="65" xfId="3" applyNumberFormat="1" applyFont="1" applyBorder="1" applyAlignment="1">
      <alignment horizontal="center" vertical="center" shrinkToFit="1"/>
    </xf>
    <xf numFmtId="180" fontId="0" fillId="0" borderId="78" xfId="0" applyBorder="1">
      <alignment vertical="center"/>
    </xf>
    <xf numFmtId="40" fontId="0" fillId="0" borderId="13" xfId="0" applyNumberFormat="1" applyBorder="1" applyAlignment="1">
      <alignment horizontal="center" vertical="center"/>
    </xf>
    <xf numFmtId="180" fontId="0" fillId="0" borderId="76" xfId="0" applyBorder="1">
      <alignment vertical="center"/>
    </xf>
    <xf numFmtId="184" fontId="3" fillId="0" borderId="31" xfId="0" applyNumberFormat="1" applyFont="1" applyBorder="1" applyAlignment="1">
      <alignment horizontal="center" vertical="center"/>
    </xf>
    <xf numFmtId="40" fontId="0" fillId="0" borderId="26" xfId="0" applyNumberFormat="1" applyBorder="1" applyAlignment="1">
      <alignment horizontal="center" vertical="center"/>
    </xf>
    <xf numFmtId="38" fontId="0" fillId="0" borderId="25" xfId="0" applyNumberFormat="1" applyBorder="1" applyAlignment="1">
      <alignment horizontal="center" vertical="center"/>
    </xf>
    <xf numFmtId="38" fontId="3" fillId="0" borderId="64" xfId="0" applyNumberFormat="1" applyFont="1" applyBorder="1" applyAlignment="1">
      <alignment horizontal="center" vertical="center"/>
    </xf>
    <xf numFmtId="180" fontId="0" fillId="0" borderId="79" xfId="0" applyBorder="1">
      <alignment vertical="center"/>
    </xf>
    <xf numFmtId="38" fontId="0" fillId="0" borderId="64" xfId="2" applyFont="1" applyFill="1" applyBorder="1" applyAlignment="1">
      <alignment horizontal="center" vertical="center"/>
    </xf>
    <xf numFmtId="40" fontId="0" fillId="0" borderId="16" xfId="0" applyNumberFormat="1" applyBorder="1" applyAlignment="1">
      <alignment horizontal="center" vertical="center"/>
    </xf>
    <xf numFmtId="38" fontId="0" fillId="0" borderId="17" xfId="0" applyNumberFormat="1" applyBorder="1" applyAlignment="1">
      <alignment horizontal="center" vertical="center"/>
    </xf>
    <xf numFmtId="38" fontId="3" fillId="0" borderId="66" xfId="0" applyNumberFormat="1" applyFont="1" applyBorder="1" applyAlignment="1">
      <alignment horizontal="center" vertical="center"/>
    </xf>
    <xf numFmtId="184" fontId="3" fillId="0" borderId="25" xfId="0" applyNumberFormat="1" applyFont="1" applyBorder="1" applyAlignment="1">
      <alignment horizontal="center" vertical="center"/>
    </xf>
    <xf numFmtId="40" fontId="3" fillId="0" borderId="61" xfId="0" applyNumberFormat="1" applyFont="1" applyBorder="1" applyAlignment="1">
      <alignment horizontal="center" vertical="center"/>
    </xf>
    <xf numFmtId="40" fontId="0" fillId="0" borderId="60" xfId="0" applyNumberFormat="1" applyBorder="1" applyAlignment="1">
      <alignment horizontal="center" vertical="center"/>
    </xf>
    <xf numFmtId="40" fontId="3" fillId="0" borderId="64" xfId="0" applyNumberFormat="1" applyFont="1" applyBorder="1" applyAlignment="1">
      <alignment horizontal="center" vertical="center"/>
    </xf>
    <xf numFmtId="180" fontId="3" fillId="0" borderId="33" xfId="3" applyNumberFormat="1" applyFont="1" applyBorder="1" applyAlignment="1">
      <alignment horizontal="center" vertical="center" shrinkToFit="1"/>
    </xf>
    <xf numFmtId="181" fontId="3" fillId="0" borderId="124" xfId="3" applyNumberFormat="1" applyFont="1" applyBorder="1" applyAlignment="1">
      <alignment horizontal="center" vertical="center" shrinkToFit="1"/>
    </xf>
    <xf numFmtId="178" fontId="3" fillId="0" borderId="111" xfId="3" applyNumberFormat="1" applyFont="1" applyBorder="1" applyAlignment="1">
      <alignment horizontal="center" vertical="center" shrinkToFit="1"/>
    </xf>
    <xf numFmtId="180" fontId="0" fillId="0" borderId="1" xfId="3" applyNumberFormat="1" applyFont="1" applyBorder="1" applyAlignment="1">
      <alignment vertical="center"/>
    </xf>
    <xf numFmtId="181" fontId="3" fillId="0" borderId="33" xfId="3" applyNumberFormat="1" applyFont="1" applyBorder="1" applyAlignment="1">
      <alignment horizontal="center" vertical="center" shrinkToFit="1"/>
    </xf>
    <xf numFmtId="180" fontId="3" fillId="0" borderId="31" xfId="0" applyFont="1" applyBorder="1" applyAlignment="1">
      <alignment horizontal="center" vertical="center" shrinkToFit="1"/>
    </xf>
    <xf numFmtId="180" fontId="3" fillId="0" borderId="32" xfId="0" applyFont="1" applyBorder="1" applyAlignment="1">
      <alignment horizontal="center" vertical="center" shrinkToFit="1"/>
    </xf>
    <xf numFmtId="177" fontId="54" fillId="0" borderId="123" xfId="0" applyNumberFormat="1" applyFont="1" applyBorder="1" applyAlignment="1">
      <alignment horizontal="center" vertical="center" shrinkToFit="1"/>
    </xf>
    <xf numFmtId="178" fontId="0" fillId="0" borderId="124" xfId="3" applyNumberFormat="1" applyFont="1" applyBorder="1" applyAlignment="1">
      <alignment horizontal="center" vertical="center" shrinkToFit="1"/>
    </xf>
    <xf numFmtId="177" fontId="0" fillId="0" borderId="124" xfId="0" applyNumberFormat="1" applyBorder="1" applyAlignment="1">
      <alignment horizontal="center" vertical="center" shrinkToFit="1"/>
    </xf>
    <xf numFmtId="178" fontId="0" fillId="0" borderId="112" xfId="3" applyNumberFormat="1" applyFont="1" applyBorder="1" applyAlignment="1">
      <alignment horizontal="center" vertical="center" shrinkToFit="1"/>
    </xf>
    <xf numFmtId="177" fontId="0" fillId="0" borderId="112" xfId="0" applyNumberFormat="1" applyBorder="1" applyAlignment="1">
      <alignment horizontal="center" vertical="center" shrinkToFit="1"/>
    </xf>
    <xf numFmtId="178" fontId="0" fillId="0" borderId="125" xfId="3" applyNumberFormat="1" applyFont="1" applyBorder="1" applyAlignment="1">
      <alignment horizontal="center" vertical="center" shrinkToFit="1"/>
    </xf>
    <xf numFmtId="180" fontId="0" fillId="0" borderId="111" xfId="3" applyNumberFormat="1" applyFont="1" applyBorder="1" applyAlignment="1">
      <alignment horizontal="center" vertical="center" shrinkToFit="1"/>
    </xf>
    <xf numFmtId="180" fontId="0" fillId="0" borderId="112" xfId="3" applyNumberFormat="1" applyFont="1" applyBorder="1" applyAlignment="1">
      <alignment horizontal="center" vertical="center" shrinkToFit="1"/>
    </xf>
    <xf numFmtId="179" fontId="3" fillId="0" borderId="51" xfId="3" applyNumberFormat="1" applyFont="1" applyBorder="1" applyAlignment="1">
      <alignment horizontal="center" vertical="center" shrinkToFit="1"/>
    </xf>
    <xf numFmtId="178" fontId="3" fillId="0" borderId="57" xfId="3" applyNumberFormat="1" applyFont="1" applyBorder="1" applyAlignment="1">
      <alignment horizontal="center" vertical="center" shrinkToFit="1"/>
    </xf>
    <xf numFmtId="180" fontId="3" fillId="0" borderId="103" xfId="3" applyNumberFormat="1" applyFont="1" applyBorder="1" applyAlignment="1">
      <alignment horizontal="center" vertical="center" shrinkToFit="1"/>
    </xf>
    <xf numFmtId="180" fontId="3" fillId="0" borderId="109" xfId="3" applyNumberFormat="1" applyFont="1" applyBorder="1" applyAlignment="1">
      <alignment horizontal="center" vertical="center" shrinkToFit="1"/>
    </xf>
    <xf numFmtId="180" fontId="3" fillId="0" borderId="33" xfId="0" applyFont="1" applyBorder="1" applyAlignment="1">
      <alignment horizontal="center" vertical="center" shrinkToFit="1"/>
    </xf>
    <xf numFmtId="180" fontId="3" fillId="0" borderId="65" xfId="0" applyFont="1" applyBorder="1" applyAlignment="1">
      <alignment horizontal="center" vertical="center" shrinkToFit="1"/>
    </xf>
    <xf numFmtId="180" fontId="3" fillId="0" borderId="34" xfId="0" applyFont="1" applyBorder="1" applyAlignment="1">
      <alignment horizontal="center" vertical="center" shrinkToFit="1"/>
    </xf>
    <xf numFmtId="178" fontId="46" fillId="0" borderId="63" xfId="3" applyNumberFormat="1" applyFont="1" applyBorder="1" applyAlignment="1">
      <alignment horizontal="center" vertical="center" shrinkToFit="1"/>
    </xf>
    <xf numFmtId="180" fontId="46" fillId="0" borderId="63" xfId="0" applyFont="1" applyBorder="1" applyAlignment="1">
      <alignment horizontal="center" vertical="center" shrinkToFit="1"/>
    </xf>
    <xf numFmtId="180" fontId="46" fillId="0" borderId="32" xfId="0" applyFont="1" applyBorder="1" applyAlignment="1">
      <alignment horizontal="center" vertical="center" shrinkToFit="1"/>
    </xf>
    <xf numFmtId="178" fontId="46" fillId="0" borderId="51" xfId="3" applyNumberFormat="1" applyFont="1" applyBorder="1" applyAlignment="1">
      <alignment horizontal="center" vertical="center" shrinkToFit="1"/>
    </xf>
    <xf numFmtId="180" fontId="54" fillId="0" borderId="32" xfId="0" applyFont="1" applyBorder="1" applyAlignment="1">
      <alignment horizontal="center" vertical="center" shrinkToFit="1"/>
    </xf>
    <xf numFmtId="180" fontId="54" fillId="0" borderId="77" xfId="5" applyNumberFormat="1" applyFont="1" applyBorder="1" applyAlignment="1" applyProtection="1">
      <alignment horizontal="center" vertical="center"/>
      <protection locked="0"/>
    </xf>
    <xf numFmtId="178" fontId="54" fillId="0" borderId="124" xfId="3" applyNumberFormat="1" applyFont="1" applyBorder="1" applyAlignment="1">
      <alignment horizontal="center" vertical="center" shrinkToFit="1"/>
    </xf>
    <xf numFmtId="178" fontId="54" fillId="0" borderId="113" xfId="3" applyNumberFormat="1" applyFont="1" applyBorder="1" applyAlignment="1">
      <alignment horizontal="center" vertical="center" shrinkToFit="1"/>
    </xf>
    <xf numFmtId="180" fontId="54" fillId="0" borderId="66" xfId="0" applyFont="1" applyBorder="1" applyAlignment="1">
      <alignment horizontal="center" vertical="center" shrinkToFit="1"/>
    </xf>
    <xf numFmtId="180" fontId="54" fillId="0" borderId="33" xfId="0" applyFont="1" applyBorder="1" applyAlignment="1">
      <alignment horizontal="center" vertical="center" shrinkToFit="1"/>
    </xf>
    <xf numFmtId="180" fontId="54" fillId="0" borderId="65" xfId="0" applyFont="1" applyBorder="1" applyAlignment="1">
      <alignment horizontal="center" vertical="center" shrinkToFit="1"/>
    </xf>
    <xf numFmtId="180" fontId="54" fillId="0" borderId="34" xfId="0" applyFont="1" applyBorder="1" applyAlignment="1">
      <alignment horizontal="center" vertical="center" shrinkToFit="1"/>
    </xf>
    <xf numFmtId="178" fontId="54" fillId="0" borderId="67" xfId="3" applyNumberFormat="1" applyFont="1" applyBorder="1" applyAlignment="1">
      <alignment horizontal="center" vertical="center" shrinkToFit="1"/>
    </xf>
    <xf numFmtId="180" fontId="0" fillId="0" borderId="63" xfId="0" applyBorder="1" applyAlignment="1">
      <alignment horizontal="center" vertical="center"/>
    </xf>
    <xf numFmtId="180" fontId="54" fillId="0" borderId="63" xfId="0" applyFont="1" applyBorder="1" applyAlignment="1">
      <alignment horizontal="center" vertical="center"/>
    </xf>
    <xf numFmtId="178" fontId="54" fillId="0" borderId="103" xfId="3" applyNumberFormat="1" applyFont="1" applyBorder="1" applyAlignment="1">
      <alignment horizontal="center" vertical="center" shrinkToFit="1"/>
    </xf>
    <xf numFmtId="178" fontId="54" fillId="0" borderId="109" xfId="3" applyNumberFormat="1" applyFont="1" applyBorder="1" applyAlignment="1">
      <alignment horizontal="center" vertical="center" shrinkToFit="1"/>
    </xf>
    <xf numFmtId="178" fontId="54" fillId="0" borderId="104" xfId="3" applyNumberFormat="1" applyFont="1" applyBorder="1" applyAlignment="1">
      <alignment horizontal="center" vertical="center" shrinkToFit="1"/>
    </xf>
    <xf numFmtId="180" fontId="3" fillId="0" borderId="65" xfId="0" applyFont="1" applyBorder="1" applyAlignment="1">
      <alignment horizontal="center" vertical="center"/>
    </xf>
    <xf numFmtId="178" fontId="3" fillId="0" borderId="188" xfId="3" applyNumberFormat="1" applyFont="1" applyBorder="1" applyAlignment="1">
      <alignment horizontal="center" vertical="center" shrinkToFit="1"/>
    </xf>
    <xf numFmtId="178" fontId="3" fillId="0" borderId="108" xfId="3" applyNumberFormat="1" applyFont="1" applyBorder="1" applyAlignment="1">
      <alignment horizontal="center" vertical="center" shrinkToFit="1"/>
    </xf>
    <xf numFmtId="178" fontId="3" fillId="0" borderId="164" xfId="3" applyNumberFormat="1" applyFont="1" applyBorder="1" applyAlignment="1">
      <alignment horizontal="center" vertical="center" shrinkToFit="1"/>
    </xf>
    <xf numFmtId="181" fontId="54" fillId="0" borderId="64" xfId="3" applyNumberFormat="1" applyFont="1" applyBorder="1" applyAlignment="1">
      <alignment horizontal="center" vertical="center" shrinkToFit="1"/>
    </xf>
    <xf numFmtId="181" fontId="54" fillId="0" borderId="111" xfId="3" applyNumberFormat="1" applyFont="1" applyBorder="1" applyAlignment="1">
      <alignment horizontal="center" vertical="center" shrinkToFit="1"/>
    </xf>
    <xf numFmtId="181" fontId="54" fillId="0" borderId="65" xfId="3" applyNumberFormat="1" applyFont="1" applyBorder="1" applyAlignment="1">
      <alignment horizontal="center" vertical="center" shrinkToFit="1"/>
    </xf>
    <xf numFmtId="178" fontId="0" fillId="0" borderId="31" xfId="3" applyNumberFormat="1" applyFont="1" applyBorder="1" applyAlignment="1">
      <alignment horizontal="center" vertical="center" shrinkToFit="1"/>
    </xf>
    <xf numFmtId="38" fontId="3" fillId="0" borderId="31" xfId="2" applyFont="1" applyFill="1" applyBorder="1" applyAlignment="1">
      <alignment horizontal="center" vertical="center" shrinkToFit="1"/>
    </xf>
    <xf numFmtId="38" fontId="3" fillId="0" borderId="63" xfId="2" applyFont="1" applyFill="1" applyBorder="1" applyAlignment="1">
      <alignment horizontal="center" vertical="center" shrinkToFit="1"/>
    </xf>
    <xf numFmtId="38" fontId="3" fillId="0" borderId="64" xfId="2" applyFont="1" applyFill="1" applyBorder="1" applyAlignment="1">
      <alignment horizontal="center" vertical="center" shrinkToFit="1"/>
    </xf>
    <xf numFmtId="208" fontId="3" fillId="0" borderId="63" xfId="3" applyNumberFormat="1" applyFont="1" applyBorder="1" applyAlignment="1">
      <alignment horizontal="center" vertical="center" shrinkToFit="1"/>
    </xf>
    <xf numFmtId="208" fontId="3" fillId="0" borderId="31" xfId="3" applyNumberFormat="1" applyFont="1" applyBorder="1" applyAlignment="1">
      <alignment horizontal="center" vertical="center" shrinkToFit="1"/>
    </xf>
    <xf numFmtId="179" fontId="3" fillId="0" borderId="123" xfId="3" applyNumberFormat="1" applyFont="1" applyBorder="1" applyAlignment="1">
      <alignment horizontal="center" vertical="center" shrinkToFit="1"/>
    </xf>
    <xf numFmtId="180" fontId="3" fillId="0" borderId="123" xfId="3" applyNumberFormat="1" applyFont="1" applyBorder="1" applyAlignment="1">
      <alignment horizontal="center" vertical="center" shrinkToFit="1"/>
    </xf>
    <xf numFmtId="180" fontId="3" fillId="0" borderId="187" xfId="3" applyNumberFormat="1" applyFont="1" applyBorder="1" applyAlignment="1">
      <alignment horizontal="center" vertical="center" shrinkToFit="1"/>
    </xf>
    <xf numFmtId="178" fontId="3" fillId="0" borderId="187" xfId="3" applyNumberFormat="1" applyFont="1" applyBorder="1" applyAlignment="1">
      <alignment horizontal="center" vertical="center" shrinkToFit="1"/>
    </xf>
    <xf numFmtId="180" fontId="54" fillId="0" borderId="66" xfId="3" applyNumberFormat="1" applyFont="1" applyBorder="1" applyAlignment="1">
      <alignment horizontal="center" vertical="center" shrinkToFit="1"/>
    </xf>
    <xf numFmtId="180" fontId="54" fillId="0" borderId="65" xfId="3" applyNumberFormat="1" applyFont="1" applyBorder="1" applyAlignment="1">
      <alignment horizontal="center" vertical="center" shrinkToFit="1"/>
    </xf>
    <xf numFmtId="180" fontId="54" fillId="0" borderId="111" xfId="3" applyNumberFormat="1" applyFont="1" applyBorder="1" applyAlignment="1">
      <alignment horizontal="center" vertical="center" shrinkToFit="1"/>
    </xf>
    <xf numFmtId="180" fontId="54" fillId="0" borderId="112" xfId="3" applyNumberFormat="1" applyFont="1" applyBorder="1" applyAlignment="1">
      <alignment horizontal="center" vertical="center" shrinkToFit="1"/>
    </xf>
    <xf numFmtId="178" fontId="54" fillId="0" borderId="66" xfId="3" applyNumberFormat="1" applyFont="1" applyBorder="1" applyAlignment="1">
      <alignment horizontal="center" vertical="center" shrinkToFit="1"/>
    </xf>
    <xf numFmtId="178" fontId="54" fillId="0" borderId="33" xfId="3" applyNumberFormat="1" applyFont="1" applyBorder="1" applyAlignment="1">
      <alignment horizontal="center" vertical="center" shrinkToFit="1"/>
    </xf>
    <xf numFmtId="180" fontId="3" fillId="0" borderId="111" xfId="3" applyNumberFormat="1" applyFont="1" applyBorder="1" applyAlignment="1">
      <alignment horizontal="center" vertical="center" shrinkToFit="1"/>
    </xf>
    <xf numFmtId="180" fontId="46" fillId="0" borderId="76" xfId="5" applyNumberFormat="1" applyFont="1" applyBorder="1" applyAlignment="1" applyProtection="1">
      <alignment horizontal="center" vertical="center"/>
      <protection locked="0"/>
    </xf>
    <xf numFmtId="0" fontId="54" fillId="0" borderId="63" xfId="0" applyNumberFormat="1" applyFont="1" applyBorder="1" applyAlignment="1">
      <alignment horizontal="center" vertical="center" shrinkToFit="1"/>
    </xf>
    <xf numFmtId="2" fontId="54" fillId="0" borderId="63" xfId="0" applyNumberFormat="1" applyFont="1" applyBorder="1" applyAlignment="1">
      <alignment horizontal="center" vertical="center" shrinkToFit="1"/>
    </xf>
    <xf numFmtId="40" fontId="54" fillId="0" borderId="51" xfId="0" applyNumberFormat="1" applyFont="1" applyBorder="1" applyAlignment="1">
      <alignment horizontal="center" vertical="center" shrinkToFit="1"/>
    </xf>
    <xf numFmtId="0" fontId="54" fillId="0" borderId="64" xfId="0" applyNumberFormat="1" applyFont="1" applyBorder="1" applyAlignment="1">
      <alignment horizontal="center" vertical="center" shrinkToFit="1"/>
    </xf>
    <xf numFmtId="0" fontId="54" fillId="0" borderId="31" xfId="0" applyNumberFormat="1" applyFont="1" applyBorder="1" applyAlignment="1">
      <alignment horizontal="center" vertical="center" shrinkToFit="1"/>
    </xf>
    <xf numFmtId="0" fontId="54" fillId="0" borderId="51" xfId="0" applyNumberFormat="1" applyFont="1" applyBorder="1" applyAlignment="1">
      <alignment horizontal="center" vertical="center" shrinkToFit="1"/>
    </xf>
    <xf numFmtId="40" fontId="54" fillId="0" borderId="63" xfId="0" applyNumberFormat="1" applyFont="1" applyBorder="1" applyAlignment="1">
      <alignment horizontal="center" vertical="center" shrinkToFit="1"/>
    </xf>
    <xf numFmtId="180" fontId="54" fillId="0" borderId="64" xfId="3" applyNumberFormat="1" applyFont="1" applyBorder="1" applyAlignment="1">
      <alignment horizontal="center" vertical="center" shrinkToFit="1"/>
    </xf>
    <xf numFmtId="0" fontId="54" fillId="0" borderId="63" xfId="3" applyFont="1" applyBorder="1" applyAlignment="1">
      <alignment horizontal="center" vertical="center" shrinkToFit="1"/>
    </xf>
    <xf numFmtId="180" fontId="54" fillId="0" borderId="31" xfId="3" applyNumberFormat="1" applyFont="1" applyBorder="1" applyAlignment="1">
      <alignment horizontal="center" vertical="center" shrinkToFit="1"/>
    </xf>
    <xf numFmtId="2" fontId="54" fillId="0" borderId="63" xfId="3" applyNumberFormat="1" applyFont="1" applyBorder="1" applyAlignment="1">
      <alignment horizontal="center" vertical="center" shrinkToFit="1"/>
    </xf>
    <xf numFmtId="0" fontId="54" fillId="0" borderId="64" xfId="3" applyFont="1" applyBorder="1" applyAlignment="1">
      <alignment horizontal="center" vertical="center" shrinkToFit="1"/>
    </xf>
    <xf numFmtId="0" fontId="54" fillId="0" borderId="31" xfId="3" applyFont="1" applyBorder="1" applyAlignment="1">
      <alignment horizontal="center" vertical="center" shrinkToFit="1"/>
    </xf>
    <xf numFmtId="0" fontId="54" fillId="0" borderId="51" xfId="3" applyFont="1" applyBorder="1" applyAlignment="1">
      <alignment horizontal="center" vertical="center" shrinkToFit="1"/>
    </xf>
    <xf numFmtId="2" fontId="54" fillId="0" borderId="51" xfId="3" applyNumberFormat="1" applyFont="1" applyBorder="1" applyAlignment="1">
      <alignment horizontal="center" vertical="center" shrinkToFit="1"/>
    </xf>
    <xf numFmtId="0" fontId="3" fillId="0" borderId="63" xfId="3" applyFont="1" applyBorder="1" applyAlignment="1">
      <alignment horizontal="center" vertical="center" shrinkToFit="1"/>
    </xf>
    <xf numFmtId="2" fontId="3" fillId="0" borderId="63" xfId="3" applyNumberFormat="1" applyFont="1" applyBorder="1" applyAlignment="1">
      <alignment horizontal="center" vertical="center" shrinkToFit="1"/>
    </xf>
    <xf numFmtId="0" fontId="3" fillId="0" borderId="64"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0" fontId="3" fillId="0" borderId="51" xfId="3" applyFont="1" applyBorder="1" applyAlignment="1">
      <alignment horizontal="center" vertical="center" shrinkToFit="1"/>
    </xf>
    <xf numFmtId="0" fontId="3" fillId="0" borderId="64" xfId="3" applyFont="1" applyBorder="1" applyAlignment="1">
      <alignment horizontal="center" vertical="center" shrinkToFit="1"/>
    </xf>
    <xf numFmtId="2" fontId="3" fillId="0" borderId="51" xfId="3" applyNumberFormat="1" applyFont="1" applyBorder="1" applyAlignment="1">
      <alignment horizontal="center" vertical="center" shrinkToFit="1"/>
    </xf>
    <xf numFmtId="0" fontId="54" fillId="0" borderId="65" xfId="0" applyNumberFormat="1" applyFont="1" applyBorder="1" applyAlignment="1">
      <alignment horizontal="center" vertical="center" shrinkToFit="1"/>
    </xf>
    <xf numFmtId="2" fontId="54" fillId="0" borderId="65" xfId="0" applyNumberFormat="1" applyFont="1" applyBorder="1" applyAlignment="1">
      <alignment horizontal="center" vertical="center" shrinkToFit="1"/>
    </xf>
    <xf numFmtId="40" fontId="54" fillId="0" borderId="67" xfId="0" applyNumberFormat="1" applyFont="1" applyBorder="1" applyAlignment="1">
      <alignment horizontal="center" vertical="center" shrinkToFit="1"/>
    </xf>
    <xf numFmtId="0" fontId="54" fillId="0" borderId="66" xfId="0" applyNumberFormat="1" applyFont="1" applyBorder="1" applyAlignment="1">
      <alignment horizontal="center" vertical="center" shrinkToFit="1"/>
    </xf>
    <xf numFmtId="0" fontId="54" fillId="0" borderId="33" xfId="0" applyNumberFormat="1" applyFont="1" applyBorder="1" applyAlignment="1">
      <alignment horizontal="center" vertical="center" shrinkToFit="1"/>
    </xf>
    <xf numFmtId="0" fontId="54" fillId="0" borderId="67" xfId="0" applyNumberFormat="1" applyFont="1" applyBorder="1" applyAlignment="1">
      <alignment horizontal="center" vertical="center" shrinkToFit="1"/>
    </xf>
    <xf numFmtId="40" fontId="54" fillId="0" borderId="65" xfId="0" applyNumberFormat="1" applyFont="1" applyBorder="1" applyAlignment="1">
      <alignment horizontal="center" vertical="center" shrinkToFit="1"/>
    </xf>
    <xf numFmtId="180" fontId="54" fillId="0" borderId="63" xfId="3" applyNumberFormat="1" applyFont="1" applyBorder="1" applyAlignment="1">
      <alignment horizontal="center" vertical="center" shrinkToFit="1"/>
    </xf>
    <xf numFmtId="180" fontId="3" fillId="0" borderId="75" xfId="5" applyNumberFormat="1" applyFont="1" applyBorder="1" applyAlignment="1" applyProtection="1">
      <alignment horizontal="center" vertical="center"/>
      <protection locked="0"/>
    </xf>
    <xf numFmtId="180" fontId="54" fillId="0" borderId="124" xfId="3" applyNumberFormat="1" applyFont="1" applyBorder="1" applyAlignment="1">
      <alignment horizontal="center" vertical="center" shrinkToFit="1"/>
    </xf>
    <xf numFmtId="2" fontId="54" fillId="0" borderId="51" xfId="0" applyNumberFormat="1" applyFont="1" applyBorder="1" applyAlignment="1">
      <alignment horizontal="center" vertical="center" shrinkToFit="1"/>
    </xf>
    <xf numFmtId="2" fontId="54" fillId="0" borderId="67" xfId="0" applyNumberFormat="1" applyFont="1" applyBorder="1" applyAlignment="1">
      <alignment horizontal="center" vertical="center" shrinkToFit="1"/>
    </xf>
    <xf numFmtId="178" fontId="54" fillId="0" borderId="125" xfId="3" applyNumberFormat="1" applyFont="1" applyBorder="1" applyAlignment="1">
      <alignment horizontal="center" vertical="center" shrinkToFit="1"/>
    </xf>
    <xf numFmtId="180" fontId="54" fillId="0" borderId="33" xfId="3" applyNumberFormat="1" applyFont="1" applyBorder="1" applyAlignment="1">
      <alignment horizontal="center" vertical="center" shrinkToFit="1"/>
    </xf>
    <xf numFmtId="181" fontId="3" fillId="0" borderId="123" xfId="3" applyNumberFormat="1" applyFont="1" applyBorder="1" applyAlignment="1">
      <alignment horizontal="center" vertical="center" shrinkToFit="1"/>
    </xf>
    <xf numFmtId="181" fontId="54" fillId="0" borderId="66" xfId="3" applyNumberFormat="1" applyFont="1" applyBorder="1" applyAlignment="1">
      <alignment horizontal="center" vertical="center" shrinkToFit="1"/>
    </xf>
    <xf numFmtId="180" fontId="3" fillId="0" borderId="78" xfId="5" applyNumberFormat="1" applyFont="1" applyBorder="1" applyAlignment="1" applyProtection="1">
      <alignment horizontal="center" vertical="center"/>
      <protection locked="0"/>
    </xf>
    <xf numFmtId="38" fontId="0" fillId="0" borderId="61" xfId="2" applyFont="1" applyFill="1" applyBorder="1" applyAlignment="1">
      <alignment horizontal="center" vertical="center"/>
    </xf>
    <xf numFmtId="180" fontId="0" fillId="0" borderId="76" xfId="0" applyBorder="1" applyAlignment="1">
      <alignment horizontal="center" vertical="center"/>
    </xf>
    <xf numFmtId="40" fontId="3" fillId="0" borderId="111" xfId="0" applyNumberFormat="1" applyFont="1" applyBorder="1" applyAlignment="1">
      <alignment horizontal="center" vertical="center"/>
    </xf>
    <xf numFmtId="40" fontId="3" fillId="0" borderId="66" xfId="0" applyNumberFormat="1" applyFont="1" applyBorder="1" applyAlignment="1">
      <alignment horizontal="center" vertical="center"/>
    </xf>
    <xf numFmtId="180" fontId="0" fillId="0" borderId="79" xfId="0" applyBorder="1" applyAlignment="1">
      <alignment horizontal="center" vertical="center"/>
    </xf>
    <xf numFmtId="184" fontId="3" fillId="0" borderId="64" xfId="0" applyNumberFormat="1" applyFont="1" applyBorder="1" applyAlignment="1">
      <alignment horizontal="center" vertical="center"/>
    </xf>
    <xf numFmtId="38" fontId="3" fillId="0" borderId="25" xfId="0" applyNumberFormat="1" applyFont="1" applyBorder="1" applyAlignment="1">
      <alignment horizontal="center" vertical="center"/>
    </xf>
    <xf numFmtId="184" fontId="3" fillId="0" borderId="66" xfId="0" applyNumberFormat="1" applyFont="1" applyBorder="1" applyAlignment="1">
      <alignment horizontal="center" vertical="center"/>
    </xf>
    <xf numFmtId="184" fontId="3" fillId="0" borderId="17" xfId="0" applyNumberFormat="1" applyFont="1" applyBorder="1" applyAlignment="1">
      <alignment horizontal="center" vertical="center"/>
    </xf>
    <xf numFmtId="38" fontId="0" fillId="0" borderId="14" xfId="2" applyFont="1" applyFill="1" applyBorder="1" applyAlignment="1">
      <alignment horizontal="center" vertical="center"/>
    </xf>
    <xf numFmtId="38" fontId="0" fillId="0" borderId="25" xfId="2" applyFont="1" applyFill="1" applyBorder="1" applyAlignment="1">
      <alignment horizontal="center" vertical="center"/>
    </xf>
    <xf numFmtId="38" fontId="0" fillId="0" borderId="17" xfId="2" applyFont="1" applyFill="1" applyBorder="1" applyAlignment="1">
      <alignment horizontal="center" vertical="center"/>
    </xf>
    <xf numFmtId="200" fontId="0" fillId="0" borderId="60" xfId="2" applyNumberFormat="1" applyFont="1" applyFill="1" applyBorder="1">
      <alignment vertical="center"/>
    </xf>
    <xf numFmtId="214" fontId="0" fillId="0" borderId="60" xfId="2" applyNumberFormat="1" applyFont="1" applyFill="1" applyBorder="1">
      <alignment vertical="center"/>
    </xf>
    <xf numFmtId="188" fontId="0" fillId="0" borderId="60" xfId="2" applyNumberFormat="1" applyFont="1" applyFill="1" applyBorder="1">
      <alignment vertical="center"/>
    </xf>
    <xf numFmtId="188" fontId="54" fillId="0" borderId="60" xfId="2" applyNumberFormat="1" applyFont="1" applyFill="1" applyBorder="1">
      <alignment vertical="center"/>
    </xf>
    <xf numFmtId="188" fontId="0" fillId="0" borderId="50" xfId="2" applyNumberFormat="1" applyFont="1" applyFill="1" applyBorder="1">
      <alignment vertical="center"/>
    </xf>
    <xf numFmtId="200" fontId="0" fillId="0" borderId="63" xfId="2" applyNumberFormat="1" applyFont="1" applyFill="1" applyBorder="1">
      <alignment vertical="center"/>
    </xf>
    <xf numFmtId="214" fontId="0" fillId="0" borderId="63" xfId="2" applyNumberFormat="1" applyFont="1" applyFill="1" applyBorder="1">
      <alignment vertical="center"/>
    </xf>
    <xf numFmtId="188" fontId="0" fillId="0" borderId="63" xfId="2" applyNumberFormat="1" applyFont="1" applyFill="1" applyBorder="1">
      <alignment vertical="center"/>
    </xf>
    <xf numFmtId="188" fontId="54" fillId="0" borderId="63" xfId="2" applyNumberFormat="1" applyFont="1" applyFill="1" applyBorder="1">
      <alignment vertical="center"/>
    </xf>
    <xf numFmtId="188" fontId="0" fillId="0" borderId="51" xfId="2" applyNumberFormat="1" applyFont="1" applyFill="1" applyBorder="1">
      <alignment vertical="center"/>
    </xf>
    <xf numFmtId="200" fontId="0" fillId="0" borderId="65" xfId="2" applyNumberFormat="1" applyFont="1" applyFill="1" applyBorder="1">
      <alignment vertical="center"/>
    </xf>
    <xf numFmtId="214" fontId="0" fillId="0" borderId="65" xfId="2" applyNumberFormat="1" applyFont="1" applyFill="1" applyBorder="1">
      <alignment vertical="center"/>
    </xf>
    <xf numFmtId="188" fontId="0" fillId="0" borderId="65" xfId="2" applyNumberFormat="1" applyFont="1" applyFill="1" applyBorder="1">
      <alignment vertical="center"/>
    </xf>
    <xf numFmtId="188" fontId="54" fillId="0" borderId="65" xfId="2" applyNumberFormat="1" applyFont="1" applyFill="1" applyBorder="1">
      <alignment vertical="center"/>
    </xf>
    <xf numFmtId="188" fontId="0" fillId="0" borderId="67" xfId="2" applyNumberFormat="1" applyFont="1" applyFill="1" applyBorder="1">
      <alignment vertical="center"/>
    </xf>
    <xf numFmtId="0" fontId="5" fillId="0" borderId="166" xfId="11" applyBorder="1">
      <alignment vertical="center"/>
    </xf>
    <xf numFmtId="38" fontId="0" fillId="0" borderId="105" xfId="2" applyFont="1" applyFill="1" applyBorder="1">
      <alignment vertical="center"/>
    </xf>
    <xf numFmtId="38" fontId="0" fillId="0" borderId="106" xfId="2" applyFont="1" applyFill="1" applyBorder="1">
      <alignment vertical="center"/>
    </xf>
    <xf numFmtId="0" fontId="3" fillId="0" borderId="3" xfId="0" applyNumberFormat="1" applyFont="1" applyBorder="1" applyAlignment="1">
      <alignment horizontal="right" vertical="center"/>
    </xf>
    <xf numFmtId="198" fontId="0" fillId="0" borderId="4" xfId="0" applyNumberFormat="1" applyBorder="1" applyAlignment="1">
      <alignment horizontal="left" vertical="center"/>
    </xf>
    <xf numFmtId="38" fontId="0" fillId="0" borderId="107" xfId="2" applyFont="1" applyFill="1" applyBorder="1" applyAlignment="1">
      <alignment vertical="center" shrinkToFit="1"/>
    </xf>
    <xf numFmtId="198" fontId="3" fillId="0" borderId="4" xfId="0" applyNumberFormat="1" applyFont="1" applyBorder="1" applyAlignment="1">
      <alignment horizontal="left" vertical="center"/>
    </xf>
    <xf numFmtId="38" fontId="14" fillId="0" borderId="15" xfId="2" applyFont="1" applyFill="1" applyBorder="1">
      <alignment vertical="center"/>
    </xf>
    <xf numFmtId="38" fontId="14" fillId="0" borderId="27" xfId="2" applyFont="1" applyFill="1" applyBorder="1">
      <alignment vertical="center"/>
    </xf>
    <xf numFmtId="0" fontId="14" fillId="0" borderId="61" xfId="5" applyFont="1" applyBorder="1" applyAlignment="1">
      <alignment horizontal="center" vertical="center" shrinkToFit="1"/>
    </xf>
    <xf numFmtId="40" fontId="14" fillId="0" borderId="66" xfId="8" applyNumberFormat="1" applyFont="1" applyBorder="1" applyAlignment="1">
      <alignment horizontal="center" vertical="center" shrinkToFit="1"/>
    </xf>
    <xf numFmtId="40" fontId="14" fillId="0" borderId="65" xfId="8" applyNumberFormat="1" applyFont="1" applyBorder="1" applyAlignment="1">
      <alignment horizontal="center" vertical="center" shrinkToFit="1"/>
    </xf>
    <xf numFmtId="0" fontId="14" fillId="0" borderId="103" xfId="5" applyFont="1" applyBorder="1" applyAlignment="1">
      <alignment horizontal="center" vertical="center" shrinkToFit="1"/>
    </xf>
    <xf numFmtId="0" fontId="14" fillId="0" borderId="109" xfId="5" applyFont="1" applyBorder="1" applyAlignment="1">
      <alignment horizontal="center" vertical="center" shrinkToFit="1"/>
    </xf>
    <xf numFmtId="230" fontId="14" fillId="0" borderId="61" xfId="5" applyNumberFormat="1" applyFont="1" applyBorder="1" applyAlignment="1">
      <alignment horizontal="center" vertical="center" shrinkToFit="1"/>
    </xf>
    <xf numFmtId="230" fontId="14" fillId="0" borderId="60" xfId="5" applyNumberFormat="1" applyFont="1" applyBorder="1" applyAlignment="1">
      <alignment horizontal="center" vertical="center" shrinkToFit="1"/>
    </xf>
    <xf numFmtId="205" fontId="14" fillId="0" borderId="61" xfId="5" applyNumberFormat="1" applyFont="1" applyBorder="1" applyAlignment="1">
      <alignment horizontal="center" vertical="center" shrinkToFit="1"/>
    </xf>
    <xf numFmtId="205" fontId="14" fillId="0" borderId="60" xfId="5" applyNumberFormat="1" applyFont="1" applyBorder="1" applyAlignment="1">
      <alignment horizontal="center" vertical="center" shrinkToFit="1"/>
    </xf>
    <xf numFmtId="186" fontId="14" fillId="0" borderId="61" xfId="5" applyNumberFormat="1" applyFont="1" applyBorder="1" applyAlignment="1">
      <alignment horizontal="center" vertical="center" shrinkToFit="1"/>
    </xf>
    <xf numFmtId="186" fontId="14" fillId="0" borderId="60" xfId="5" applyNumberFormat="1" applyFont="1" applyBorder="1" applyAlignment="1">
      <alignment horizontal="center" vertical="center" shrinkToFit="1"/>
    </xf>
    <xf numFmtId="0" fontId="14" fillId="0" borderId="64" xfId="5" applyFont="1" applyBorder="1" applyAlignment="1">
      <alignment horizontal="center" vertical="center" shrinkToFit="1"/>
    </xf>
    <xf numFmtId="0" fontId="14" fillId="0" borderId="63" xfId="5" applyFont="1" applyBorder="1" applyAlignment="1">
      <alignment horizontal="center" vertical="center" shrinkToFit="1"/>
    </xf>
    <xf numFmtId="191" fontId="14" fillId="10" borderId="78" xfId="0" applyNumberFormat="1" applyFont="1" applyFill="1" applyBorder="1" applyAlignment="1">
      <alignment horizontal="center" vertical="center" shrinkToFit="1"/>
    </xf>
    <xf numFmtId="180" fontId="0" fillId="0" borderId="20" xfId="0" applyBorder="1" applyAlignment="1">
      <alignment horizontal="center" vertical="center"/>
    </xf>
    <xf numFmtId="180" fontId="24" fillId="0" borderId="38" xfId="0" applyFont="1" applyBorder="1">
      <alignment vertical="center"/>
    </xf>
    <xf numFmtId="38" fontId="0" fillId="0" borderId="203" xfId="2" applyFont="1" applyFill="1" applyBorder="1" applyAlignment="1">
      <alignment horizontal="center" vertical="center"/>
    </xf>
    <xf numFmtId="38" fontId="54" fillId="0" borderId="206" xfId="2" applyFont="1" applyFill="1" applyBorder="1" applyAlignment="1">
      <alignment horizontal="center" vertical="center"/>
    </xf>
    <xf numFmtId="40" fontId="54" fillId="0" borderId="208" xfId="0" applyNumberFormat="1" applyFont="1" applyBorder="1" applyAlignment="1">
      <alignment horizontal="center" vertical="center"/>
    </xf>
    <xf numFmtId="38" fontId="54" fillId="0" borderId="209" xfId="2" applyFont="1" applyFill="1" applyBorder="1" applyAlignment="1">
      <alignment horizontal="center" vertical="center"/>
    </xf>
    <xf numFmtId="40" fontId="54" fillId="0" borderId="211" xfId="0" applyNumberFormat="1" applyFont="1" applyBorder="1" applyAlignment="1">
      <alignment horizontal="center" vertical="center"/>
    </xf>
    <xf numFmtId="184" fontId="3" fillId="0" borderId="205" xfId="0" applyNumberFormat="1" applyFont="1" applyBorder="1" applyAlignment="1">
      <alignment horizontal="center" vertical="center"/>
    </xf>
    <xf numFmtId="40" fontId="0" fillId="0" borderId="212" xfId="0" applyNumberFormat="1" applyBorder="1" applyAlignment="1">
      <alignment horizontal="center" vertical="center"/>
    </xf>
    <xf numFmtId="40" fontId="54" fillId="0" borderId="213" xfId="0" applyNumberFormat="1" applyFont="1" applyBorder="1" applyAlignment="1">
      <alignment horizontal="center" vertical="center"/>
    </xf>
    <xf numFmtId="40" fontId="54" fillId="0" borderId="214" xfId="0" applyNumberFormat="1" applyFont="1" applyBorder="1" applyAlignment="1">
      <alignment horizontal="center" vertical="center"/>
    </xf>
    <xf numFmtId="184" fontId="3" fillId="0" borderId="215" xfId="0" applyNumberFormat="1" applyFont="1" applyBorder="1" applyAlignment="1">
      <alignment horizontal="center" vertical="center"/>
    </xf>
    <xf numFmtId="40" fontId="54" fillId="0" borderId="216" xfId="0" applyNumberFormat="1" applyFont="1" applyBorder="1" applyAlignment="1">
      <alignment horizontal="center" vertical="center"/>
    </xf>
    <xf numFmtId="40" fontId="54" fillId="0" borderId="217" xfId="0" applyNumberFormat="1" applyFont="1" applyBorder="1" applyAlignment="1">
      <alignment horizontal="center" vertical="center"/>
    </xf>
    <xf numFmtId="40" fontId="0" fillId="0" borderId="205" xfId="0" applyNumberFormat="1" applyBorder="1" applyAlignment="1">
      <alignment horizontal="center" vertical="center"/>
    </xf>
    <xf numFmtId="180" fontId="0" fillId="0" borderId="218" xfId="0" applyBorder="1">
      <alignment vertical="center"/>
    </xf>
    <xf numFmtId="180" fontId="0" fillId="0" borderId="219" xfId="0" applyBorder="1">
      <alignment vertical="center"/>
    </xf>
    <xf numFmtId="180" fontId="54" fillId="0" borderId="219" xfId="3" applyNumberFormat="1" applyFont="1" applyBorder="1" applyAlignment="1">
      <alignment vertical="center" shrinkToFit="1"/>
    </xf>
    <xf numFmtId="180" fontId="54" fillId="0" borderId="220" xfId="3" applyNumberFormat="1" applyFont="1" applyBorder="1" applyAlignment="1">
      <alignment vertical="center" shrinkToFit="1"/>
    </xf>
    <xf numFmtId="180" fontId="0" fillId="0" borderId="221" xfId="0" applyBorder="1">
      <alignment vertical="center"/>
    </xf>
    <xf numFmtId="180" fontId="0" fillId="0" borderId="222" xfId="0" applyBorder="1">
      <alignment vertical="center"/>
    </xf>
    <xf numFmtId="180" fontId="54" fillId="0" borderId="222" xfId="3" applyNumberFormat="1" applyFont="1" applyBorder="1" applyAlignment="1">
      <alignment vertical="center" shrinkToFit="1"/>
    </xf>
    <xf numFmtId="180" fontId="54" fillId="0" borderId="223" xfId="3" applyNumberFormat="1" applyFont="1" applyBorder="1" applyAlignment="1">
      <alignment vertical="center" shrinkToFit="1"/>
    </xf>
    <xf numFmtId="180" fontId="0" fillId="0" borderId="224" xfId="0" applyBorder="1">
      <alignment vertical="center"/>
    </xf>
    <xf numFmtId="180" fontId="0" fillId="0" borderId="225" xfId="0" applyBorder="1">
      <alignment vertical="center"/>
    </xf>
    <xf numFmtId="180" fontId="54" fillId="0" borderId="225" xfId="3" applyNumberFormat="1" applyFont="1" applyBorder="1" applyAlignment="1">
      <alignment vertical="center" shrinkToFit="1"/>
    </xf>
    <xf numFmtId="180" fontId="54" fillId="0" borderId="226" xfId="3" applyNumberFormat="1" applyFont="1" applyBorder="1" applyAlignment="1">
      <alignment vertical="center" shrinkToFit="1"/>
    </xf>
    <xf numFmtId="189" fontId="0" fillId="0" borderId="203" xfId="2" applyNumberFormat="1" applyFont="1" applyFill="1" applyBorder="1" applyAlignment="1">
      <alignment horizontal="center" vertical="center"/>
    </xf>
    <xf numFmtId="185" fontId="3" fillId="0" borderId="205" xfId="0" applyNumberFormat="1" applyFont="1" applyBorder="1" applyAlignment="1">
      <alignment horizontal="center" vertical="center"/>
    </xf>
    <xf numFmtId="189" fontId="0" fillId="0" borderId="206" xfId="2" applyNumberFormat="1" applyFont="1" applyFill="1" applyBorder="1" applyAlignment="1">
      <alignment horizontal="center" vertical="center"/>
    </xf>
    <xf numFmtId="40" fontId="0" fillId="0" borderId="208" xfId="0" applyNumberFormat="1" applyBorder="1" applyAlignment="1">
      <alignment horizontal="center" vertical="center"/>
    </xf>
    <xf numFmtId="189" fontId="54" fillId="0" borderId="206" xfId="2" applyNumberFormat="1" applyFont="1" applyFill="1" applyBorder="1" applyAlignment="1">
      <alignment horizontal="center" vertical="center"/>
    </xf>
    <xf numFmtId="189" fontId="54" fillId="0" borderId="209" xfId="2" applyNumberFormat="1" applyFont="1" applyFill="1" applyBorder="1" applyAlignment="1">
      <alignment horizontal="center" vertical="center"/>
    </xf>
    <xf numFmtId="185" fontId="3" fillId="0" borderId="208" xfId="0" applyNumberFormat="1" applyFont="1" applyBorder="1" applyAlignment="1">
      <alignment horizontal="center" vertical="center"/>
    </xf>
    <xf numFmtId="185" fontId="54" fillId="0" borderId="208" xfId="0" applyNumberFormat="1" applyFont="1" applyBorder="1" applyAlignment="1">
      <alignment horizontal="center" vertical="center"/>
    </xf>
    <xf numFmtId="185" fontId="54" fillId="0" borderId="211" xfId="0" applyNumberFormat="1" applyFont="1" applyBorder="1" applyAlignment="1">
      <alignment horizontal="center" vertical="center"/>
    </xf>
    <xf numFmtId="181" fontId="3" fillId="0" borderId="203" xfId="3" applyNumberFormat="1" applyFont="1" applyBorder="1" applyAlignment="1">
      <alignment horizontal="center" vertical="center" shrinkToFit="1"/>
    </xf>
    <xf numFmtId="178" fontId="3" fillId="0" borderId="205" xfId="3" applyNumberFormat="1" applyFont="1" applyBorder="1" applyAlignment="1">
      <alignment horizontal="center" vertical="center" shrinkToFit="1"/>
    </xf>
    <xf numFmtId="181" fontId="3" fillId="0" borderId="215" xfId="3" applyNumberFormat="1" applyFont="1" applyBorder="1" applyAlignment="1">
      <alignment horizontal="center" vertical="center" shrinkToFit="1"/>
    </xf>
    <xf numFmtId="189" fontId="54" fillId="0" borderId="216" xfId="2" applyNumberFormat="1" applyFont="1" applyFill="1" applyBorder="1" applyAlignment="1">
      <alignment horizontal="center" vertical="center"/>
    </xf>
    <xf numFmtId="189" fontId="54" fillId="0" borderId="217" xfId="2" applyNumberFormat="1" applyFont="1" applyFill="1" applyBorder="1" applyAlignment="1">
      <alignment horizontal="center" vertical="center"/>
    </xf>
    <xf numFmtId="0" fontId="3" fillId="0" borderId="35" xfId="3" applyFont="1" applyBorder="1" applyAlignment="1">
      <alignment horizontal="center" vertical="center"/>
    </xf>
    <xf numFmtId="180" fontId="0" fillId="0" borderId="35" xfId="5" applyNumberFormat="1" applyFont="1" applyBorder="1" applyAlignment="1" applyProtection="1">
      <alignment horizontal="center" vertical="center" shrinkToFit="1"/>
      <protection locked="0"/>
    </xf>
    <xf numFmtId="178" fontId="3" fillId="0" borderId="29" xfId="3" applyNumberFormat="1" applyFont="1" applyBorder="1" applyAlignment="1">
      <alignment horizontal="centerContinuous" vertical="center"/>
    </xf>
    <xf numFmtId="178" fontId="3" fillId="0" borderId="60" xfId="3" applyNumberFormat="1" applyFont="1" applyBorder="1" applyAlignment="1">
      <alignment horizontal="centerContinuous" vertical="center"/>
    </xf>
    <xf numFmtId="178" fontId="3" fillId="0" borderId="50" xfId="3" applyNumberFormat="1" applyFont="1" applyBorder="1" applyAlignment="1">
      <alignment horizontal="centerContinuous" vertical="center"/>
    </xf>
    <xf numFmtId="180" fontId="3" fillId="0" borderId="61" xfId="3" applyNumberFormat="1" applyFont="1" applyBorder="1" applyAlignment="1">
      <alignment horizontal="centerContinuous" vertical="center"/>
    </xf>
    <xf numFmtId="180" fontId="3" fillId="0" borderId="60" xfId="3" applyNumberFormat="1" applyFont="1" applyBorder="1" applyAlignment="1">
      <alignment horizontal="centerContinuous" vertical="center"/>
    </xf>
    <xf numFmtId="0" fontId="3" fillId="0" borderId="60" xfId="3" applyFont="1" applyBorder="1" applyAlignment="1">
      <alignment horizontal="centerContinuous" vertical="center"/>
    </xf>
    <xf numFmtId="0" fontId="3" fillId="0" borderId="50" xfId="3" applyFont="1" applyBorder="1" applyAlignment="1">
      <alignment horizontal="centerContinuous" vertical="center"/>
    </xf>
    <xf numFmtId="0" fontId="3" fillId="0" borderId="52" xfId="3" applyFont="1" applyBorder="1" applyAlignment="1">
      <alignment horizontal="center" vertical="center"/>
    </xf>
    <xf numFmtId="0" fontId="22" fillId="0" borderId="52" xfId="5" applyFont="1" applyBorder="1" applyAlignment="1" applyProtection="1">
      <alignment horizontal="center" vertical="center" shrinkToFit="1"/>
      <protection locked="0"/>
    </xf>
    <xf numFmtId="178" fontId="3" fillId="0" borderId="33" xfId="3" applyNumberFormat="1" applyFont="1" applyBorder="1" applyAlignment="1">
      <alignment horizontal="centerContinuous" vertical="center"/>
    </xf>
    <xf numFmtId="178" fontId="3" fillId="0" borderId="65" xfId="3" applyNumberFormat="1" applyFont="1" applyBorder="1" applyAlignment="1">
      <alignment horizontal="centerContinuous" vertical="center"/>
    </xf>
    <xf numFmtId="178" fontId="3" fillId="0" borderId="67" xfId="3" applyNumberFormat="1" applyFont="1" applyBorder="1" applyAlignment="1">
      <alignment horizontal="centerContinuous" vertical="center"/>
    </xf>
    <xf numFmtId="178" fontId="3" fillId="0" borderId="66" xfId="3" applyNumberFormat="1" applyFont="1" applyBorder="1" applyAlignment="1">
      <alignment horizontal="centerContinuous" vertical="center"/>
    </xf>
    <xf numFmtId="0" fontId="54" fillId="0" borderId="78" xfId="3" applyFont="1" applyBorder="1" applyAlignment="1">
      <alignment horizontal="center" vertical="center"/>
    </xf>
    <xf numFmtId="0" fontId="54" fillId="0" borderId="76" xfId="3" applyFont="1" applyBorder="1" applyAlignment="1">
      <alignment horizontal="center" vertical="center"/>
    </xf>
    <xf numFmtId="0" fontId="54" fillId="0" borderId="77" xfId="3" applyFont="1" applyBorder="1" applyAlignment="1">
      <alignment horizontal="center" vertical="center"/>
    </xf>
    <xf numFmtId="184" fontId="3" fillId="0" borderId="29" xfId="0" applyNumberFormat="1" applyFont="1" applyBorder="1" applyAlignment="1">
      <alignment horizontal="center" vertical="center"/>
    </xf>
    <xf numFmtId="38" fontId="0" fillId="0" borderId="14" xfId="0" applyNumberFormat="1" applyBorder="1" applyAlignment="1">
      <alignment horizontal="center" vertical="center"/>
    </xf>
    <xf numFmtId="38" fontId="3" fillId="0" borderId="61" xfId="0" applyNumberFormat="1" applyFont="1" applyBorder="1" applyAlignment="1">
      <alignment horizontal="center" vertical="center"/>
    </xf>
    <xf numFmtId="184" fontId="3" fillId="0" borderId="14" xfId="0" applyNumberFormat="1" applyFont="1" applyBorder="1" applyAlignment="1">
      <alignment horizontal="center" vertical="center"/>
    </xf>
    <xf numFmtId="184" fontId="3" fillId="0" borderId="33" xfId="0" applyNumberFormat="1" applyFont="1" applyBorder="1" applyAlignment="1">
      <alignment horizontal="center" vertical="center"/>
    </xf>
    <xf numFmtId="40" fontId="0" fillId="0" borderId="34" xfId="0" applyNumberFormat="1" applyBorder="1" applyAlignment="1">
      <alignment horizontal="centerContinuous" vertical="center" shrinkToFit="1"/>
    </xf>
    <xf numFmtId="186" fontId="0" fillId="0" borderId="204" xfId="0" applyNumberFormat="1" applyBorder="1" applyAlignment="1">
      <alignment horizontal="centerContinuous" vertical="center"/>
    </xf>
    <xf numFmtId="186" fontId="0" fillId="0" borderId="207" xfId="0" applyNumberFormat="1" applyBorder="1" applyAlignment="1">
      <alignment horizontal="centerContinuous" vertical="center"/>
    </xf>
    <xf numFmtId="186" fontId="3" fillId="0" borderId="203" xfId="0" applyNumberFormat="1" applyFont="1" applyBorder="1" applyAlignment="1">
      <alignment horizontal="centerContinuous" vertical="center"/>
    </xf>
    <xf numFmtId="189" fontId="3" fillId="0" borderId="203" xfId="0" applyNumberFormat="1" applyFont="1" applyBorder="1" applyAlignment="1">
      <alignment horizontal="centerContinuous" vertical="center"/>
    </xf>
    <xf numFmtId="0" fontId="0" fillId="0" borderId="204" xfId="0" applyNumberFormat="1" applyBorder="1" applyAlignment="1">
      <alignment horizontal="centerContinuous" vertical="center"/>
    </xf>
    <xf numFmtId="40" fontId="0" fillId="0" borderId="204" xfId="0" applyNumberFormat="1" applyBorder="1" applyAlignment="1">
      <alignment horizontal="centerContinuous" vertical="center"/>
    </xf>
    <xf numFmtId="180" fontId="0" fillId="0" borderId="205" xfId="0" applyBorder="1" applyAlignment="1">
      <alignment horizontal="centerContinuous" vertical="center"/>
    </xf>
    <xf numFmtId="186" fontId="3" fillId="0" borderId="206" xfId="0" applyNumberFormat="1" applyFont="1" applyBorder="1" applyAlignment="1">
      <alignment horizontal="centerContinuous" vertical="center"/>
    </xf>
    <xf numFmtId="189" fontId="3" fillId="0" borderId="206" xfId="0" applyNumberFormat="1" applyFont="1" applyBorder="1" applyAlignment="1">
      <alignment horizontal="centerContinuous" vertical="center"/>
    </xf>
    <xf numFmtId="40" fontId="0" fillId="0" borderId="207" xfId="0" applyNumberFormat="1" applyBorder="1" applyAlignment="1">
      <alignment horizontal="centerContinuous" vertical="center"/>
    </xf>
    <xf numFmtId="180" fontId="0" fillId="0" borderId="208" xfId="0" applyBorder="1" applyAlignment="1">
      <alignment horizontal="centerContinuous" vertical="center"/>
    </xf>
    <xf numFmtId="186" fontId="3" fillId="0" borderId="209" xfId="0" applyNumberFormat="1" applyFont="1" applyBorder="1" applyAlignment="1">
      <alignment horizontal="centerContinuous" vertical="center"/>
    </xf>
    <xf numFmtId="186" fontId="0" fillId="0" borderId="210" xfId="0" applyNumberFormat="1" applyBorder="1" applyAlignment="1">
      <alignment horizontal="centerContinuous" vertical="center"/>
    </xf>
    <xf numFmtId="40" fontId="0" fillId="0" borderId="210" xfId="0" applyNumberFormat="1" applyBorder="1" applyAlignment="1">
      <alignment horizontal="centerContinuous" vertical="center"/>
    </xf>
    <xf numFmtId="180" fontId="0" fillId="0" borderId="203" xfId="0" applyBorder="1" applyAlignment="1">
      <alignment horizontal="centerContinuous" vertical="center"/>
    </xf>
    <xf numFmtId="180" fontId="0" fillId="0" borderId="204" xfId="0" applyBorder="1" applyAlignment="1">
      <alignment horizontal="centerContinuous" vertical="center"/>
    </xf>
    <xf numFmtId="180" fontId="0" fillId="0" borderId="206" xfId="0" applyBorder="1" applyAlignment="1">
      <alignment horizontal="centerContinuous" vertical="center"/>
    </xf>
    <xf numFmtId="180" fontId="0" fillId="0" borderId="207" xfId="0" applyBorder="1" applyAlignment="1">
      <alignment horizontal="centerContinuous" vertical="center"/>
    </xf>
    <xf numFmtId="180" fontId="0" fillId="0" borderId="209" xfId="0" applyBorder="1" applyAlignment="1">
      <alignment horizontal="centerContinuous" vertical="center"/>
    </xf>
    <xf numFmtId="180" fontId="0" fillId="0" borderId="210" xfId="0" applyBorder="1" applyAlignment="1">
      <alignment horizontal="centerContinuous" vertical="center"/>
    </xf>
    <xf numFmtId="180" fontId="0" fillId="0" borderId="211" xfId="0" applyBorder="1" applyAlignment="1">
      <alignment horizontal="centerContinuous" vertical="center"/>
    </xf>
    <xf numFmtId="180" fontId="3" fillId="0" borderId="13" xfId="0" applyFont="1" applyBorder="1" applyAlignment="1">
      <alignment horizontal="centerContinuous" vertical="center"/>
    </xf>
    <xf numFmtId="191" fontId="14" fillId="0" borderId="78" xfId="0" applyNumberFormat="1" applyFont="1" applyBorder="1" applyAlignment="1">
      <alignment horizontal="center" vertical="center" shrinkToFit="1"/>
    </xf>
    <xf numFmtId="233" fontId="59" fillId="0" borderId="0" xfId="0" applyNumberFormat="1" applyFont="1" applyAlignment="1">
      <alignment vertical="center" shrinkToFit="1"/>
    </xf>
    <xf numFmtId="180" fontId="9" fillId="16" borderId="0" xfId="0" applyFont="1" applyFill="1">
      <alignment vertical="center"/>
    </xf>
    <xf numFmtId="180" fontId="0" fillId="16" borderId="0" xfId="0" applyFill="1">
      <alignment vertical="center"/>
    </xf>
    <xf numFmtId="180" fontId="9" fillId="16" borderId="1" xfId="0" applyFont="1" applyFill="1" applyBorder="1" applyAlignment="1">
      <alignment horizontal="centerContinuous" vertical="center" shrinkToFit="1"/>
    </xf>
    <xf numFmtId="180" fontId="9" fillId="16" borderId="2" xfId="0" applyFont="1" applyFill="1" applyBorder="1" applyAlignment="1">
      <alignment horizontal="centerContinuous" vertical="center" shrinkToFit="1"/>
    </xf>
    <xf numFmtId="180" fontId="9" fillId="16" borderId="3" xfId="0" applyFont="1" applyFill="1" applyBorder="1" applyAlignment="1">
      <alignment horizontal="centerContinuous" vertical="center" shrinkToFit="1"/>
    </xf>
    <xf numFmtId="180" fontId="9" fillId="16" borderId="4" xfId="0" applyFont="1" applyFill="1" applyBorder="1" applyAlignment="1">
      <alignment horizontal="centerContinuous" vertical="center" shrinkToFit="1"/>
    </xf>
    <xf numFmtId="180" fontId="9" fillId="16" borderId="7" xfId="0" applyFont="1" applyFill="1" applyBorder="1" applyAlignment="1">
      <alignment horizontal="centerContinuous" vertical="center" shrinkToFit="1"/>
    </xf>
    <xf numFmtId="180" fontId="9" fillId="16" borderId="8" xfId="0" applyFont="1" applyFill="1" applyBorder="1" applyAlignment="1">
      <alignment horizontal="centerContinuous" vertical="center" shrinkToFit="1"/>
    </xf>
    <xf numFmtId="180" fontId="10" fillId="16" borderId="4" xfId="0" applyFont="1" applyFill="1" applyBorder="1" applyAlignment="1">
      <alignment horizontal="centerContinuous" vertical="center"/>
    </xf>
    <xf numFmtId="180" fontId="10" fillId="16" borderId="4" xfId="0" applyFont="1" applyFill="1" applyBorder="1" applyAlignment="1">
      <alignment horizontal="center" vertical="center" shrinkToFit="1"/>
    </xf>
    <xf numFmtId="180" fontId="10" fillId="16" borderId="6" xfId="0" applyFont="1" applyFill="1" applyBorder="1" applyAlignment="1">
      <alignment horizontal="centerContinuous" vertical="center"/>
    </xf>
    <xf numFmtId="180" fontId="10" fillId="16" borderId="5" xfId="0" applyFont="1" applyFill="1" applyBorder="1" applyAlignment="1">
      <alignment horizontal="centerContinuous" vertical="center"/>
    </xf>
    <xf numFmtId="180" fontId="13" fillId="16" borderId="9" xfId="0" applyFont="1" applyFill="1" applyBorder="1" applyAlignment="1">
      <alignment horizontal="centerContinuous" vertical="center"/>
    </xf>
    <xf numFmtId="180" fontId="0" fillId="16" borderId="10" xfId="0" applyFill="1" applyBorder="1" applyAlignment="1">
      <alignment horizontal="centerContinuous" vertical="center"/>
    </xf>
    <xf numFmtId="180" fontId="0" fillId="16" borderId="11" xfId="0" applyFill="1" applyBorder="1" applyAlignment="1">
      <alignment horizontal="centerContinuous" vertical="center"/>
    </xf>
    <xf numFmtId="180" fontId="0" fillId="16" borderId="12" xfId="0" applyFill="1" applyBorder="1" applyAlignment="1">
      <alignment horizontal="centerContinuous" vertical="center"/>
    </xf>
    <xf numFmtId="180" fontId="13" fillId="16" borderId="13" xfId="0" applyFont="1" applyFill="1" applyBorder="1" applyAlignment="1">
      <alignment horizontal="centerContinuous" vertical="center"/>
    </xf>
    <xf numFmtId="180" fontId="13" fillId="16" borderId="14" xfId="0" applyFont="1" applyFill="1" applyBorder="1" applyAlignment="1">
      <alignment horizontal="centerContinuous" vertical="center"/>
    </xf>
    <xf numFmtId="180" fontId="0" fillId="16" borderId="13" xfId="0" applyFill="1" applyBorder="1" applyAlignment="1">
      <alignment horizontal="centerContinuous" vertical="center"/>
    </xf>
    <xf numFmtId="180" fontId="0" fillId="16" borderId="15" xfId="0" applyFill="1" applyBorder="1" applyAlignment="1">
      <alignment horizontal="centerContinuous" vertical="center"/>
    </xf>
    <xf numFmtId="180" fontId="0" fillId="16" borderId="18" xfId="0" applyFill="1" applyBorder="1" applyAlignment="1">
      <alignment horizontal="centerContinuous" vertical="center"/>
    </xf>
    <xf numFmtId="180" fontId="0" fillId="16" borderId="1" xfId="0" applyFill="1" applyBorder="1">
      <alignment vertical="center"/>
    </xf>
    <xf numFmtId="180" fontId="0" fillId="16" borderId="19" xfId="0" applyFill="1" applyBorder="1">
      <alignment vertical="center"/>
    </xf>
    <xf numFmtId="180" fontId="0" fillId="16" borderId="4" xfId="0" applyFill="1" applyBorder="1" applyAlignment="1">
      <alignment horizontal="centerContinuous" vertical="center"/>
    </xf>
    <xf numFmtId="180" fontId="0" fillId="16" borderId="5" xfId="0" applyFill="1" applyBorder="1" applyAlignment="1">
      <alignment horizontal="centerContinuous" vertical="center"/>
    </xf>
    <xf numFmtId="180" fontId="0" fillId="16" borderId="3" xfId="0" applyFill="1" applyBorder="1" applyAlignment="1">
      <alignment horizontal="centerContinuous" vertical="center"/>
    </xf>
    <xf numFmtId="180" fontId="0" fillId="16" borderId="20" xfId="0" applyFill="1" applyBorder="1" applyAlignment="1">
      <alignment horizontal="centerContinuous" vertical="center"/>
    </xf>
    <xf numFmtId="180" fontId="0" fillId="16" borderId="3" xfId="0" applyFill="1" applyBorder="1" applyAlignment="1">
      <alignment horizontal="centerContinuous" vertical="center" shrinkToFit="1"/>
    </xf>
    <xf numFmtId="180" fontId="0" fillId="16" borderId="4" xfId="0" applyFill="1" applyBorder="1" applyAlignment="1">
      <alignment horizontal="centerContinuous" vertical="center" shrinkToFit="1"/>
    </xf>
    <xf numFmtId="180" fontId="0" fillId="16" borderId="21" xfId="0" applyFill="1" applyBorder="1" applyAlignment="1">
      <alignment horizontal="centerContinuous" vertical="center" shrinkToFit="1"/>
    </xf>
    <xf numFmtId="180" fontId="0" fillId="16" borderId="5" xfId="0" applyFill="1" applyBorder="1" applyAlignment="1">
      <alignment horizontal="centerContinuous" vertical="center" shrinkToFit="1"/>
    </xf>
    <xf numFmtId="180" fontId="9" fillId="16" borderId="22" xfId="0" applyFont="1" applyFill="1" applyBorder="1" applyAlignment="1">
      <alignment horizontal="center" vertical="center" wrapText="1"/>
    </xf>
    <xf numFmtId="180" fontId="0" fillId="16" borderId="20" xfId="0" applyFill="1" applyBorder="1" applyAlignment="1">
      <alignment horizontal="center" vertical="center"/>
    </xf>
    <xf numFmtId="180" fontId="0" fillId="16" borderId="183" xfId="0" applyFill="1" applyBorder="1" applyAlignment="1">
      <alignment horizontal="centerContinuous" vertical="center"/>
    </xf>
    <xf numFmtId="180" fontId="0" fillId="16" borderId="0" xfId="0" applyFill="1" applyAlignment="1">
      <alignment horizontal="centerContinuous" vertical="center"/>
    </xf>
    <xf numFmtId="180" fontId="0" fillId="16" borderId="163" xfId="0" applyFill="1" applyBorder="1" applyAlignment="1">
      <alignment horizontal="centerContinuous" vertical="center"/>
    </xf>
    <xf numFmtId="180" fontId="0" fillId="16" borderId="22" xfId="0" applyFill="1" applyBorder="1" applyAlignment="1">
      <alignment horizontal="centerContinuous" vertical="center"/>
    </xf>
    <xf numFmtId="180" fontId="0" fillId="16" borderId="172" xfId="0" applyFill="1" applyBorder="1" applyAlignment="1">
      <alignment horizontal="centerContinuous" vertical="center"/>
    </xf>
    <xf numFmtId="180" fontId="0" fillId="16" borderId="170" xfId="0" applyFill="1" applyBorder="1" applyAlignment="1">
      <alignment horizontal="centerContinuous" vertical="center"/>
    </xf>
    <xf numFmtId="180" fontId="0" fillId="16" borderId="169" xfId="0" applyFill="1" applyBorder="1" applyAlignment="1">
      <alignment horizontal="centerContinuous" vertical="center"/>
    </xf>
    <xf numFmtId="180" fontId="0" fillId="16" borderId="83" xfId="0" applyFill="1" applyBorder="1" applyAlignment="1">
      <alignment horizontal="centerContinuous" vertical="center"/>
    </xf>
    <xf numFmtId="180" fontId="0" fillId="16" borderId="22" xfId="0" applyFill="1" applyBorder="1" applyAlignment="1">
      <alignment horizontal="centerContinuous" vertical="center" shrinkToFit="1"/>
    </xf>
    <xf numFmtId="180" fontId="0" fillId="16" borderId="0" xfId="0" applyFill="1" applyAlignment="1">
      <alignment horizontal="centerContinuous" vertical="center" shrinkToFit="1"/>
    </xf>
    <xf numFmtId="180" fontId="0" fillId="16" borderId="53" xfId="0" applyFill="1" applyBorder="1" applyAlignment="1">
      <alignment horizontal="centerContinuous" vertical="center" shrinkToFit="1"/>
    </xf>
    <xf numFmtId="180" fontId="0" fillId="16" borderId="163" xfId="0" applyFill="1" applyBorder="1" applyAlignment="1">
      <alignment horizontal="centerContinuous" vertical="center" shrinkToFit="1"/>
    </xf>
    <xf numFmtId="180" fontId="0" fillId="16" borderId="169" xfId="0" applyFill="1" applyBorder="1" applyAlignment="1">
      <alignment horizontal="centerContinuous" vertical="center" shrinkToFit="1"/>
    </xf>
    <xf numFmtId="180" fontId="0" fillId="16" borderId="183" xfId="0" applyFill="1" applyBorder="1" applyAlignment="1">
      <alignment horizontal="centerContinuous" vertical="center" shrinkToFit="1"/>
    </xf>
    <xf numFmtId="180" fontId="0" fillId="16" borderId="196" xfId="0" applyFill="1" applyBorder="1" applyAlignment="1">
      <alignment horizontal="centerContinuous" vertical="center" shrinkToFit="1"/>
    </xf>
    <xf numFmtId="180" fontId="0" fillId="16" borderId="170" xfId="0" applyFill="1" applyBorder="1" applyAlignment="1">
      <alignment horizontal="centerContinuous" vertical="center" shrinkToFit="1"/>
    </xf>
    <xf numFmtId="180" fontId="9" fillId="16" borderId="173" xfId="0" applyFont="1" applyFill="1" applyBorder="1" applyAlignment="1">
      <alignment horizontal="center" vertical="center" wrapText="1"/>
    </xf>
    <xf numFmtId="180" fontId="9" fillId="16" borderId="174" xfId="0" applyFont="1" applyFill="1" applyBorder="1" applyAlignment="1">
      <alignment horizontal="center" vertical="center" wrapText="1"/>
    </xf>
    <xf numFmtId="180" fontId="10" fillId="16" borderId="174" xfId="0" applyFont="1" applyFill="1" applyBorder="1" applyAlignment="1">
      <alignment horizontal="center" vertical="center" wrapText="1"/>
    </xf>
    <xf numFmtId="180" fontId="10" fillId="16" borderId="40" xfId="0" applyFont="1" applyFill="1" applyBorder="1" applyAlignment="1">
      <alignment horizontal="centerContinuous" vertical="center" wrapText="1"/>
    </xf>
    <xf numFmtId="180" fontId="10" fillId="16" borderId="41" xfId="0" applyFont="1" applyFill="1" applyBorder="1" applyAlignment="1">
      <alignment horizontal="centerContinuous" vertical="center" wrapText="1"/>
    </xf>
    <xf numFmtId="180" fontId="9" fillId="16" borderId="1" xfId="0" applyFont="1" applyFill="1" applyBorder="1" applyAlignment="1">
      <alignment horizontal="center" vertical="center" wrapText="1"/>
    </xf>
    <xf numFmtId="180" fontId="9" fillId="16" borderId="2" xfId="0" applyFont="1" applyFill="1" applyBorder="1" applyAlignment="1">
      <alignment horizontal="center" vertical="center" wrapText="1"/>
    </xf>
    <xf numFmtId="180" fontId="9" fillId="16" borderId="19" xfId="0" applyFont="1" applyFill="1" applyBorder="1" applyAlignment="1">
      <alignment horizontal="center" vertical="center" wrapText="1"/>
    </xf>
    <xf numFmtId="180" fontId="0" fillId="16" borderId="1" xfId="0" applyFill="1" applyBorder="1" applyAlignment="1">
      <alignment horizontal="centerContinuous" vertical="center"/>
    </xf>
    <xf numFmtId="180" fontId="0" fillId="16" borderId="2" xfId="0" applyFill="1" applyBorder="1" applyAlignment="1">
      <alignment horizontal="centerContinuous" vertical="center"/>
    </xf>
    <xf numFmtId="180" fontId="0" fillId="16" borderId="19" xfId="0" applyFill="1" applyBorder="1" applyAlignment="1">
      <alignment horizontal="centerContinuous" vertical="center"/>
    </xf>
    <xf numFmtId="180" fontId="0" fillId="16" borderId="21" xfId="0" applyFill="1" applyBorder="1" applyAlignment="1">
      <alignment horizontal="centerContinuous" vertical="center"/>
    </xf>
    <xf numFmtId="180" fontId="9" fillId="16" borderId="42" xfId="0" applyFont="1" applyFill="1" applyBorder="1" applyAlignment="1">
      <alignment horizontal="centerContinuous" vertical="center" shrinkToFit="1"/>
    </xf>
    <xf numFmtId="180" fontId="9" fillId="16" borderId="43" xfId="0" applyFont="1" applyFill="1" applyBorder="1" applyAlignment="1">
      <alignment horizontal="centerContinuous" vertical="center" shrinkToFit="1"/>
    </xf>
    <xf numFmtId="180" fontId="9" fillId="16" borderId="44" xfId="0" applyFont="1" applyFill="1" applyBorder="1" applyAlignment="1">
      <alignment horizontal="centerContinuous" vertical="center" shrinkToFit="1"/>
    </xf>
    <xf numFmtId="180" fontId="9" fillId="16" borderId="45" xfId="0" applyFont="1" applyFill="1" applyBorder="1" applyAlignment="1">
      <alignment horizontal="centerContinuous" vertical="center" shrinkToFit="1"/>
    </xf>
    <xf numFmtId="180" fontId="3" fillId="16" borderId="4" xfId="0" applyFont="1" applyFill="1" applyBorder="1" applyAlignment="1">
      <alignment horizontal="centerContinuous" vertical="center" shrinkToFit="1"/>
    </xf>
    <xf numFmtId="180" fontId="3" fillId="16" borderId="5" xfId="0" applyFont="1" applyFill="1" applyBorder="1" applyAlignment="1">
      <alignment horizontal="centerContinuous" vertical="center" shrinkToFit="1"/>
    </xf>
    <xf numFmtId="180" fontId="3" fillId="16" borderId="4" xfId="0" applyFont="1" applyFill="1" applyBorder="1" applyAlignment="1">
      <alignment horizontal="centerContinuous" vertical="center"/>
    </xf>
    <xf numFmtId="180" fontId="3" fillId="16" borderId="5" xfId="0" applyFont="1" applyFill="1" applyBorder="1" applyAlignment="1">
      <alignment horizontal="centerContinuous" vertical="center"/>
    </xf>
    <xf numFmtId="180" fontId="0" fillId="16" borderId="174" xfId="0" applyFill="1" applyBorder="1" applyAlignment="1">
      <alignment horizontal="centerContinuous" vertical="center"/>
    </xf>
    <xf numFmtId="180" fontId="0" fillId="16" borderId="173" xfId="0" applyFill="1" applyBorder="1" applyAlignment="1">
      <alignment horizontal="centerContinuous" vertical="center"/>
    </xf>
    <xf numFmtId="180" fontId="0" fillId="16" borderId="175" xfId="0" applyFill="1" applyBorder="1" applyAlignment="1">
      <alignment horizontal="centerContinuous" vertical="center"/>
    </xf>
    <xf numFmtId="40" fontId="0" fillId="16" borderId="173" xfId="0" applyNumberFormat="1" applyFill="1" applyBorder="1">
      <alignment vertical="center"/>
    </xf>
    <xf numFmtId="40" fontId="0" fillId="16" borderId="174" xfId="0" applyNumberFormat="1" applyFill="1" applyBorder="1">
      <alignment vertical="center"/>
    </xf>
    <xf numFmtId="180" fontId="0" fillId="16" borderId="175" xfId="0" applyFill="1" applyBorder="1">
      <alignment vertical="center"/>
    </xf>
    <xf numFmtId="40" fontId="0" fillId="16" borderId="167" xfId="0" applyNumberFormat="1" applyFill="1" applyBorder="1" applyAlignment="1">
      <alignment horizontal="centerContinuous" vertical="center"/>
    </xf>
    <xf numFmtId="40" fontId="0" fillId="16" borderId="182" xfId="0" applyNumberFormat="1" applyFill="1" applyBorder="1" applyAlignment="1">
      <alignment horizontal="centerContinuous" vertical="center"/>
    </xf>
    <xf numFmtId="40" fontId="0" fillId="16" borderId="168" xfId="0" applyNumberFormat="1" applyFill="1" applyBorder="1" applyAlignment="1">
      <alignment horizontal="centerContinuous" vertical="center"/>
    </xf>
    <xf numFmtId="40" fontId="0" fillId="16" borderId="173" xfId="0" applyNumberFormat="1" applyFill="1" applyBorder="1" applyAlignment="1">
      <alignment horizontal="centerContinuous" vertical="center"/>
    </xf>
    <xf numFmtId="40" fontId="0" fillId="16" borderId="174" xfId="0" applyNumberFormat="1" applyFill="1" applyBorder="1" applyAlignment="1">
      <alignment horizontal="centerContinuous" vertical="center"/>
    </xf>
    <xf numFmtId="40" fontId="0" fillId="16" borderId="175" xfId="0" applyNumberFormat="1" applyFill="1" applyBorder="1" applyAlignment="1">
      <alignment horizontal="centerContinuous" vertical="center"/>
    </xf>
    <xf numFmtId="40" fontId="3" fillId="16" borderId="173" xfId="0" applyNumberFormat="1" applyFont="1" applyFill="1" applyBorder="1" applyAlignment="1">
      <alignment horizontal="centerContinuous" vertical="center"/>
    </xf>
    <xf numFmtId="180" fontId="0" fillId="16" borderId="166" xfId="0" applyFill="1" applyBorder="1" applyAlignment="1">
      <alignment horizontal="centerContinuous" vertical="center"/>
    </xf>
    <xf numFmtId="180" fontId="0" fillId="16" borderId="167" xfId="0" applyFill="1" applyBorder="1" applyAlignment="1">
      <alignment horizontal="centerContinuous" vertical="center" shrinkToFit="1"/>
    </xf>
    <xf numFmtId="180" fontId="3" fillId="16" borderId="182" xfId="0" applyFont="1" applyFill="1" applyBorder="1" applyAlignment="1">
      <alignment horizontal="centerContinuous" vertical="center" shrinkToFit="1"/>
    </xf>
    <xf numFmtId="180" fontId="3" fillId="16" borderId="184" xfId="0" applyFont="1" applyFill="1" applyBorder="1" applyAlignment="1">
      <alignment horizontal="centerContinuous" vertical="center" shrinkToFit="1"/>
    </xf>
    <xf numFmtId="180" fontId="3" fillId="16" borderId="168" xfId="0" applyFont="1" applyFill="1" applyBorder="1" applyAlignment="1">
      <alignment horizontal="centerContinuous" vertical="center" shrinkToFit="1"/>
    </xf>
    <xf numFmtId="180" fontId="0" fillId="16" borderId="8" xfId="0" applyFill="1" applyBorder="1" applyAlignment="1">
      <alignment horizontal="centerContinuous" vertical="center"/>
    </xf>
    <xf numFmtId="180" fontId="0" fillId="16" borderId="7" xfId="0" applyFill="1" applyBorder="1" applyAlignment="1">
      <alignment horizontal="centerContinuous" vertical="center"/>
    </xf>
    <xf numFmtId="180" fontId="0" fillId="16" borderId="24" xfId="0" applyFill="1" applyBorder="1" applyAlignment="1">
      <alignment horizontal="centerContinuous" vertical="center"/>
    </xf>
    <xf numFmtId="40" fontId="3" fillId="16" borderId="7" xfId="0" applyNumberFormat="1" applyFont="1" applyFill="1" applyBorder="1" applyAlignment="1">
      <alignment horizontal="centerContinuous" vertical="center"/>
    </xf>
    <xf numFmtId="40" fontId="0" fillId="16" borderId="8" xfId="0" applyNumberFormat="1" applyFill="1" applyBorder="1" applyAlignment="1">
      <alignment horizontal="centerContinuous" vertical="center"/>
    </xf>
    <xf numFmtId="40" fontId="0" fillId="16" borderId="24" xfId="0" applyNumberFormat="1" applyFill="1" applyBorder="1" applyAlignment="1">
      <alignment horizontal="centerContinuous" vertical="center"/>
    </xf>
    <xf numFmtId="180" fontId="0" fillId="16" borderId="52" xfId="0" applyFill="1" applyBorder="1" applyAlignment="1">
      <alignment horizontal="centerContinuous" vertical="center"/>
    </xf>
    <xf numFmtId="180" fontId="3" fillId="16" borderId="22" xfId="0" applyFont="1" applyFill="1" applyBorder="1" applyAlignment="1">
      <alignment horizontal="centerContinuous" vertical="center" shrinkToFit="1"/>
    </xf>
    <xf numFmtId="180" fontId="3" fillId="16" borderId="0" xfId="0" applyFont="1" applyFill="1" applyAlignment="1">
      <alignment horizontal="centerContinuous" vertical="center" shrinkToFit="1"/>
    </xf>
    <xf numFmtId="180" fontId="3" fillId="16" borderId="53" xfId="0" applyFont="1" applyFill="1" applyBorder="1" applyAlignment="1">
      <alignment horizontal="centerContinuous" vertical="center" shrinkToFit="1"/>
    </xf>
    <xf numFmtId="180" fontId="3" fillId="16" borderId="28" xfId="0" applyFont="1" applyFill="1" applyBorder="1" applyAlignment="1">
      <alignment horizontal="centerContinuous" vertical="center" shrinkToFit="1"/>
    </xf>
    <xf numFmtId="40" fontId="0" fillId="16" borderId="3" xfId="0" applyNumberFormat="1" applyFill="1" applyBorder="1" applyAlignment="1">
      <alignment horizontal="centerContinuous" vertical="center" shrinkToFit="1"/>
    </xf>
    <xf numFmtId="40" fontId="3" fillId="16" borderId="3" xfId="0" applyNumberFormat="1" applyFont="1" applyFill="1" applyBorder="1" applyAlignment="1">
      <alignment horizontal="centerContinuous" vertical="center"/>
    </xf>
    <xf numFmtId="40" fontId="32" fillId="16" borderId="3" xfId="0" applyNumberFormat="1" applyFont="1" applyFill="1" applyBorder="1" applyAlignment="1">
      <alignment horizontal="centerContinuous" vertical="center"/>
    </xf>
    <xf numFmtId="180" fontId="32" fillId="16" borderId="4" xfId="0" applyFont="1" applyFill="1" applyBorder="1" applyAlignment="1">
      <alignment horizontal="centerContinuous" vertical="center"/>
    </xf>
    <xf numFmtId="180" fontId="32" fillId="16" borderId="5" xfId="0" applyFont="1" applyFill="1" applyBorder="1" applyAlignment="1">
      <alignment horizontal="centerContinuous" vertical="center"/>
    </xf>
    <xf numFmtId="40" fontId="0" fillId="16" borderId="7" xfId="0" applyNumberFormat="1" applyFill="1" applyBorder="1" applyAlignment="1">
      <alignment horizontal="centerContinuous" vertical="center"/>
    </xf>
    <xf numFmtId="40" fontId="3" fillId="16" borderId="1" xfId="0" applyNumberFormat="1" applyFont="1" applyFill="1" applyBorder="1" applyAlignment="1">
      <alignment horizontal="centerContinuous" vertical="center"/>
    </xf>
    <xf numFmtId="40" fontId="0" fillId="16" borderId="2" xfId="0" applyNumberFormat="1" applyFill="1" applyBorder="1" applyAlignment="1">
      <alignment horizontal="centerContinuous" vertical="center"/>
    </xf>
    <xf numFmtId="40" fontId="0" fillId="16" borderId="19" xfId="0" applyNumberFormat="1" applyFill="1" applyBorder="1" applyAlignment="1">
      <alignment horizontal="centerContinuous" vertical="center"/>
    </xf>
    <xf numFmtId="40" fontId="0" fillId="16" borderId="4" xfId="0" applyNumberFormat="1" applyFill="1" applyBorder="1" applyAlignment="1">
      <alignment horizontal="centerContinuous" vertical="center"/>
    </xf>
    <xf numFmtId="40" fontId="0" fillId="16" borderId="5" xfId="0" applyNumberFormat="1" applyFill="1" applyBorder="1" applyAlignment="1">
      <alignment horizontal="centerContinuous" vertical="center"/>
    </xf>
    <xf numFmtId="180" fontId="0" fillId="16" borderId="1" xfId="0" applyFill="1" applyBorder="1" applyAlignment="1">
      <alignment horizontal="centerContinuous" vertical="center" shrinkToFit="1"/>
    </xf>
    <xf numFmtId="180" fontId="3" fillId="16" borderId="2" xfId="0" applyFont="1" applyFill="1" applyBorder="1" applyAlignment="1">
      <alignment horizontal="centerContinuous" vertical="center" shrinkToFit="1"/>
    </xf>
    <xf numFmtId="180" fontId="3" fillId="16" borderId="36" xfId="0" applyFont="1" applyFill="1" applyBorder="1" applyAlignment="1">
      <alignment horizontal="centerContinuous" vertical="center" shrinkToFit="1"/>
    </xf>
    <xf numFmtId="180" fontId="3" fillId="16" borderId="19" xfId="0" applyFont="1" applyFill="1" applyBorder="1" applyAlignment="1">
      <alignment horizontal="centerContinuous" vertical="center" shrinkToFit="1"/>
    </xf>
    <xf numFmtId="40" fontId="3" fillId="16" borderId="3" xfId="0" applyNumberFormat="1" applyFont="1" applyFill="1" applyBorder="1">
      <alignment vertical="center"/>
    </xf>
    <xf numFmtId="40" fontId="0" fillId="16" borderId="4" xfId="0" applyNumberFormat="1" applyFill="1" applyBorder="1">
      <alignment vertical="center"/>
    </xf>
    <xf numFmtId="40" fontId="3" fillId="16" borderId="4" xfId="0" applyNumberFormat="1" applyFont="1" applyFill="1" applyBorder="1">
      <alignment vertical="center"/>
    </xf>
    <xf numFmtId="40" fontId="0" fillId="16" borderId="5" xfId="0" applyNumberFormat="1" applyFill="1" applyBorder="1">
      <alignment vertical="center"/>
    </xf>
    <xf numFmtId="180" fontId="3" fillId="16" borderId="21" xfId="0" applyFont="1" applyFill="1" applyBorder="1" applyAlignment="1">
      <alignment horizontal="centerContinuous" vertical="center" shrinkToFit="1"/>
    </xf>
    <xf numFmtId="180" fontId="3" fillId="16" borderId="3" xfId="0" applyFont="1" applyFill="1" applyBorder="1" applyAlignment="1">
      <alignment horizontal="centerContinuous" vertical="center" shrinkToFit="1"/>
    </xf>
    <xf numFmtId="180" fontId="9" fillId="16" borderId="3" xfId="0" applyFont="1" applyFill="1" applyBorder="1" applyAlignment="1">
      <alignment horizontal="center" vertical="center" wrapText="1"/>
    </xf>
    <xf numFmtId="180" fontId="9" fillId="16" borderId="4" xfId="0" applyFont="1" applyFill="1" applyBorder="1" applyAlignment="1">
      <alignment horizontal="center" vertical="center" wrapText="1"/>
    </xf>
    <xf numFmtId="180" fontId="0" fillId="16" borderId="4" xfId="0" applyFill="1" applyBorder="1">
      <alignment vertical="center"/>
    </xf>
    <xf numFmtId="180" fontId="3" fillId="16" borderId="8" xfId="0" applyFont="1" applyFill="1" applyBorder="1" applyAlignment="1">
      <alignment horizontal="centerContinuous" vertical="center"/>
    </xf>
    <xf numFmtId="180" fontId="3" fillId="16" borderId="7" xfId="0" applyFont="1" applyFill="1" applyBorder="1" applyAlignment="1">
      <alignment horizontal="centerContinuous" vertical="center"/>
    </xf>
    <xf numFmtId="180" fontId="3" fillId="16" borderId="24" xfId="0" applyFont="1" applyFill="1" applyBorder="1" applyAlignment="1">
      <alignment horizontal="centerContinuous" vertical="center"/>
    </xf>
    <xf numFmtId="180" fontId="3" fillId="16" borderId="52" xfId="0" applyFont="1" applyFill="1" applyBorder="1" applyAlignment="1">
      <alignment horizontal="centerContinuous" vertical="center"/>
    </xf>
    <xf numFmtId="180" fontId="0" fillId="16" borderId="7" xfId="0" applyFill="1" applyBorder="1" applyAlignment="1">
      <alignment horizontal="centerContinuous" vertical="center" shrinkToFit="1"/>
    </xf>
    <xf numFmtId="180" fontId="0" fillId="16" borderId="8" xfId="0" applyFill="1" applyBorder="1" applyAlignment="1">
      <alignment horizontal="centerContinuous" vertical="center" shrinkToFit="1"/>
    </xf>
    <xf numFmtId="180" fontId="0" fillId="16" borderId="54" xfId="0" applyFill="1" applyBorder="1" applyAlignment="1">
      <alignment horizontal="centerContinuous" vertical="center" shrinkToFit="1"/>
    </xf>
    <xf numFmtId="180" fontId="0" fillId="16" borderId="24" xfId="0" applyFill="1" applyBorder="1" applyAlignment="1">
      <alignment horizontal="centerContinuous" vertical="center" shrinkToFit="1"/>
    </xf>
    <xf numFmtId="180" fontId="3" fillId="16" borderId="3" xfId="0" applyFont="1" applyFill="1" applyBorder="1" applyAlignment="1">
      <alignment horizontal="centerContinuous" vertical="center"/>
    </xf>
    <xf numFmtId="180" fontId="3" fillId="16" borderId="20" xfId="0" applyFont="1" applyFill="1" applyBorder="1" applyAlignment="1">
      <alignment horizontal="centerContinuous" vertical="center"/>
    </xf>
    <xf numFmtId="180" fontId="0" fillId="16" borderId="3" xfId="0" applyFill="1" applyBorder="1">
      <alignment vertical="center"/>
    </xf>
    <xf numFmtId="180" fontId="0" fillId="16" borderId="21" xfId="0" applyFill="1" applyBorder="1">
      <alignment vertical="center"/>
    </xf>
    <xf numFmtId="180" fontId="3" fillId="16" borderId="4" xfId="0" applyFont="1" applyFill="1" applyBorder="1">
      <alignment vertical="center"/>
    </xf>
    <xf numFmtId="180" fontId="3" fillId="16" borderId="20" xfId="0" applyFont="1" applyFill="1" applyBorder="1" applyAlignment="1">
      <alignment horizontal="center" vertical="center" shrinkToFit="1"/>
    </xf>
    <xf numFmtId="180" fontId="3" fillId="16" borderId="3" xfId="0" applyFont="1" applyFill="1" applyBorder="1">
      <alignment vertical="center"/>
    </xf>
    <xf numFmtId="180" fontId="3" fillId="16" borderId="21" xfId="0" applyFont="1" applyFill="1" applyBorder="1">
      <alignment vertical="center"/>
    </xf>
    <xf numFmtId="180" fontId="9" fillId="16" borderId="175" xfId="0" applyFont="1" applyFill="1" applyBorder="1" applyAlignment="1">
      <alignment horizontal="center" vertical="center" wrapText="1"/>
    </xf>
    <xf numFmtId="180" fontId="3" fillId="16" borderId="167" xfId="0" applyFont="1" applyFill="1" applyBorder="1" applyAlignment="1">
      <alignment horizontal="centerContinuous" vertical="center"/>
    </xf>
    <xf numFmtId="180" fontId="3" fillId="16" borderId="174" xfId="0" applyFont="1" applyFill="1" applyBorder="1">
      <alignment vertical="center"/>
    </xf>
    <xf numFmtId="180" fontId="3" fillId="16" borderId="189" xfId="0" applyFont="1" applyFill="1" applyBorder="1">
      <alignment vertical="center"/>
    </xf>
    <xf numFmtId="180" fontId="9" fillId="16" borderId="3" xfId="0" applyFont="1" applyFill="1" applyBorder="1" applyAlignment="1">
      <alignment horizontal="centerContinuous" vertical="center"/>
    </xf>
    <xf numFmtId="180" fontId="3" fillId="16" borderId="21" xfId="0" applyFont="1" applyFill="1" applyBorder="1" applyAlignment="1">
      <alignment horizontal="centerContinuous" vertical="center"/>
    </xf>
    <xf numFmtId="180" fontId="9" fillId="16" borderId="1" xfId="0" applyFont="1" applyFill="1" applyBorder="1" applyAlignment="1">
      <alignment horizontal="centerContinuous" vertical="center"/>
    </xf>
    <xf numFmtId="180" fontId="9" fillId="16" borderId="2" xfId="0" applyFont="1" applyFill="1" applyBorder="1" applyAlignment="1">
      <alignment horizontal="centerContinuous" vertical="center"/>
    </xf>
    <xf numFmtId="180" fontId="9" fillId="16" borderId="19" xfId="0" applyFont="1" applyFill="1" applyBorder="1" applyAlignment="1">
      <alignment horizontal="centerContinuous" vertical="center"/>
    </xf>
    <xf numFmtId="180" fontId="9" fillId="16" borderId="59" xfId="0" applyFont="1" applyFill="1" applyBorder="1" applyAlignment="1">
      <alignment horizontal="centerContinuous" vertical="center"/>
    </xf>
    <xf numFmtId="180" fontId="9" fillId="16" borderId="43" xfId="0" applyFont="1" applyFill="1" applyBorder="1" applyAlignment="1">
      <alignment horizontal="centerContinuous" vertical="center"/>
    </xf>
    <xf numFmtId="180" fontId="9" fillId="16" borderId="45" xfId="0" applyFont="1" applyFill="1" applyBorder="1" applyAlignment="1">
      <alignment horizontal="centerContinuous" vertical="center"/>
    </xf>
    <xf numFmtId="180" fontId="9" fillId="16" borderId="22" xfId="0" applyFont="1" applyFill="1" applyBorder="1" applyAlignment="1">
      <alignment horizontal="centerContinuous" vertical="center"/>
    </xf>
    <xf numFmtId="180" fontId="9" fillId="16" borderId="14" xfId="0" applyFont="1" applyFill="1" applyBorder="1" applyAlignment="1">
      <alignment horizontal="centerContinuous" vertical="center"/>
    </xf>
    <xf numFmtId="180" fontId="9" fillId="16" borderId="13" xfId="0" applyFont="1" applyFill="1" applyBorder="1" applyAlignment="1">
      <alignment horizontal="centerContinuous" vertical="center"/>
    </xf>
    <xf numFmtId="180" fontId="9" fillId="16" borderId="15" xfId="0" applyFont="1" applyFill="1" applyBorder="1" applyAlignment="1">
      <alignment horizontal="centerContinuous" vertical="center"/>
    </xf>
    <xf numFmtId="180" fontId="9" fillId="16" borderId="7" xfId="0" applyFont="1" applyFill="1" applyBorder="1" applyAlignment="1">
      <alignment horizontal="centerContinuous" vertical="center"/>
    </xf>
    <xf numFmtId="180" fontId="9" fillId="16" borderId="17" xfId="0" applyFont="1" applyFill="1" applyBorder="1" applyAlignment="1">
      <alignment horizontal="centerContinuous" vertical="center"/>
    </xf>
    <xf numFmtId="180" fontId="9" fillId="16" borderId="16" xfId="0" applyFont="1" applyFill="1" applyBorder="1" applyAlignment="1">
      <alignment horizontal="centerContinuous" vertical="center"/>
    </xf>
    <xf numFmtId="180" fontId="9" fillId="16" borderId="23" xfId="0" applyFont="1" applyFill="1" applyBorder="1" applyAlignment="1">
      <alignment horizontal="centerContinuous" vertical="center"/>
    </xf>
    <xf numFmtId="180" fontId="10" fillId="16" borderId="59" xfId="0" applyFont="1" applyFill="1" applyBorder="1">
      <alignment vertical="center"/>
    </xf>
    <xf numFmtId="180" fontId="10" fillId="16" borderId="43" xfId="0" applyFont="1" applyFill="1" applyBorder="1">
      <alignment vertical="center"/>
    </xf>
    <xf numFmtId="180" fontId="10" fillId="16" borderId="43" xfId="0" applyFont="1" applyFill="1" applyBorder="1" applyAlignment="1">
      <alignment horizontal="centerContinuous" vertical="center" shrinkToFit="1"/>
    </xf>
    <xf numFmtId="180" fontId="10" fillId="16" borderId="68" xfId="0" applyFont="1" applyFill="1" applyBorder="1" applyAlignment="1">
      <alignment horizontal="centerContinuous" vertical="center" shrinkToFit="1"/>
    </xf>
    <xf numFmtId="180" fontId="10" fillId="16" borderId="69" xfId="0" applyFont="1" applyFill="1" applyBorder="1">
      <alignment vertical="center"/>
    </xf>
    <xf numFmtId="180" fontId="10" fillId="16" borderId="0" xfId="0" applyFont="1" applyFill="1">
      <alignment vertical="center"/>
    </xf>
    <xf numFmtId="180" fontId="10" fillId="16" borderId="0" xfId="0" applyFont="1" applyFill="1" applyAlignment="1">
      <alignment horizontal="centerContinuous" vertical="center" shrinkToFit="1"/>
    </xf>
    <xf numFmtId="180" fontId="10" fillId="16" borderId="70" xfId="0" applyFont="1" applyFill="1" applyBorder="1">
      <alignment vertical="center"/>
    </xf>
    <xf numFmtId="180" fontId="10" fillId="16" borderId="4" xfId="0" applyFont="1" applyFill="1" applyBorder="1">
      <alignment vertical="center"/>
    </xf>
    <xf numFmtId="180" fontId="10" fillId="16" borderId="4" xfId="0" applyFont="1" applyFill="1" applyBorder="1" applyAlignment="1">
      <alignment horizontal="centerContinuous" vertical="center" shrinkToFit="1"/>
    </xf>
    <xf numFmtId="180" fontId="10" fillId="16" borderId="71" xfId="0" applyFont="1" applyFill="1" applyBorder="1">
      <alignment vertical="center"/>
    </xf>
    <xf numFmtId="180" fontId="10" fillId="16" borderId="72" xfId="0" applyFont="1" applyFill="1" applyBorder="1">
      <alignment vertical="center"/>
    </xf>
    <xf numFmtId="180" fontId="10" fillId="16" borderId="72" xfId="0" applyFont="1" applyFill="1" applyBorder="1" applyAlignment="1">
      <alignment horizontal="centerContinuous" vertical="center" shrinkToFit="1"/>
    </xf>
    <xf numFmtId="180" fontId="10" fillId="16" borderId="73" xfId="0" applyFont="1" applyFill="1" applyBorder="1" applyAlignment="1">
      <alignment horizontal="centerContinuous" vertical="center" shrinkToFit="1"/>
    </xf>
    <xf numFmtId="40" fontId="14" fillId="13" borderId="16" xfId="0" applyNumberFormat="1" applyFont="1" applyFill="1" applyBorder="1">
      <alignment vertical="center"/>
    </xf>
    <xf numFmtId="40" fontId="14" fillId="13" borderId="17" xfId="0" applyNumberFormat="1" applyFont="1" applyFill="1" applyBorder="1">
      <alignment vertical="center"/>
    </xf>
    <xf numFmtId="191" fontId="3" fillId="13" borderId="173" xfId="0" applyNumberFormat="1" applyFont="1" applyFill="1" applyBorder="1" applyAlignment="1">
      <alignment horizontal="centerContinuous" vertical="center"/>
    </xf>
    <xf numFmtId="40" fontId="3" fillId="13" borderId="197" xfId="0" applyNumberFormat="1" applyFont="1" applyFill="1" applyBorder="1" applyAlignment="1">
      <alignment horizontal="centerContinuous" vertical="center"/>
    </xf>
    <xf numFmtId="40" fontId="14" fillId="13" borderId="47" xfId="0" applyNumberFormat="1" applyFont="1" applyFill="1" applyBorder="1">
      <alignment vertical="center"/>
    </xf>
    <xf numFmtId="40" fontId="14" fillId="13" borderId="25" xfId="0" applyNumberFormat="1" applyFont="1" applyFill="1" applyBorder="1">
      <alignment vertical="center"/>
    </xf>
    <xf numFmtId="38" fontId="14" fillId="13" borderId="25" xfId="2" applyFont="1" applyFill="1" applyBorder="1" applyAlignment="1">
      <alignment vertical="center"/>
    </xf>
    <xf numFmtId="180" fontId="14" fillId="13" borderId="47" xfId="0" applyFont="1" applyFill="1" applyBorder="1">
      <alignment vertical="center"/>
    </xf>
    <xf numFmtId="180" fontId="14" fillId="13" borderId="169" xfId="0" applyFont="1" applyFill="1" applyBorder="1">
      <alignment vertical="center"/>
    </xf>
    <xf numFmtId="180" fontId="14" fillId="13" borderId="25" xfId="0" applyFont="1" applyFill="1" applyBorder="1">
      <alignment vertical="center"/>
    </xf>
    <xf numFmtId="180" fontId="14" fillId="13" borderId="17" xfId="0" applyFont="1" applyFill="1" applyBorder="1">
      <alignment vertical="center"/>
    </xf>
    <xf numFmtId="38" fontId="14" fillId="13" borderId="17" xfId="2" applyFont="1" applyFill="1" applyBorder="1" applyAlignment="1">
      <alignment vertical="center"/>
    </xf>
    <xf numFmtId="177" fontId="14" fillId="13" borderId="47" xfId="0" applyNumberFormat="1" applyFont="1" applyFill="1" applyBorder="1">
      <alignment vertical="center"/>
    </xf>
    <xf numFmtId="177" fontId="14" fillId="13" borderId="48" xfId="0" applyNumberFormat="1" applyFont="1" applyFill="1" applyBorder="1">
      <alignment vertical="center"/>
    </xf>
    <xf numFmtId="177" fontId="14" fillId="13" borderId="26" xfId="0" applyNumberFormat="1" applyFont="1" applyFill="1" applyBorder="1">
      <alignment vertical="center"/>
    </xf>
    <xf numFmtId="177" fontId="14" fillId="13" borderId="25" xfId="0" applyNumberFormat="1" applyFont="1" applyFill="1" applyBorder="1">
      <alignment vertical="center"/>
    </xf>
    <xf numFmtId="40" fontId="14" fillId="13" borderId="26" xfId="0" applyNumberFormat="1" applyFont="1" applyFill="1" applyBorder="1">
      <alignment vertical="center"/>
    </xf>
    <xf numFmtId="40" fontId="14" fillId="13" borderId="48" xfId="0" applyNumberFormat="1" applyFont="1" applyFill="1" applyBorder="1">
      <alignment vertical="center"/>
    </xf>
    <xf numFmtId="40" fontId="14" fillId="13" borderId="7" xfId="0" applyNumberFormat="1" applyFont="1" applyFill="1" applyBorder="1">
      <alignment vertical="center"/>
    </xf>
    <xf numFmtId="40" fontId="14" fillId="13" borderId="8" xfId="0" applyNumberFormat="1" applyFont="1" applyFill="1" applyBorder="1">
      <alignment vertical="center"/>
    </xf>
    <xf numFmtId="40" fontId="14" fillId="13" borderId="13" xfId="0" applyNumberFormat="1" applyFont="1" applyFill="1" applyBorder="1">
      <alignment vertical="center"/>
    </xf>
    <xf numFmtId="180" fontId="14" fillId="16" borderId="0" xfId="0" applyFont="1" applyFill="1">
      <alignment vertical="center"/>
    </xf>
    <xf numFmtId="180" fontId="9" fillId="16" borderId="83" xfId="0" applyFont="1" applyFill="1" applyBorder="1" applyAlignment="1">
      <alignment horizontal="center" vertical="center" wrapText="1"/>
    </xf>
    <xf numFmtId="180" fontId="11" fillId="16" borderId="3" xfId="0" applyFont="1" applyFill="1" applyBorder="1" applyAlignment="1">
      <alignment horizontal="centerContinuous" vertical="center"/>
    </xf>
    <xf numFmtId="180" fontId="11" fillId="16" borderId="5" xfId="0" applyFont="1" applyFill="1" applyBorder="1" applyAlignment="1">
      <alignment horizontal="centerContinuous" vertical="center"/>
    </xf>
    <xf numFmtId="180" fontId="14" fillId="16" borderId="4" xfId="0" applyFont="1" applyFill="1" applyBorder="1">
      <alignment vertical="center"/>
    </xf>
    <xf numFmtId="180" fontId="14" fillId="16" borderId="5" xfId="0" applyFont="1" applyFill="1" applyBorder="1">
      <alignment vertical="center"/>
    </xf>
    <xf numFmtId="180" fontId="14" fillId="16" borderId="3" xfId="0" applyFont="1" applyFill="1" applyBorder="1">
      <alignment vertical="center"/>
    </xf>
    <xf numFmtId="180" fontId="3" fillId="16" borderId="4" xfId="0" applyFont="1" applyFill="1" applyBorder="1" applyAlignment="1">
      <alignment horizontal="center" vertical="center"/>
    </xf>
    <xf numFmtId="180" fontId="9" fillId="16" borderId="4" xfId="0" applyFont="1" applyFill="1" applyBorder="1" applyAlignment="1">
      <alignment horizontal="center" vertical="center"/>
    </xf>
    <xf numFmtId="180" fontId="0" fillId="16" borderId="80" xfId="0" applyFill="1" applyBorder="1" applyAlignment="1">
      <alignment horizontal="centerContinuous" vertical="center"/>
    </xf>
    <xf numFmtId="180" fontId="0" fillId="16" borderId="35" xfId="0" applyFill="1" applyBorder="1" applyAlignment="1">
      <alignment horizontal="center" vertical="center"/>
    </xf>
    <xf numFmtId="0" fontId="3" fillId="16" borderId="4" xfId="7" applyFont="1" applyFill="1" applyBorder="1" applyAlignment="1">
      <alignment horizontal="centerContinuous" vertical="center"/>
    </xf>
    <xf numFmtId="0" fontId="3" fillId="16" borderId="6" xfId="7" applyFont="1" applyFill="1" applyBorder="1" applyAlignment="1">
      <alignment horizontal="centerContinuous" vertical="center"/>
    </xf>
    <xf numFmtId="0" fontId="3" fillId="16" borderId="5" xfId="7" applyFont="1" applyFill="1" applyBorder="1" applyAlignment="1">
      <alignment horizontal="centerContinuous" vertical="center"/>
    </xf>
    <xf numFmtId="0" fontId="3" fillId="16" borderId="3" xfId="7" applyFont="1" applyFill="1" applyBorder="1" applyAlignment="1">
      <alignment horizontal="centerContinuous" vertical="center"/>
    </xf>
    <xf numFmtId="40" fontId="3" fillId="16" borderId="80" xfId="0" applyNumberFormat="1" applyFont="1" applyFill="1" applyBorder="1" applyAlignment="1">
      <alignment horizontal="center" vertical="center"/>
    </xf>
    <xf numFmtId="0" fontId="13" fillId="16" borderId="20" xfId="7" applyFont="1" applyFill="1" applyBorder="1" applyAlignment="1">
      <alignment horizontal="center" vertical="center"/>
    </xf>
    <xf numFmtId="0" fontId="13" fillId="16" borderId="166" xfId="7" applyFont="1" applyFill="1" applyBorder="1" applyAlignment="1">
      <alignment horizontal="center" vertical="center"/>
    </xf>
    <xf numFmtId="0" fontId="13" fillId="16" borderId="78" xfId="7" applyFont="1" applyFill="1" applyBorder="1" applyAlignment="1">
      <alignment horizontal="center" vertical="center"/>
    </xf>
    <xf numFmtId="0" fontId="13" fillId="16" borderId="79" xfId="7" applyFont="1" applyFill="1" applyBorder="1" applyAlignment="1">
      <alignment horizontal="center" vertical="center"/>
    </xf>
    <xf numFmtId="0" fontId="0" fillId="16" borderId="171" xfId="7" applyFont="1" applyFill="1" applyBorder="1" applyAlignment="1">
      <alignment horizontal="center" vertical="center" shrinkToFit="1"/>
    </xf>
    <xf numFmtId="0" fontId="0" fillId="16" borderId="83" xfId="7" applyFont="1" applyFill="1" applyBorder="1" applyAlignment="1">
      <alignment horizontal="center" vertical="center" shrinkToFit="1"/>
    </xf>
    <xf numFmtId="0" fontId="3" fillId="16" borderId="83" xfId="7" applyFont="1" applyFill="1" applyBorder="1" applyAlignment="1">
      <alignment vertical="center" shrinkToFit="1"/>
    </xf>
    <xf numFmtId="0" fontId="3" fillId="16" borderId="172" xfId="7" applyFont="1" applyFill="1" applyBorder="1" applyAlignment="1">
      <alignment vertical="center" shrinkToFit="1"/>
    </xf>
    <xf numFmtId="0" fontId="3" fillId="16" borderId="20" xfId="7" applyFont="1" applyFill="1" applyBorder="1" applyAlignment="1">
      <alignment horizontal="center" vertical="center"/>
    </xf>
    <xf numFmtId="0" fontId="3" fillId="16" borderId="3" xfId="7" applyFont="1" applyFill="1" applyBorder="1" applyAlignment="1">
      <alignment horizontal="center" vertical="center"/>
    </xf>
    <xf numFmtId="0" fontId="0" fillId="16" borderId="14" xfId="7" applyFont="1" applyFill="1" applyBorder="1" applyAlignment="1">
      <alignment horizontal="center" vertical="center"/>
    </xf>
    <xf numFmtId="0" fontId="0" fillId="16" borderId="17" xfId="7" applyFont="1" applyFill="1" applyBorder="1" applyAlignment="1">
      <alignment horizontal="center" vertical="center"/>
    </xf>
    <xf numFmtId="0" fontId="3" fillId="16" borderId="22" xfId="7" applyFont="1" applyFill="1" applyBorder="1" applyAlignment="1">
      <alignment horizontal="center" vertical="center"/>
    </xf>
    <xf numFmtId="0" fontId="3" fillId="16" borderId="2" xfId="7" applyFont="1" applyFill="1" applyBorder="1" applyAlignment="1">
      <alignment horizontal="centerContinuous" vertical="center"/>
    </xf>
    <xf numFmtId="0" fontId="3" fillId="16" borderId="8" xfId="7" applyFont="1" applyFill="1" applyBorder="1" applyAlignment="1">
      <alignment horizontal="center" vertical="center"/>
    </xf>
    <xf numFmtId="0" fontId="0" fillId="16" borderId="43" xfId="7" applyFont="1" applyFill="1" applyBorder="1" applyAlignment="1">
      <alignment horizontal="centerContinuous" vertical="center"/>
    </xf>
    <xf numFmtId="0" fontId="3" fillId="16" borderId="43" xfId="7" applyFont="1" applyFill="1" applyBorder="1" applyAlignment="1">
      <alignment horizontal="centerContinuous" vertical="center"/>
    </xf>
    <xf numFmtId="0" fontId="3" fillId="16" borderId="45" xfId="7" applyFont="1" applyFill="1" applyBorder="1" applyAlignment="1">
      <alignment horizontal="centerContinuous" vertical="center"/>
    </xf>
    <xf numFmtId="0" fontId="3" fillId="16" borderId="20" xfId="7" applyFont="1" applyFill="1" applyBorder="1" applyAlignment="1">
      <alignment horizontal="center" vertical="center" shrinkToFit="1"/>
    </xf>
    <xf numFmtId="0" fontId="0" fillId="16" borderId="166" xfId="7" applyFont="1" applyFill="1" applyBorder="1" applyAlignment="1">
      <alignment horizontal="center" vertical="center" shrinkToFit="1"/>
    </xf>
    <xf numFmtId="0" fontId="3" fillId="16" borderId="166" xfId="7" applyFont="1" applyFill="1" applyBorder="1" applyAlignment="1">
      <alignment horizontal="center" vertical="center" shrinkToFit="1"/>
    </xf>
    <xf numFmtId="0" fontId="3" fillId="16" borderId="162" xfId="7" applyFont="1" applyFill="1" applyBorder="1" applyAlignment="1">
      <alignment horizontal="center" vertical="center" shrinkToFit="1"/>
    </xf>
    <xf numFmtId="0" fontId="3" fillId="16" borderId="59" xfId="7" applyFont="1" applyFill="1" applyBorder="1" applyAlignment="1">
      <alignment horizontal="centerContinuous" vertical="center"/>
    </xf>
    <xf numFmtId="0" fontId="3" fillId="16" borderId="176" xfId="7" applyFont="1" applyFill="1" applyBorder="1" applyAlignment="1">
      <alignment horizontal="center" vertical="center"/>
    </xf>
    <xf numFmtId="0" fontId="3" fillId="16" borderId="7" xfId="7" applyFont="1" applyFill="1" applyBorder="1" applyAlignment="1">
      <alignment horizontal="center" vertical="center"/>
    </xf>
    <xf numFmtId="0" fontId="0" fillId="16" borderId="169" xfId="7" applyFont="1" applyFill="1" applyBorder="1" applyAlignment="1">
      <alignment horizontal="centerContinuous" vertical="center"/>
    </xf>
    <xf numFmtId="0" fontId="3" fillId="16" borderId="7" xfId="7" applyFont="1" applyFill="1" applyBorder="1" applyAlignment="1">
      <alignment horizontal="centerContinuous" vertical="center"/>
    </xf>
    <xf numFmtId="0" fontId="3" fillId="16" borderId="82" xfId="7" applyFont="1" applyFill="1" applyBorder="1" applyAlignment="1">
      <alignment horizontal="centerContinuous" vertical="center"/>
    </xf>
    <xf numFmtId="40" fontId="3" fillId="16" borderId="181" xfId="0" applyNumberFormat="1" applyFont="1" applyFill="1" applyBorder="1" applyAlignment="1">
      <alignment horizontal="center" vertical="center"/>
    </xf>
    <xf numFmtId="40" fontId="3" fillId="16" borderId="78" xfId="0" applyNumberFormat="1" applyFont="1" applyFill="1" applyBorder="1" applyAlignment="1">
      <alignment horizontal="center" vertical="center"/>
    </xf>
    <xf numFmtId="0" fontId="24" fillId="16" borderId="0" xfId="4" applyFont="1" applyFill="1">
      <alignment vertical="center"/>
    </xf>
    <xf numFmtId="0" fontId="24" fillId="16" borderId="0" xfId="4" applyFont="1" applyFill="1" applyAlignment="1">
      <alignment horizontal="center" vertical="center"/>
    </xf>
    <xf numFmtId="180" fontId="24" fillId="16" borderId="0" xfId="0" applyFont="1" applyFill="1">
      <alignment vertical="center"/>
    </xf>
    <xf numFmtId="0" fontId="24" fillId="16" borderId="8" xfId="4" applyFont="1" applyFill="1" applyBorder="1">
      <alignment vertical="center"/>
    </xf>
    <xf numFmtId="0" fontId="24" fillId="16" borderId="8" xfId="4" applyFont="1" applyFill="1" applyBorder="1" applyAlignment="1">
      <alignment horizontal="center" vertical="center"/>
    </xf>
    <xf numFmtId="180" fontId="25" fillId="16" borderId="8" xfId="0" applyFont="1" applyFill="1" applyBorder="1" applyAlignment="1">
      <alignment horizontal="center" vertical="center" shrinkToFit="1"/>
    </xf>
    <xf numFmtId="180" fontId="25" fillId="16" borderId="8" xfId="0" applyFont="1" applyFill="1" applyBorder="1" applyAlignment="1">
      <alignment horizontal="center" vertical="center"/>
    </xf>
    <xf numFmtId="180" fontId="24" fillId="16" borderId="8" xfId="0" applyFont="1" applyFill="1" applyBorder="1">
      <alignment vertical="center"/>
    </xf>
    <xf numFmtId="180" fontId="42" fillId="16" borderId="20" xfId="0" applyFont="1" applyFill="1" applyBorder="1" applyAlignment="1">
      <alignment horizontal="center" vertical="center" shrinkToFit="1"/>
    </xf>
    <xf numFmtId="0" fontId="24" fillId="16" borderId="76" xfId="4" applyFont="1" applyFill="1" applyBorder="1">
      <alignment vertical="center"/>
    </xf>
    <xf numFmtId="0" fontId="24" fillId="16" borderId="76" xfId="4" applyFont="1" applyFill="1" applyBorder="1" applyAlignment="1">
      <alignment horizontal="center" vertical="center"/>
    </xf>
    <xf numFmtId="180" fontId="24" fillId="16" borderId="76" xfId="0" applyFont="1" applyFill="1" applyBorder="1">
      <alignment vertical="center"/>
    </xf>
    <xf numFmtId="40" fontId="24" fillId="16" borderId="76" xfId="2" applyNumberFormat="1" applyFont="1" applyFill="1" applyBorder="1" applyAlignment="1">
      <alignment vertical="center"/>
    </xf>
    <xf numFmtId="40" fontId="24" fillId="16" borderId="76" xfId="0" applyNumberFormat="1" applyFont="1" applyFill="1" applyBorder="1">
      <alignment vertical="center"/>
    </xf>
    <xf numFmtId="40" fontId="24" fillId="16" borderId="25" xfId="0" applyNumberFormat="1" applyFont="1" applyFill="1" applyBorder="1">
      <alignment vertical="center"/>
    </xf>
    <xf numFmtId="180" fontId="24" fillId="16" borderId="94" xfId="0" applyFont="1" applyFill="1" applyBorder="1">
      <alignment vertical="center"/>
    </xf>
    <xf numFmtId="180" fontId="24" fillId="16" borderId="27" xfId="0" applyFont="1" applyFill="1" applyBorder="1">
      <alignment vertical="center"/>
    </xf>
    <xf numFmtId="180" fontId="24" fillId="16" borderId="25" xfId="0" applyFont="1" applyFill="1" applyBorder="1">
      <alignment vertical="center"/>
    </xf>
    <xf numFmtId="180" fontId="24" fillId="16" borderId="25" xfId="0" quotePrefix="1" applyFont="1" applyFill="1" applyBorder="1" applyAlignment="1">
      <alignment horizontal="left" vertical="center"/>
    </xf>
    <xf numFmtId="180" fontId="24" fillId="16" borderId="27" xfId="0" quotePrefix="1" applyFont="1" applyFill="1" applyBorder="1" applyAlignment="1">
      <alignment horizontal="left" vertical="center"/>
    </xf>
    <xf numFmtId="180" fontId="24" fillId="16" borderId="38" xfId="0" applyFont="1" applyFill="1" applyBorder="1">
      <alignment vertical="center"/>
    </xf>
    <xf numFmtId="180" fontId="45" fillId="16" borderId="81" xfId="0" applyFont="1" applyFill="1" applyBorder="1">
      <alignment vertical="center"/>
    </xf>
    <xf numFmtId="180" fontId="24" fillId="16" borderId="5" xfId="0" applyFont="1" applyFill="1" applyBorder="1">
      <alignment vertical="center"/>
    </xf>
    <xf numFmtId="180" fontId="24" fillId="16" borderId="3" xfId="0" applyFont="1" applyFill="1" applyBorder="1">
      <alignment vertical="center"/>
    </xf>
    <xf numFmtId="0" fontId="24" fillId="16" borderId="166" xfId="4" applyFont="1" applyFill="1" applyBorder="1" applyAlignment="1">
      <alignment horizontal="center" vertical="center"/>
    </xf>
    <xf numFmtId="180" fontId="24" fillId="16" borderId="166" xfId="0" applyFont="1" applyFill="1" applyBorder="1" applyAlignment="1">
      <alignment horizontal="center" vertical="center"/>
    </xf>
    <xf numFmtId="180" fontId="24" fillId="16" borderId="5" xfId="0" applyFont="1" applyFill="1" applyBorder="1" applyAlignment="1">
      <alignment horizontal="center" vertical="center"/>
    </xf>
    <xf numFmtId="0" fontId="24" fillId="16" borderId="20" xfId="4" applyFont="1" applyFill="1" applyBorder="1" applyAlignment="1">
      <alignment horizontal="centerContinuous" vertical="center"/>
    </xf>
    <xf numFmtId="0" fontId="24" fillId="16" borderId="20" xfId="4" applyFont="1" applyFill="1" applyBorder="1" applyAlignment="1">
      <alignment horizontal="center" vertical="center"/>
    </xf>
    <xf numFmtId="180" fontId="24" fillId="16" borderId="20" xfId="0" applyFont="1" applyFill="1" applyBorder="1" applyAlignment="1">
      <alignment horizontal="center" vertical="center" shrinkToFit="1"/>
    </xf>
    <xf numFmtId="180" fontId="24" fillId="16" borderId="3" xfId="0" applyFont="1" applyFill="1" applyBorder="1" applyAlignment="1">
      <alignment horizontal="center" vertical="center" shrinkToFit="1"/>
    </xf>
    <xf numFmtId="180" fontId="24" fillId="16" borderId="5" xfId="0" applyFont="1" applyFill="1" applyBorder="1" applyAlignment="1">
      <alignment horizontal="center" vertical="center" shrinkToFit="1"/>
    </xf>
    <xf numFmtId="180" fontId="24" fillId="16" borderId="20" xfId="0" applyFont="1" applyFill="1" applyBorder="1" applyAlignment="1">
      <alignment horizontal="center" vertical="center"/>
    </xf>
    <xf numFmtId="180" fontId="24" fillId="16" borderId="3" xfId="0" applyFont="1" applyFill="1" applyBorder="1" applyAlignment="1">
      <alignment horizontal="center" vertical="center"/>
    </xf>
    <xf numFmtId="180" fontId="24" fillId="16" borderId="80" xfId="0" applyFont="1" applyFill="1" applyBorder="1" applyAlignment="1">
      <alignment horizontal="center" vertical="center" shrinkToFit="1"/>
    </xf>
    <xf numFmtId="180" fontId="24" fillId="16" borderId="3" xfId="0" applyFont="1" applyFill="1" applyBorder="1" applyAlignment="1">
      <alignment horizontal="centerContinuous" vertical="center"/>
    </xf>
    <xf numFmtId="180" fontId="24" fillId="16" borderId="5" xfId="0" applyFont="1" applyFill="1" applyBorder="1" applyAlignment="1">
      <alignment horizontal="centerContinuous" vertical="center"/>
    </xf>
    <xf numFmtId="180" fontId="24" fillId="16" borderId="81" xfId="0" applyFont="1" applyFill="1" applyBorder="1">
      <alignment vertical="center"/>
    </xf>
    <xf numFmtId="0" fontId="13" fillId="16" borderId="35" xfId="6" applyFont="1" applyFill="1" applyBorder="1" applyAlignment="1">
      <alignment horizontal="center" vertical="center" shrinkToFit="1"/>
    </xf>
    <xf numFmtId="0" fontId="13" fillId="16" borderId="35" xfId="6" applyFont="1" applyFill="1" applyBorder="1" applyAlignment="1">
      <alignment horizontal="center" shrinkToFit="1"/>
    </xf>
    <xf numFmtId="0" fontId="13" fillId="16" borderId="35" xfId="6" applyFont="1" applyFill="1" applyBorder="1" applyAlignment="1">
      <alignment horizontal="center" wrapText="1" shrinkToFit="1"/>
    </xf>
    <xf numFmtId="0" fontId="13" fillId="16" borderId="1" xfId="6" applyFont="1" applyFill="1" applyBorder="1" applyAlignment="1">
      <alignment horizontal="centerContinuous" vertical="center"/>
    </xf>
    <xf numFmtId="0" fontId="13" fillId="16" borderId="19" xfId="6" applyFont="1" applyFill="1" applyBorder="1" applyAlignment="1">
      <alignment horizontal="centerContinuous" vertical="center" shrinkToFit="1"/>
    </xf>
    <xf numFmtId="0" fontId="13" fillId="16" borderId="52" xfId="6" applyFont="1" applyFill="1" applyBorder="1" applyAlignment="1">
      <alignment horizontal="center" vertical="center" shrinkToFit="1"/>
    </xf>
    <xf numFmtId="0" fontId="13" fillId="16" borderId="7" xfId="6" applyFont="1" applyFill="1" applyBorder="1" applyAlignment="1">
      <alignment horizontal="center" vertical="center" shrinkToFit="1"/>
    </xf>
    <xf numFmtId="0" fontId="13" fillId="16" borderId="8" xfId="6" applyFont="1" applyFill="1" applyBorder="1" applyAlignment="1">
      <alignment horizontal="center" vertical="center" shrinkToFit="1"/>
    </xf>
    <xf numFmtId="0" fontId="13" fillId="16" borderId="24" xfId="6" applyFont="1" applyFill="1" applyBorder="1" applyAlignment="1">
      <alignment horizontal="center" vertical="center" shrinkToFit="1"/>
    </xf>
    <xf numFmtId="0" fontId="13" fillId="16" borderId="52" xfId="6" applyFont="1" applyFill="1" applyBorder="1" applyAlignment="1">
      <alignment horizontal="center" wrapText="1" shrinkToFit="1"/>
    </xf>
    <xf numFmtId="0" fontId="13" fillId="16" borderId="20" xfId="6" applyFont="1" applyFill="1" applyBorder="1" applyAlignment="1">
      <alignment horizontal="center" vertical="center" shrinkToFit="1"/>
    </xf>
    <xf numFmtId="180" fontId="24" fillId="16" borderId="4" xfId="0" applyFont="1" applyFill="1" applyBorder="1" applyAlignment="1">
      <alignment vertical="center" shrinkToFit="1"/>
    </xf>
    <xf numFmtId="180" fontId="24" fillId="16" borderId="5" xfId="0" applyFont="1" applyFill="1" applyBorder="1" applyAlignment="1">
      <alignment vertical="center" shrinkToFit="1"/>
    </xf>
    <xf numFmtId="180" fontId="24" fillId="16" borderId="3" xfId="0" applyFont="1" applyFill="1" applyBorder="1" applyAlignment="1">
      <alignment horizontal="centerContinuous" vertical="center" shrinkToFit="1"/>
    </xf>
    <xf numFmtId="180" fontId="24" fillId="16" borderId="5" xfId="0" applyFont="1" applyFill="1" applyBorder="1" applyAlignment="1">
      <alignment horizontal="centerContinuous" vertical="center" shrinkToFit="1"/>
    </xf>
    <xf numFmtId="40" fontId="24" fillId="16" borderId="20" xfId="0" applyNumberFormat="1" applyFont="1" applyFill="1" applyBorder="1" applyAlignment="1">
      <alignment vertical="center" shrinkToFit="1"/>
    </xf>
    <xf numFmtId="180" fontId="24" fillId="16" borderId="3" xfId="0" applyFont="1" applyFill="1" applyBorder="1" applyAlignment="1">
      <alignment vertical="center" shrinkToFit="1"/>
    </xf>
    <xf numFmtId="233" fontId="24" fillId="16" borderId="20" xfId="2" applyNumberFormat="1" applyFont="1" applyFill="1" applyBorder="1" applyAlignment="1">
      <alignment horizontal="centerContinuous" vertical="center" shrinkToFit="1"/>
    </xf>
    <xf numFmtId="180" fontId="24" fillId="16" borderId="98" xfId="0" applyFont="1" applyFill="1" applyBorder="1" applyAlignment="1">
      <alignment horizontal="centerContinuous" vertical="center" shrinkToFit="1"/>
    </xf>
    <xf numFmtId="180" fontId="24" fillId="16" borderId="68" xfId="0" applyFont="1" applyFill="1" applyBorder="1" applyAlignment="1">
      <alignment horizontal="centerContinuous" vertical="center" shrinkToFit="1"/>
    </xf>
    <xf numFmtId="180" fontId="24" fillId="16" borderId="69" xfId="0" applyFont="1" applyFill="1" applyBorder="1" applyAlignment="1">
      <alignment horizontal="centerContinuous" vertical="center" shrinkToFit="1"/>
    </xf>
    <xf numFmtId="180" fontId="24" fillId="16" borderId="20" xfId="0" applyFont="1" applyFill="1" applyBorder="1" applyAlignment="1">
      <alignment horizontal="centerContinuous" vertical="center" shrinkToFit="1"/>
    </xf>
    <xf numFmtId="180" fontId="24" fillId="16" borderId="100" xfId="0" applyFont="1" applyFill="1" applyBorder="1" applyAlignment="1">
      <alignment horizontal="centerContinuous" vertical="center" shrinkToFit="1"/>
    </xf>
    <xf numFmtId="180" fontId="24" fillId="16" borderId="101" xfId="0" applyFont="1" applyFill="1" applyBorder="1" applyAlignment="1">
      <alignment horizontal="centerContinuous" vertical="center" shrinkToFit="1"/>
    </xf>
    <xf numFmtId="0" fontId="13" fillId="16" borderId="3" xfId="6" applyFont="1" applyFill="1" applyBorder="1" applyAlignment="1">
      <alignment horizontal="centerContinuous" vertical="center" shrinkToFit="1"/>
    </xf>
    <xf numFmtId="0" fontId="13" fillId="16" borderId="4" xfId="6" applyFont="1" applyFill="1" applyBorder="1" applyAlignment="1">
      <alignment horizontal="centerContinuous" vertical="center" shrinkToFit="1"/>
    </xf>
    <xf numFmtId="0" fontId="13" fillId="16" borderId="5" xfId="6" applyFont="1" applyFill="1" applyBorder="1" applyAlignment="1">
      <alignment horizontal="centerContinuous" vertical="center" shrinkToFit="1"/>
    </xf>
    <xf numFmtId="180" fontId="24" fillId="16" borderId="40" xfId="0" applyFont="1" applyFill="1" applyBorder="1" applyAlignment="1">
      <alignment horizontal="centerContinuous" vertical="center" shrinkToFit="1"/>
    </xf>
    <xf numFmtId="180" fontId="24" fillId="16" borderId="41" xfId="0" applyFont="1" applyFill="1" applyBorder="1" applyAlignment="1">
      <alignment horizontal="centerContinuous" vertical="center" shrinkToFit="1"/>
    </xf>
    <xf numFmtId="180" fontId="58" fillId="16" borderId="0" xfId="0" applyFont="1" applyFill="1">
      <alignment vertical="center"/>
    </xf>
    <xf numFmtId="180" fontId="9" fillId="16" borderId="0" xfId="0" applyFont="1" applyFill="1" applyAlignment="1">
      <alignment horizontal="center" vertical="center"/>
    </xf>
    <xf numFmtId="180" fontId="23" fillId="16" borderId="0" xfId="0" applyFont="1" applyFill="1">
      <alignment vertical="center"/>
    </xf>
    <xf numFmtId="180" fontId="9" fillId="16" borderId="35" xfId="0" applyFont="1" applyFill="1" applyBorder="1" applyAlignment="1">
      <alignment vertical="center" textRotation="255"/>
    </xf>
    <xf numFmtId="180" fontId="0" fillId="16" borderId="52" xfId="0" applyFill="1" applyBorder="1" applyAlignment="1">
      <alignment horizontal="center" vertical="center"/>
    </xf>
    <xf numFmtId="180" fontId="0" fillId="16" borderId="99" xfId="0" applyFill="1" applyBorder="1" applyAlignment="1">
      <alignment horizontal="right" vertical="center"/>
    </xf>
    <xf numFmtId="180" fontId="0" fillId="16" borderId="24" xfId="0" applyFill="1" applyBorder="1" applyAlignment="1">
      <alignment horizontal="left" vertical="center"/>
    </xf>
    <xf numFmtId="180" fontId="3" fillId="16" borderId="20" xfId="0" applyFont="1" applyFill="1" applyBorder="1" applyAlignment="1">
      <alignment horizontal="center" vertical="center"/>
    </xf>
    <xf numFmtId="180" fontId="3" fillId="16" borderId="105" xfId="0" applyFont="1" applyFill="1" applyBorder="1" applyAlignment="1">
      <alignment horizontal="center" vertical="center"/>
    </xf>
    <xf numFmtId="180" fontId="3" fillId="16" borderId="106" xfId="0" applyFont="1" applyFill="1" applyBorder="1" applyAlignment="1">
      <alignment horizontal="center" vertical="center"/>
    </xf>
    <xf numFmtId="180" fontId="0" fillId="16" borderId="106" xfId="0" applyFill="1" applyBorder="1" applyAlignment="1">
      <alignment horizontal="center" vertical="center"/>
    </xf>
    <xf numFmtId="180" fontId="0" fillId="16" borderId="5" xfId="0" applyFill="1" applyBorder="1" applyAlignment="1">
      <alignment horizontal="center" vertical="center"/>
    </xf>
    <xf numFmtId="180" fontId="0" fillId="16" borderId="3" xfId="0" applyFill="1" applyBorder="1" applyAlignment="1">
      <alignment horizontal="right" vertical="center"/>
    </xf>
    <xf numFmtId="180" fontId="0" fillId="16" borderId="5" xfId="0" applyFill="1" applyBorder="1" applyAlignment="1">
      <alignment horizontal="left" vertical="center"/>
    </xf>
    <xf numFmtId="180" fontId="9" fillId="16" borderId="35" xfId="0" applyFont="1" applyFill="1" applyBorder="1" applyAlignment="1">
      <alignment horizontal="center" vertical="center" textRotation="255" wrapText="1"/>
    </xf>
    <xf numFmtId="180" fontId="9" fillId="16" borderId="1" xfId="0" applyFont="1" applyFill="1" applyBorder="1" applyAlignment="1">
      <alignment horizontal="center" vertical="center" textRotation="255" wrapText="1"/>
    </xf>
    <xf numFmtId="180" fontId="9" fillId="16" borderId="19" xfId="0" applyFont="1" applyFill="1" applyBorder="1" applyAlignment="1">
      <alignment horizontal="center" vertical="center" textRotation="255" wrapText="1"/>
    </xf>
    <xf numFmtId="180" fontId="32" fillId="16" borderId="5" xfId="0" applyFont="1" applyFill="1" applyBorder="1" applyAlignment="1">
      <alignment horizontal="left" vertical="center"/>
    </xf>
    <xf numFmtId="180" fontId="9" fillId="16" borderId="83" xfId="0" applyFont="1" applyFill="1" applyBorder="1" applyAlignment="1">
      <alignment vertical="center" textRotation="255"/>
    </xf>
    <xf numFmtId="180" fontId="14" fillId="16" borderId="166" xfId="0" applyFont="1" applyFill="1" applyBorder="1" applyAlignment="1">
      <alignment horizontal="center" vertical="center"/>
    </xf>
    <xf numFmtId="180" fontId="50" fillId="16" borderId="5" xfId="0" applyFont="1" applyFill="1" applyBorder="1" applyAlignment="1">
      <alignment horizontal="left" vertical="center"/>
    </xf>
    <xf numFmtId="180" fontId="9" fillId="16" borderId="35" xfId="0" applyFont="1" applyFill="1" applyBorder="1" applyAlignment="1">
      <alignment horizontal="center" vertical="center" wrapText="1"/>
    </xf>
    <xf numFmtId="180" fontId="0" fillId="16" borderId="20" xfId="0" applyFill="1" applyBorder="1" applyAlignment="1">
      <alignment horizontal="center" vertical="center" shrinkToFit="1"/>
    </xf>
    <xf numFmtId="180" fontId="0" fillId="16" borderId="173" xfId="0" applyFill="1" applyBorder="1" applyAlignment="1">
      <alignment horizontal="right" vertical="center"/>
    </xf>
    <xf numFmtId="180" fontId="0" fillId="16" borderId="175" xfId="0" applyFill="1" applyBorder="1" applyAlignment="1">
      <alignment horizontal="left" vertical="center"/>
    </xf>
    <xf numFmtId="180" fontId="0" fillId="16" borderId="35" xfId="0" applyFill="1" applyBorder="1">
      <alignment vertical="center"/>
    </xf>
    <xf numFmtId="180" fontId="3" fillId="16" borderId="79" xfId="0" applyFont="1" applyFill="1" applyBorder="1" applyAlignment="1">
      <alignment horizontal="center" vertical="center"/>
    </xf>
    <xf numFmtId="180" fontId="0" fillId="16" borderId="1" xfId="0" applyFill="1" applyBorder="1" applyAlignment="1">
      <alignment horizontal="center" vertical="center"/>
    </xf>
    <xf numFmtId="180" fontId="9" fillId="16" borderId="116" xfId="0" applyFont="1" applyFill="1" applyBorder="1">
      <alignment vertical="center"/>
    </xf>
    <xf numFmtId="180" fontId="9" fillId="16" borderId="117" xfId="0" applyFont="1" applyFill="1" applyBorder="1" applyAlignment="1">
      <alignment horizontal="center" vertical="center"/>
    </xf>
    <xf numFmtId="180" fontId="0" fillId="16" borderId="117" xfId="0" applyFill="1" applyBorder="1">
      <alignment vertical="center"/>
    </xf>
    <xf numFmtId="180" fontId="9" fillId="16" borderId="116" xfId="0" applyFont="1" applyFill="1" applyBorder="1" applyAlignment="1">
      <alignment horizontal="centerContinuous" vertical="center"/>
    </xf>
    <xf numFmtId="180" fontId="9" fillId="16" borderId="117" xfId="0" applyFont="1" applyFill="1" applyBorder="1" applyAlignment="1">
      <alignment horizontal="centerContinuous" vertical="center"/>
    </xf>
    <xf numFmtId="180" fontId="9" fillId="16" borderId="118" xfId="0" applyFont="1" applyFill="1" applyBorder="1" applyAlignment="1">
      <alignment horizontal="centerContinuous" vertical="center"/>
    </xf>
    <xf numFmtId="0" fontId="10" fillId="16" borderId="4" xfId="5" applyFont="1" applyFill="1" applyBorder="1" applyAlignment="1">
      <alignment horizontal="centerContinuous" vertical="center"/>
    </xf>
    <xf numFmtId="0" fontId="11" fillId="16" borderId="4" xfId="5" applyFont="1" applyFill="1" applyBorder="1" applyAlignment="1">
      <alignment horizontal="centerContinuous" vertical="center"/>
    </xf>
    <xf numFmtId="0" fontId="11" fillId="16" borderId="5" xfId="5" applyFont="1" applyFill="1" applyBorder="1" applyAlignment="1">
      <alignment horizontal="centerContinuous" vertical="center"/>
    </xf>
    <xf numFmtId="0" fontId="10" fillId="16" borderId="1" xfId="5" applyFont="1" applyFill="1" applyBorder="1" applyAlignment="1">
      <alignment horizontal="centerContinuous" vertical="center"/>
    </xf>
    <xf numFmtId="0" fontId="11" fillId="16" borderId="2" xfId="5" applyFont="1" applyFill="1" applyBorder="1" applyAlignment="1">
      <alignment horizontal="centerContinuous" vertical="center"/>
    </xf>
    <xf numFmtId="0" fontId="11" fillId="16" borderId="19" xfId="5" applyFont="1" applyFill="1" applyBorder="1" applyAlignment="1">
      <alignment horizontal="centerContinuous" vertical="center"/>
    </xf>
    <xf numFmtId="180" fontId="12" fillId="16" borderId="188" xfId="0" applyFont="1" applyFill="1" applyBorder="1" applyAlignment="1">
      <alignment horizontal="center" vertical="center"/>
    </xf>
    <xf numFmtId="180" fontId="12" fillId="16" borderId="108" xfId="0" applyFont="1" applyFill="1" applyBorder="1" applyAlignment="1">
      <alignment horizontal="center" vertical="center"/>
    </xf>
    <xf numFmtId="180" fontId="12" fillId="16" borderId="164" xfId="0" applyFont="1" applyFill="1" applyBorder="1" applyAlignment="1">
      <alignment horizontal="center" vertical="center"/>
    </xf>
    <xf numFmtId="38" fontId="0" fillId="16" borderId="50" xfId="2" applyFont="1" applyFill="1" applyBorder="1" applyAlignment="1">
      <alignment horizontal="center" vertical="center"/>
    </xf>
    <xf numFmtId="38" fontId="0" fillId="16" borderId="67" xfId="2" applyFont="1" applyFill="1" applyBorder="1" applyAlignment="1">
      <alignment horizontal="center" vertical="center"/>
    </xf>
    <xf numFmtId="0" fontId="12" fillId="16" borderId="19" xfId="5" applyFont="1" applyFill="1" applyBorder="1">
      <alignment vertical="center"/>
    </xf>
    <xf numFmtId="0" fontId="12" fillId="16" borderId="24" xfId="5" applyFont="1" applyFill="1" applyBorder="1">
      <alignment vertical="center"/>
    </xf>
    <xf numFmtId="0" fontId="12" fillId="16" borderId="116" xfId="5" applyFont="1" applyFill="1" applyBorder="1" applyAlignment="1">
      <alignment horizontal="centerContinuous" vertical="center"/>
    </xf>
    <xf numFmtId="0" fontId="12" fillId="16" borderId="117" xfId="5" applyFont="1" applyFill="1" applyBorder="1" applyAlignment="1">
      <alignment horizontal="centerContinuous" vertical="center"/>
    </xf>
    <xf numFmtId="0" fontId="11" fillId="16" borderId="117" xfId="5" applyFont="1" applyFill="1" applyBorder="1" applyAlignment="1">
      <alignment horizontal="centerContinuous" vertical="center"/>
    </xf>
    <xf numFmtId="0" fontId="10" fillId="16" borderId="116" xfId="5" applyFont="1" applyFill="1" applyBorder="1" applyAlignment="1">
      <alignment horizontal="centerContinuous" vertical="center"/>
    </xf>
    <xf numFmtId="0" fontId="10" fillId="16" borderId="117" xfId="5" applyFont="1" applyFill="1" applyBorder="1" applyAlignment="1">
      <alignment horizontal="centerContinuous" vertical="center"/>
    </xf>
    <xf numFmtId="0" fontId="11" fillId="16" borderId="118" xfId="5" applyFont="1" applyFill="1" applyBorder="1" applyAlignment="1">
      <alignment horizontal="centerContinuous" vertical="center"/>
    </xf>
    <xf numFmtId="0" fontId="3" fillId="16" borderId="171" xfId="5" applyFont="1" applyFill="1" applyBorder="1" applyAlignment="1" applyProtection="1">
      <alignment horizontal="center" vertical="center" shrinkToFit="1"/>
      <protection locked="0"/>
    </xf>
    <xf numFmtId="0" fontId="3" fillId="16" borderId="29" xfId="3" applyFont="1" applyFill="1" applyBorder="1" applyAlignment="1">
      <alignment horizontal="centerContinuous" vertical="center"/>
    </xf>
    <xf numFmtId="0" fontId="3" fillId="16" borderId="60" xfId="3" applyFont="1" applyFill="1" applyBorder="1" applyAlignment="1">
      <alignment horizontal="centerContinuous" vertical="center"/>
    </xf>
    <xf numFmtId="0" fontId="3" fillId="16" borderId="30" xfId="3" applyFont="1" applyFill="1" applyBorder="1" applyAlignment="1">
      <alignment horizontal="centerContinuous" vertical="center"/>
    </xf>
    <xf numFmtId="178" fontId="3" fillId="16" borderId="61" xfId="3" applyNumberFormat="1" applyFont="1" applyFill="1" applyBorder="1" applyAlignment="1">
      <alignment horizontal="centerContinuous" vertical="center"/>
    </xf>
    <xf numFmtId="178" fontId="3" fillId="16" borderId="29" xfId="3" applyNumberFormat="1" applyFont="1" applyFill="1" applyBorder="1" applyAlignment="1">
      <alignment horizontal="centerContinuous" vertical="center"/>
    </xf>
    <xf numFmtId="178" fontId="3" fillId="16" borderId="60" xfId="3" applyNumberFormat="1" applyFont="1" applyFill="1" applyBorder="1" applyAlignment="1">
      <alignment horizontal="centerContinuous" vertical="center"/>
    </xf>
    <xf numFmtId="178" fontId="3" fillId="16" borderId="30" xfId="3" applyNumberFormat="1" applyFont="1" applyFill="1" applyBorder="1" applyAlignment="1">
      <alignment horizontal="centerContinuous" vertical="center"/>
    </xf>
    <xf numFmtId="178" fontId="3" fillId="16" borderId="50" xfId="3" applyNumberFormat="1" applyFont="1" applyFill="1" applyBorder="1" applyAlignment="1">
      <alignment horizontal="centerContinuous" vertical="center"/>
    </xf>
    <xf numFmtId="0" fontId="3" fillId="16" borderId="61" xfId="3" applyFont="1" applyFill="1" applyBorder="1" applyAlignment="1">
      <alignment horizontal="centerContinuous" vertical="center"/>
    </xf>
    <xf numFmtId="0" fontId="3" fillId="16" borderId="50" xfId="3" applyFont="1" applyFill="1" applyBorder="1" applyAlignment="1">
      <alignment horizontal="centerContinuous" vertical="center"/>
    </xf>
    <xf numFmtId="0" fontId="22" fillId="16" borderId="172" xfId="5" applyFont="1" applyFill="1" applyBorder="1" applyAlignment="1" applyProtection="1">
      <alignment horizontal="center" vertical="center" shrinkToFit="1"/>
      <protection locked="0"/>
    </xf>
    <xf numFmtId="0" fontId="3" fillId="16" borderId="33" xfId="3" applyFont="1" applyFill="1" applyBorder="1" applyAlignment="1">
      <alignment horizontal="centerContinuous" vertical="center"/>
    </xf>
    <xf numFmtId="0" fontId="3" fillId="16" borderId="65" xfId="3" applyFont="1" applyFill="1" applyBorder="1" applyAlignment="1">
      <alignment horizontal="centerContinuous" vertical="center"/>
    </xf>
    <xf numFmtId="0" fontId="3" fillId="16" borderId="34" xfId="3" applyFont="1" applyFill="1" applyBorder="1" applyAlignment="1">
      <alignment horizontal="centerContinuous" vertical="center"/>
    </xf>
    <xf numFmtId="178" fontId="3" fillId="16" borderId="66" xfId="3" applyNumberFormat="1" applyFont="1" applyFill="1" applyBorder="1" applyAlignment="1">
      <alignment horizontal="centerContinuous" vertical="center"/>
    </xf>
    <xf numFmtId="178" fontId="3" fillId="16" borderId="33" xfId="3" applyNumberFormat="1" applyFont="1" applyFill="1" applyBorder="1" applyAlignment="1">
      <alignment horizontal="centerContinuous" vertical="center"/>
    </xf>
    <xf numFmtId="178" fontId="3" fillId="16" borderId="65" xfId="3" applyNumberFormat="1" applyFont="1" applyFill="1" applyBorder="1" applyAlignment="1">
      <alignment horizontal="centerContinuous" vertical="center"/>
    </xf>
    <xf numFmtId="178" fontId="3" fillId="16" borderId="34" xfId="3" applyNumberFormat="1" applyFont="1" applyFill="1" applyBorder="1" applyAlignment="1">
      <alignment horizontal="centerContinuous" vertical="center"/>
    </xf>
    <xf numFmtId="178" fontId="3" fillId="16" borderId="67" xfId="3" applyNumberFormat="1" applyFont="1" applyFill="1" applyBorder="1" applyAlignment="1">
      <alignment horizontal="centerContinuous" vertical="center"/>
    </xf>
    <xf numFmtId="0" fontId="3" fillId="16" borderId="66" xfId="3" applyFont="1" applyFill="1" applyBorder="1" applyAlignment="1">
      <alignment horizontal="centerContinuous" vertical="center"/>
    </xf>
    <xf numFmtId="0" fontId="3" fillId="16" borderId="67" xfId="3" applyFont="1" applyFill="1" applyBorder="1" applyAlignment="1">
      <alignment horizontal="centerContinuous" vertical="center"/>
    </xf>
    <xf numFmtId="178" fontId="0" fillId="16" borderId="65" xfId="3" applyNumberFormat="1" applyFont="1" applyFill="1" applyBorder="1" applyAlignment="1">
      <alignment horizontal="centerContinuous" vertical="center"/>
    </xf>
    <xf numFmtId="0" fontId="0" fillId="16" borderId="83" xfId="5" applyFont="1" applyFill="1" applyBorder="1" applyAlignment="1" applyProtection="1">
      <alignment horizontal="center" vertical="center" shrinkToFit="1"/>
      <protection locked="0"/>
    </xf>
    <xf numFmtId="0" fontId="22" fillId="16" borderId="52" xfId="5" applyFont="1" applyFill="1" applyBorder="1" applyAlignment="1" applyProtection="1">
      <alignment horizontal="center" vertical="center" shrinkToFit="1"/>
      <protection locked="0"/>
    </xf>
    <xf numFmtId="178" fontId="3" fillId="16" borderId="17" xfId="3" applyNumberFormat="1" applyFont="1" applyFill="1" applyBorder="1" applyAlignment="1">
      <alignment horizontal="centerContinuous" vertical="center"/>
    </xf>
    <xf numFmtId="0" fontId="3" fillId="16" borderId="35" xfId="5" applyFont="1" applyFill="1" applyBorder="1" applyAlignment="1" applyProtection="1">
      <alignment horizontal="center" vertical="center" shrinkToFit="1"/>
      <protection locked="0"/>
    </xf>
    <xf numFmtId="0" fontId="0" fillId="16" borderId="35" xfId="5" applyFont="1" applyFill="1" applyBorder="1" applyAlignment="1" applyProtection="1">
      <alignment horizontal="center" vertical="center" shrinkToFit="1"/>
      <protection locked="0"/>
    </xf>
    <xf numFmtId="178" fontId="0" fillId="16" borderId="13" xfId="3" applyNumberFormat="1" applyFont="1" applyFill="1" applyBorder="1" applyAlignment="1">
      <alignment horizontal="centerContinuous" vertical="center"/>
    </xf>
    <xf numFmtId="178" fontId="3" fillId="16" borderId="13" xfId="3" applyNumberFormat="1" applyFont="1" applyFill="1" applyBorder="1" applyAlignment="1">
      <alignment horizontal="centerContinuous" vertical="center"/>
    </xf>
    <xf numFmtId="180" fontId="0" fillId="16" borderId="78" xfId="5" applyNumberFormat="1" applyFont="1" applyFill="1" applyBorder="1" applyAlignment="1" applyProtection="1">
      <alignment horizontal="center" vertical="center"/>
      <protection locked="0"/>
    </xf>
    <xf numFmtId="178" fontId="0" fillId="16" borderId="61" xfId="3" applyNumberFormat="1" applyFont="1" applyFill="1" applyBorder="1" applyAlignment="1">
      <alignment horizontal="centerContinuous" vertical="center"/>
    </xf>
    <xf numFmtId="0" fontId="46" fillId="16" borderId="35" xfId="5" applyFont="1" applyFill="1" applyBorder="1" applyAlignment="1" applyProtection="1">
      <alignment horizontal="center" vertical="center" shrinkToFit="1"/>
      <protection locked="0"/>
    </xf>
    <xf numFmtId="180" fontId="3" fillId="16" borderId="35" xfId="5" applyNumberFormat="1" applyFont="1" applyFill="1" applyBorder="1" applyAlignment="1" applyProtection="1">
      <alignment horizontal="center" vertical="center" shrinkToFit="1"/>
      <protection locked="0"/>
    </xf>
    <xf numFmtId="180" fontId="3" fillId="16" borderId="171" xfId="5" applyNumberFormat="1" applyFont="1" applyFill="1" applyBorder="1" applyAlignment="1" applyProtection="1">
      <alignment horizontal="center" vertical="center" shrinkToFit="1"/>
      <protection locked="0"/>
    </xf>
    <xf numFmtId="180" fontId="0" fillId="16" borderId="14" xfId="3" applyNumberFormat="1" applyFont="1" applyFill="1" applyBorder="1" applyAlignment="1">
      <alignment horizontal="centerContinuous" vertical="center"/>
    </xf>
    <xf numFmtId="180" fontId="3" fillId="16" borderId="13" xfId="3" applyNumberFormat="1" applyFont="1" applyFill="1" applyBorder="1" applyAlignment="1">
      <alignment horizontal="centerContinuous" vertical="center"/>
    </xf>
    <xf numFmtId="180" fontId="3" fillId="16" borderId="15" xfId="3" applyNumberFormat="1" applyFont="1" applyFill="1" applyBorder="1" applyAlignment="1">
      <alignment horizontal="centerContinuous" vertical="center"/>
    </xf>
    <xf numFmtId="178" fontId="3" fillId="16" borderId="23" xfId="3" applyNumberFormat="1" applyFont="1" applyFill="1" applyBorder="1" applyAlignment="1">
      <alignment horizontal="centerContinuous" vertical="center"/>
    </xf>
    <xf numFmtId="180" fontId="34" fillId="16" borderId="13" xfId="3" applyNumberFormat="1" applyFont="1" applyFill="1" applyBorder="1" applyAlignment="1">
      <alignment horizontal="centerContinuous" vertical="center" shrinkToFit="1"/>
    </xf>
    <xf numFmtId="180" fontId="34" fillId="16" borderId="15" xfId="3" applyNumberFormat="1" applyFont="1" applyFill="1" applyBorder="1" applyAlignment="1">
      <alignment horizontal="centerContinuous" vertical="center" shrinkToFit="1"/>
    </xf>
    <xf numFmtId="178" fontId="3" fillId="16" borderId="169" xfId="3" applyNumberFormat="1" applyFont="1" applyFill="1" applyBorder="1" applyAlignment="1">
      <alignment horizontal="centerContinuous" vertical="center"/>
    </xf>
    <xf numFmtId="178" fontId="3" fillId="16" borderId="187" xfId="3" applyNumberFormat="1" applyFont="1" applyFill="1" applyBorder="1" applyAlignment="1">
      <alignment horizontal="centerContinuous" vertical="center"/>
    </xf>
    <xf numFmtId="178" fontId="0" fillId="16" borderId="58" xfId="3" applyNumberFormat="1" applyFont="1" applyFill="1" applyBorder="1" applyAlignment="1">
      <alignment horizontal="centerContinuous" vertical="center"/>
    </xf>
    <xf numFmtId="178" fontId="3" fillId="16" borderId="170" xfId="3" applyNumberFormat="1" applyFont="1" applyFill="1" applyBorder="1" applyAlignment="1">
      <alignment horizontal="centerContinuous" vertical="center"/>
    </xf>
    <xf numFmtId="180" fontId="0" fillId="16" borderId="35" xfId="5" applyNumberFormat="1" applyFont="1" applyFill="1" applyBorder="1" applyAlignment="1" applyProtection="1">
      <alignment horizontal="center" vertical="center" shrinkToFit="1"/>
      <protection locked="0"/>
    </xf>
    <xf numFmtId="180" fontId="0" fillId="16" borderId="29" xfId="3" applyNumberFormat="1" applyFont="1" applyFill="1" applyBorder="1" applyAlignment="1">
      <alignment horizontal="centerContinuous" vertical="center"/>
    </xf>
    <xf numFmtId="180" fontId="3" fillId="16" borderId="60" xfId="3" applyNumberFormat="1" applyFont="1" applyFill="1" applyBorder="1" applyAlignment="1">
      <alignment horizontal="centerContinuous" vertical="center"/>
    </xf>
    <xf numFmtId="180" fontId="0" fillId="16" borderId="61" xfId="3" applyNumberFormat="1" applyFont="1" applyFill="1" applyBorder="1" applyAlignment="1">
      <alignment horizontal="centerContinuous" vertical="center"/>
    </xf>
    <xf numFmtId="178" fontId="0" fillId="16" borderId="29" xfId="3" applyNumberFormat="1" applyFont="1" applyFill="1" applyBorder="1" applyAlignment="1">
      <alignment horizontal="centerContinuous" vertical="center"/>
    </xf>
    <xf numFmtId="180" fontId="3" fillId="16" borderId="35" xfId="5" applyNumberFormat="1" applyFont="1" applyFill="1" applyBorder="1" applyAlignment="1" applyProtection="1">
      <alignment horizontal="center" vertical="center"/>
      <protection locked="0"/>
    </xf>
    <xf numFmtId="178" fontId="3" fillId="16" borderId="78" xfId="3" applyNumberFormat="1" applyFont="1" applyFill="1" applyBorder="1" applyAlignment="1">
      <alignment horizontal="centerContinuous" vertical="center"/>
    </xf>
    <xf numFmtId="178" fontId="3" fillId="16" borderId="171" xfId="3" applyNumberFormat="1" applyFont="1" applyFill="1" applyBorder="1" applyAlignment="1">
      <alignment horizontal="centerContinuous" vertical="center"/>
    </xf>
    <xf numFmtId="178" fontId="3" fillId="16" borderId="172" xfId="3" applyNumberFormat="1" applyFont="1" applyFill="1" applyBorder="1" applyAlignment="1">
      <alignment horizontal="centerContinuous" vertical="center"/>
    </xf>
    <xf numFmtId="178" fontId="0" fillId="16" borderId="67" xfId="3" applyNumberFormat="1" applyFont="1" applyFill="1" applyBorder="1" applyAlignment="1">
      <alignment horizontal="centerContinuous" vertical="center"/>
    </xf>
    <xf numFmtId="178" fontId="3" fillId="16" borderId="79" xfId="3" applyNumberFormat="1" applyFont="1" applyFill="1" applyBorder="1" applyAlignment="1">
      <alignment horizontal="centerContinuous" vertical="center"/>
    </xf>
    <xf numFmtId="178" fontId="3" fillId="16" borderId="35" xfId="3" applyNumberFormat="1" applyFont="1" applyFill="1" applyBorder="1" applyAlignment="1">
      <alignment horizontal="centerContinuous" vertical="center"/>
    </xf>
    <xf numFmtId="180" fontId="3" fillId="16" borderId="61" xfId="3" applyNumberFormat="1" applyFont="1" applyFill="1" applyBorder="1" applyAlignment="1">
      <alignment horizontal="centerContinuous" vertical="center"/>
    </xf>
    <xf numFmtId="0" fontId="3" fillId="16" borderId="35" xfId="3" applyFont="1" applyFill="1" applyBorder="1" applyAlignment="1">
      <alignment horizontal="center" vertical="center"/>
    </xf>
    <xf numFmtId="0" fontId="3" fillId="16" borderId="52" xfId="3" applyFont="1" applyFill="1" applyBorder="1" applyAlignment="1">
      <alignment horizontal="center" vertical="center"/>
    </xf>
    <xf numFmtId="180" fontId="54" fillId="16" borderId="78" xfId="3" applyNumberFormat="1" applyFont="1" applyFill="1" applyBorder="1" applyAlignment="1">
      <alignment horizontal="center" vertical="center"/>
    </xf>
    <xf numFmtId="180" fontId="54" fillId="16" borderId="76" xfId="3" applyNumberFormat="1" applyFont="1" applyFill="1" applyBorder="1" applyAlignment="1">
      <alignment horizontal="center" vertical="center"/>
    </xf>
    <xf numFmtId="0" fontId="54" fillId="16" borderId="78" xfId="3" applyFont="1" applyFill="1" applyBorder="1" applyAlignment="1">
      <alignment horizontal="center" vertical="center"/>
    </xf>
    <xf numFmtId="0" fontId="54" fillId="16" borderId="76" xfId="3" applyFont="1" applyFill="1" applyBorder="1" applyAlignment="1">
      <alignment horizontal="center" vertical="center"/>
    </xf>
    <xf numFmtId="0" fontId="54" fillId="16" borderId="77" xfId="3" applyFont="1" applyFill="1" applyBorder="1" applyAlignment="1">
      <alignment horizontal="center" vertical="center"/>
    </xf>
    <xf numFmtId="178" fontId="3" fillId="16" borderId="14" xfId="3" applyNumberFormat="1" applyFont="1" applyFill="1" applyBorder="1" applyAlignment="1">
      <alignment horizontal="left" vertical="center"/>
    </xf>
    <xf numFmtId="178" fontId="3" fillId="16" borderId="13" xfId="3" applyNumberFormat="1" applyFont="1" applyFill="1" applyBorder="1" applyAlignment="1">
      <alignment horizontal="left" vertical="center"/>
    </xf>
    <xf numFmtId="178" fontId="3" fillId="16" borderId="15" xfId="3" applyNumberFormat="1" applyFont="1" applyFill="1" applyBorder="1" applyAlignment="1">
      <alignment horizontal="left" vertical="center"/>
    </xf>
    <xf numFmtId="178" fontId="3" fillId="16" borderId="14" xfId="3" applyNumberFormat="1" applyFont="1" applyFill="1" applyBorder="1" applyAlignment="1">
      <alignment horizontal="centerContinuous" vertical="center"/>
    </xf>
    <xf numFmtId="178" fontId="3" fillId="16" borderId="15" xfId="3" applyNumberFormat="1" applyFont="1" applyFill="1" applyBorder="1" applyAlignment="1">
      <alignment horizontal="centerContinuous" vertical="center"/>
    </xf>
    <xf numFmtId="178" fontId="3" fillId="16" borderId="16" xfId="3" applyNumberFormat="1" applyFont="1" applyFill="1" applyBorder="1" applyAlignment="1">
      <alignment horizontal="centerContinuous" vertical="center"/>
    </xf>
    <xf numFmtId="178" fontId="3" fillId="16" borderId="17" xfId="3" applyNumberFormat="1" applyFont="1" applyFill="1" applyBorder="1" applyAlignment="1">
      <alignment horizontal="left" vertical="center"/>
    </xf>
    <xf numFmtId="178" fontId="3" fillId="16" borderId="33" xfId="3" applyNumberFormat="1" applyFont="1" applyFill="1" applyBorder="1" applyAlignment="1">
      <alignment horizontal="left" vertical="center"/>
    </xf>
    <xf numFmtId="178" fontId="3" fillId="16" borderId="34" xfId="3" applyNumberFormat="1" applyFont="1" applyFill="1" applyBorder="1" applyAlignment="1">
      <alignment horizontal="left" vertical="center"/>
    </xf>
    <xf numFmtId="178" fontId="3" fillId="16" borderId="23" xfId="3" applyNumberFormat="1" applyFont="1" applyFill="1" applyBorder="1" applyAlignment="1">
      <alignment horizontal="left" vertical="center"/>
    </xf>
    <xf numFmtId="178" fontId="0" fillId="16" borderId="17" xfId="3" applyNumberFormat="1" applyFont="1" applyFill="1" applyBorder="1" applyAlignment="1">
      <alignment horizontal="centerContinuous" vertical="center"/>
    </xf>
    <xf numFmtId="178" fontId="0" fillId="16" borderId="34" xfId="3" applyNumberFormat="1" applyFont="1" applyFill="1" applyBorder="1" applyAlignment="1">
      <alignment horizontal="centerContinuous" vertical="center"/>
    </xf>
    <xf numFmtId="180" fontId="3" fillId="16" borderId="171" xfId="5" applyNumberFormat="1" applyFont="1" applyFill="1" applyBorder="1" applyAlignment="1" applyProtection="1">
      <alignment horizontal="centerContinuous" vertical="center"/>
      <protection locked="0"/>
    </xf>
    <xf numFmtId="180" fontId="0" fillId="16" borderId="79" xfId="5" applyNumberFormat="1" applyFont="1" applyFill="1" applyBorder="1" applyAlignment="1" applyProtection="1">
      <alignment horizontal="center" vertical="center" shrinkToFit="1"/>
      <protection locked="0"/>
    </xf>
    <xf numFmtId="0" fontId="54" fillId="16" borderId="79" xfId="3" applyFont="1" applyFill="1" applyBorder="1" applyAlignment="1">
      <alignment horizontal="center" vertical="center"/>
    </xf>
    <xf numFmtId="180" fontId="0" fillId="16" borderId="171" xfId="5" applyNumberFormat="1" applyFont="1" applyFill="1" applyBorder="1" applyAlignment="1" applyProtection="1">
      <alignment horizontal="center" vertical="center" shrinkToFit="1"/>
      <protection locked="0"/>
    </xf>
    <xf numFmtId="178" fontId="0" fillId="16" borderId="66" xfId="3" applyNumberFormat="1" applyFont="1" applyFill="1" applyBorder="1" applyAlignment="1">
      <alignment horizontal="centerContinuous" vertical="center"/>
    </xf>
    <xf numFmtId="0" fontId="3" fillId="16" borderId="171" xfId="3" applyFont="1" applyFill="1" applyBorder="1" applyAlignment="1">
      <alignment horizontal="center" vertical="center"/>
    </xf>
    <xf numFmtId="0" fontId="3" fillId="16" borderId="172" xfId="3" applyFont="1" applyFill="1" applyBorder="1" applyAlignment="1">
      <alignment horizontal="center" vertical="center"/>
    </xf>
    <xf numFmtId="0" fontId="0" fillId="16" borderId="78" xfId="3" applyFont="1" applyFill="1" applyBorder="1" applyAlignment="1">
      <alignment horizontal="center" vertical="center"/>
    </xf>
    <xf numFmtId="0" fontId="0" fillId="16" borderId="76" xfId="3" applyFont="1" applyFill="1" applyBorder="1" applyAlignment="1">
      <alignment horizontal="center" vertical="center"/>
    </xf>
    <xf numFmtId="0" fontId="0" fillId="16" borderId="79" xfId="3" applyFont="1" applyFill="1" applyBorder="1" applyAlignment="1">
      <alignment horizontal="center" vertical="center"/>
    </xf>
    <xf numFmtId="180" fontId="0" fillId="16" borderId="78" xfId="0" applyFill="1" applyBorder="1">
      <alignment vertical="center"/>
    </xf>
    <xf numFmtId="180" fontId="0" fillId="16" borderId="76" xfId="0" applyFill="1" applyBorder="1">
      <alignment vertical="center"/>
    </xf>
    <xf numFmtId="180" fontId="0" fillId="16" borderId="79" xfId="0" applyFill="1" applyBorder="1">
      <alignment vertical="center"/>
    </xf>
    <xf numFmtId="180" fontId="0" fillId="16" borderId="173" xfId="0" applyFill="1" applyBorder="1" applyAlignment="1">
      <alignment horizontal="center" vertical="center"/>
    </xf>
    <xf numFmtId="180" fontId="0" fillId="16" borderId="167" xfId="0" applyFill="1" applyBorder="1" applyAlignment="1">
      <alignment horizontal="center" vertical="center"/>
    </xf>
    <xf numFmtId="180" fontId="0" fillId="16" borderId="168" xfId="0" applyFill="1" applyBorder="1" applyAlignment="1">
      <alignment horizontal="center" vertical="center"/>
    </xf>
    <xf numFmtId="180" fontId="0" fillId="16" borderId="194" xfId="0" applyFill="1" applyBorder="1" applyAlignment="1">
      <alignment horizontal="centerContinuous" vertical="center"/>
    </xf>
    <xf numFmtId="180" fontId="0" fillId="16" borderId="168" xfId="0" applyFill="1" applyBorder="1" applyAlignment="1">
      <alignment horizontal="centerContinuous" vertical="center"/>
    </xf>
    <xf numFmtId="180" fontId="0" fillId="16" borderId="167" xfId="0" applyFill="1" applyBorder="1" applyAlignment="1">
      <alignment horizontal="centerContinuous" vertical="center"/>
    </xf>
    <xf numFmtId="180" fontId="22" fillId="16" borderId="35" xfId="0" applyFont="1" applyFill="1" applyBorder="1" applyAlignment="1">
      <alignment horizontal="center" vertical="center"/>
    </xf>
    <xf numFmtId="180" fontId="0" fillId="16" borderId="83" xfId="0" applyFill="1" applyBorder="1">
      <alignment vertical="center"/>
    </xf>
    <xf numFmtId="180" fontId="0" fillId="16" borderId="52" xfId="0" applyFill="1" applyBorder="1">
      <alignment vertical="center"/>
    </xf>
    <xf numFmtId="180" fontId="22" fillId="16" borderId="166" xfId="0" applyFont="1" applyFill="1" applyBorder="1" applyAlignment="1">
      <alignment horizontal="center" vertical="center"/>
    </xf>
    <xf numFmtId="180" fontId="0" fillId="16" borderId="166" xfId="0" applyFill="1" applyBorder="1">
      <alignment vertical="center"/>
    </xf>
    <xf numFmtId="180" fontId="0" fillId="16" borderId="19" xfId="0" applyFill="1" applyBorder="1" applyAlignment="1">
      <alignment horizontal="center" vertical="center"/>
    </xf>
    <xf numFmtId="178" fontId="0" fillId="16" borderId="105" xfId="3" applyNumberFormat="1" applyFont="1" applyFill="1" applyBorder="1" applyAlignment="1">
      <alignment horizontal="centerContinuous" vertical="center"/>
    </xf>
    <xf numFmtId="178" fontId="3" fillId="16" borderId="106" xfId="3" applyNumberFormat="1" applyFont="1" applyFill="1" applyBorder="1" applyAlignment="1">
      <alignment horizontal="centerContinuous" vertical="center"/>
    </xf>
    <xf numFmtId="178" fontId="3" fillId="16" borderId="107" xfId="3" applyNumberFormat="1" applyFont="1" applyFill="1" applyBorder="1" applyAlignment="1">
      <alignment horizontal="centerContinuous" vertical="center"/>
    </xf>
    <xf numFmtId="180" fontId="0" fillId="16" borderId="175" xfId="0" applyFill="1" applyBorder="1" applyAlignment="1">
      <alignment horizontal="center" vertical="center"/>
    </xf>
    <xf numFmtId="178" fontId="3" fillId="16" borderId="105" xfId="3" applyNumberFormat="1" applyFont="1" applyFill="1" applyBorder="1" applyAlignment="1">
      <alignment horizontal="centerContinuous" vertical="center"/>
    </xf>
    <xf numFmtId="178" fontId="3" fillId="16" borderId="197" xfId="3" applyNumberFormat="1" applyFont="1" applyFill="1" applyBorder="1" applyAlignment="1">
      <alignment horizontal="centerContinuous" vertical="center"/>
    </xf>
    <xf numFmtId="180" fontId="14" fillId="13" borderId="4" xfId="0" applyFont="1" applyFill="1" applyBorder="1">
      <alignment vertical="center"/>
    </xf>
    <xf numFmtId="177" fontId="14" fillId="13" borderId="78" xfId="0" applyNumberFormat="1" applyFont="1" applyFill="1" applyBorder="1">
      <alignment vertical="center"/>
    </xf>
    <xf numFmtId="177" fontId="14" fillId="13" borderId="76" xfId="0" applyNumberFormat="1" applyFont="1" applyFill="1" applyBorder="1">
      <alignment vertical="center"/>
    </xf>
    <xf numFmtId="177" fontId="14" fillId="13" borderId="77" xfId="0" applyNumberFormat="1" applyFont="1" applyFill="1" applyBorder="1">
      <alignment vertical="center"/>
    </xf>
    <xf numFmtId="0" fontId="14" fillId="13" borderId="75" xfId="7" applyFont="1" applyFill="1" applyBorder="1" applyAlignment="1">
      <alignment horizontal="center" vertical="center"/>
    </xf>
    <xf numFmtId="0" fontId="14" fillId="13" borderId="76" xfId="7" applyFont="1" applyFill="1" applyBorder="1" applyAlignment="1">
      <alignment horizontal="center" vertical="center"/>
    </xf>
    <xf numFmtId="0" fontId="14" fillId="13" borderId="75" xfId="7" applyFont="1" applyFill="1" applyBorder="1">
      <alignment vertical="center"/>
    </xf>
    <xf numFmtId="0" fontId="14" fillId="13" borderId="76" xfId="7" applyFont="1" applyFill="1" applyBorder="1">
      <alignment vertical="center"/>
    </xf>
    <xf numFmtId="0" fontId="14" fillId="13" borderId="79" xfId="7" applyFont="1" applyFill="1" applyBorder="1">
      <alignment vertical="center"/>
    </xf>
    <xf numFmtId="180" fontId="24" fillId="13" borderId="25" xfId="0" applyFont="1" applyFill="1" applyBorder="1">
      <alignment vertical="center"/>
    </xf>
    <xf numFmtId="180" fontId="24" fillId="13" borderId="27" xfId="0" applyFont="1" applyFill="1" applyBorder="1">
      <alignment vertical="center"/>
    </xf>
    <xf numFmtId="40" fontId="24" fillId="13" borderId="76" xfId="2" applyNumberFormat="1" applyFont="1" applyFill="1" applyBorder="1" applyAlignment="1">
      <alignment vertical="center"/>
    </xf>
    <xf numFmtId="0" fontId="24" fillId="13" borderId="76" xfId="4" applyFont="1" applyFill="1" applyBorder="1">
      <alignment vertical="center"/>
    </xf>
    <xf numFmtId="0" fontId="24" fillId="13" borderId="76" xfId="4" applyFont="1" applyFill="1" applyBorder="1" applyAlignment="1">
      <alignment horizontal="center" vertical="center"/>
    </xf>
    <xf numFmtId="0" fontId="24" fillId="13" borderId="77" xfId="4" applyFont="1" applyFill="1" applyBorder="1">
      <alignment vertical="center"/>
    </xf>
    <xf numFmtId="0" fontId="24" fillId="13" borderId="77" xfId="4" applyFont="1" applyFill="1" applyBorder="1" applyAlignment="1">
      <alignment horizontal="center" vertical="center"/>
    </xf>
    <xf numFmtId="180" fontId="24" fillId="13" borderId="38" xfId="0" applyFont="1" applyFill="1" applyBorder="1">
      <alignment vertical="center"/>
    </xf>
    <xf numFmtId="180" fontId="24" fillId="13" borderId="17" xfId="0" applyFont="1" applyFill="1" applyBorder="1">
      <alignment vertical="center"/>
    </xf>
    <xf numFmtId="180" fontId="24" fillId="13" borderId="23" xfId="0" applyFont="1" applyFill="1" applyBorder="1">
      <alignment vertical="center"/>
    </xf>
    <xf numFmtId="40" fontId="24" fillId="13" borderId="77" xfId="2" applyNumberFormat="1" applyFont="1" applyFill="1" applyBorder="1" applyAlignment="1">
      <alignment vertical="center"/>
    </xf>
    <xf numFmtId="180" fontId="24" fillId="13" borderId="39" xfId="0" applyFont="1" applyFill="1" applyBorder="1">
      <alignment vertical="center"/>
    </xf>
    <xf numFmtId="0" fontId="24" fillId="13" borderId="75" xfId="4" applyFont="1" applyFill="1" applyBorder="1" applyAlignment="1">
      <alignment horizontal="left" vertical="center"/>
    </xf>
    <xf numFmtId="0" fontId="24" fillId="13" borderId="79" xfId="4" applyFont="1" applyFill="1" applyBorder="1" applyAlignment="1">
      <alignment horizontal="left" vertical="center"/>
    </xf>
    <xf numFmtId="40" fontId="24" fillId="13" borderId="79" xfId="2" applyNumberFormat="1" applyFont="1" applyFill="1" applyBorder="1" applyAlignment="1">
      <alignment vertical="center"/>
    </xf>
    <xf numFmtId="191" fontId="24" fillId="13" borderId="27" xfId="0" applyNumberFormat="1" applyFont="1" applyFill="1" applyBorder="1" applyAlignment="1">
      <alignment horizontal="left" vertical="center"/>
    </xf>
    <xf numFmtId="38" fontId="24" fillId="13" borderId="27" xfId="2" applyFont="1" applyFill="1" applyBorder="1" applyAlignment="1" applyProtection="1">
      <alignment vertical="center"/>
      <protection locked="0"/>
    </xf>
    <xf numFmtId="180" fontId="24" fillId="13" borderId="25" xfId="0" applyFont="1" applyFill="1" applyBorder="1" applyProtection="1">
      <alignment vertical="center"/>
      <protection locked="0"/>
    </xf>
    <xf numFmtId="180" fontId="24" fillId="13" borderId="27" xfId="0" applyFont="1" applyFill="1" applyBorder="1" applyProtection="1">
      <alignment vertical="center"/>
      <protection locked="0"/>
    </xf>
    <xf numFmtId="38" fontId="24" fillId="13" borderId="23" xfId="2" applyFont="1" applyFill="1" applyBorder="1" applyAlignment="1" applyProtection="1">
      <alignment vertical="center"/>
      <protection locked="0"/>
    </xf>
    <xf numFmtId="180" fontId="24" fillId="13" borderId="17" xfId="0" applyFont="1" applyFill="1" applyBorder="1" applyProtection="1">
      <alignment vertical="center"/>
      <protection locked="0"/>
    </xf>
    <xf numFmtId="180" fontId="24" fillId="13" borderId="23" xfId="0" applyFont="1" applyFill="1" applyBorder="1" applyProtection="1">
      <alignment vertical="center"/>
      <protection locked="0"/>
    </xf>
    <xf numFmtId="180" fontId="24" fillId="13" borderId="76" xfId="0" applyFont="1" applyFill="1" applyBorder="1" applyProtection="1">
      <alignment vertical="center"/>
      <protection locked="0"/>
    </xf>
    <xf numFmtId="180" fontId="24" fillId="13" borderId="79" xfId="0" applyFont="1" applyFill="1" applyBorder="1" applyProtection="1">
      <alignment vertical="center"/>
      <protection locked="0"/>
    </xf>
    <xf numFmtId="40" fontId="24" fillId="13" borderId="76" xfId="0" applyNumberFormat="1" applyFont="1" applyFill="1" applyBorder="1">
      <alignment vertical="center"/>
    </xf>
    <xf numFmtId="180" fontId="24" fillId="13" borderId="75" xfId="0" applyFont="1" applyFill="1" applyBorder="1" applyAlignment="1">
      <alignment vertical="center" shrinkToFit="1"/>
    </xf>
    <xf numFmtId="180" fontId="24" fillId="13" borderId="76" xfId="0" applyFont="1" applyFill="1" applyBorder="1" applyAlignment="1">
      <alignment vertical="center" shrinkToFit="1"/>
    </xf>
    <xf numFmtId="180" fontId="24" fillId="13" borderId="77" xfId="0" applyFont="1" applyFill="1" applyBorder="1" applyAlignment="1">
      <alignment vertical="center" shrinkToFit="1"/>
    </xf>
    <xf numFmtId="177" fontId="24" fillId="13" borderId="47" xfId="0" applyNumberFormat="1" applyFont="1" applyFill="1" applyBorder="1" applyAlignment="1">
      <alignment vertical="center" shrinkToFit="1"/>
    </xf>
    <xf numFmtId="177" fontId="24" fillId="13" borderId="25" xfId="0" applyNumberFormat="1" applyFont="1" applyFill="1" applyBorder="1" applyAlignment="1">
      <alignment vertical="center" shrinkToFit="1"/>
    </xf>
    <xf numFmtId="177" fontId="24" fillId="13" borderId="39" xfId="0" applyNumberFormat="1" applyFont="1" applyFill="1" applyBorder="1" applyAlignment="1">
      <alignment vertical="center" shrinkToFit="1"/>
    </xf>
    <xf numFmtId="177" fontId="24" fillId="13" borderId="49" xfId="0" applyNumberFormat="1" applyFont="1" applyFill="1" applyBorder="1" applyAlignment="1">
      <alignment vertical="center" shrinkToFit="1"/>
    </xf>
    <xf numFmtId="177" fontId="24" fillId="13" borderId="27" xfId="0" applyNumberFormat="1" applyFont="1" applyFill="1" applyBorder="1" applyAlignment="1">
      <alignment vertical="center" shrinkToFit="1"/>
    </xf>
    <xf numFmtId="177" fontId="24" fillId="13" borderId="38" xfId="0" applyNumberFormat="1" applyFont="1" applyFill="1" applyBorder="1" applyAlignment="1">
      <alignment vertical="center" shrinkToFit="1"/>
    </xf>
    <xf numFmtId="180" fontId="24" fillId="13" borderId="78" xfId="0" applyFont="1" applyFill="1" applyBorder="1" applyAlignment="1">
      <alignment vertical="center" shrinkToFit="1"/>
    </xf>
    <xf numFmtId="177" fontId="24" fillId="13" borderId="14" xfId="0" applyNumberFormat="1" applyFont="1" applyFill="1" applyBorder="1" applyAlignment="1">
      <alignment vertical="center" shrinkToFit="1"/>
    </xf>
    <xf numFmtId="177" fontId="24" fillId="13" borderId="15" xfId="0" applyNumberFormat="1" applyFont="1" applyFill="1" applyBorder="1" applyAlignment="1">
      <alignment vertical="center" shrinkToFit="1"/>
    </xf>
    <xf numFmtId="180" fontId="3" fillId="13" borderId="106" xfId="0" applyFont="1" applyFill="1" applyBorder="1" applyAlignment="1">
      <alignment horizontal="center" vertical="center"/>
    </xf>
    <xf numFmtId="40" fontId="14" fillId="13" borderId="105" xfId="0" applyNumberFormat="1" applyFont="1" applyFill="1" applyBorder="1">
      <alignment vertical="center"/>
    </xf>
    <xf numFmtId="40" fontId="14" fillId="13" borderId="106" xfId="0" applyNumberFormat="1" applyFont="1" applyFill="1" applyBorder="1">
      <alignment vertical="center"/>
    </xf>
    <xf numFmtId="180" fontId="3" fillId="13" borderId="107" xfId="0" applyFont="1" applyFill="1" applyBorder="1" applyAlignment="1">
      <alignment horizontal="center" vertical="center"/>
    </xf>
    <xf numFmtId="40" fontId="14" fillId="13" borderId="107" xfId="0" applyNumberFormat="1" applyFont="1" applyFill="1" applyBorder="1">
      <alignment vertical="center"/>
    </xf>
    <xf numFmtId="196" fontId="14" fillId="13" borderId="20" xfId="0" applyNumberFormat="1" applyFont="1" applyFill="1" applyBorder="1">
      <alignment vertical="center"/>
    </xf>
    <xf numFmtId="196" fontId="14" fillId="13" borderId="67" xfId="0" applyNumberFormat="1" applyFont="1" applyFill="1" applyBorder="1">
      <alignment vertical="center"/>
    </xf>
    <xf numFmtId="195" fontId="14" fillId="13" borderId="20" xfId="0" applyNumberFormat="1" applyFont="1" applyFill="1" applyBorder="1">
      <alignment vertical="center"/>
    </xf>
    <xf numFmtId="189" fontId="14" fillId="13" borderId="20" xfId="0" applyNumberFormat="1" applyFont="1" applyFill="1" applyBorder="1">
      <alignment vertical="center"/>
    </xf>
    <xf numFmtId="199" fontId="14" fillId="13" borderId="20" xfId="0" applyNumberFormat="1" applyFont="1" applyFill="1" applyBorder="1">
      <alignment vertical="center"/>
    </xf>
    <xf numFmtId="187" fontId="14" fillId="13" borderId="20" xfId="0" applyNumberFormat="1" applyFont="1" applyFill="1" applyBorder="1">
      <alignment vertical="center"/>
    </xf>
    <xf numFmtId="201" fontId="14" fillId="13" borderId="20" xfId="0" applyNumberFormat="1" applyFont="1" applyFill="1" applyBorder="1">
      <alignment vertical="center"/>
    </xf>
    <xf numFmtId="191" fontId="14" fillId="13" borderId="166" xfId="0" applyNumberFormat="1" applyFont="1" applyFill="1" applyBorder="1" applyAlignment="1">
      <alignment horizontal="center" vertical="center"/>
    </xf>
    <xf numFmtId="191" fontId="14" fillId="13" borderId="105" xfId="0" applyNumberFormat="1" applyFont="1" applyFill="1" applyBorder="1" applyAlignment="1">
      <alignment horizontal="center" vertical="center"/>
    </xf>
    <xf numFmtId="191" fontId="14" fillId="13" borderId="106" xfId="0" applyNumberFormat="1" applyFont="1" applyFill="1" applyBorder="1" applyAlignment="1">
      <alignment horizontal="center" vertical="center"/>
    </xf>
    <xf numFmtId="191" fontId="14" fillId="13" borderId="20" xfId="0" applyNumberFormat="1" applyFont="1" applyFill="1" applyBorder="1" applyAlignment="1">
      <alignment horizontal="center" vertical="center"/>
    </xf>
    <xf numFmtId="216" fontId="0" fillId="13" borderId="20" xfId="0" applyNumberFormat="1" applyFill="1" applyBorder="1" applyAlignment="1">
      <alignment horizontal="center" vertical="center"/>
    </xf>
    <xf numFmtId="38" fontId="14" fillId="13" borderId="20" xfId="2" applyFont="1" applyFill="1" applyBorder="1" applyAlignment="1">
      <alignment horizontal="center" vertical="center"/>
    </xf>
    <xf numFmtId="40" fontId="14" fillId="13" borderId="20" xfId="2" applyNumberFormat="1" applyFont="1" applyFill="1" applyBorder="1" applyAlignment="1">
      <alignment horizontal="center" vertical="center"/>
    </xf>
    <xf numFmtId="205" fontId="14" fillId="13" borderId="20" xfId="0" applyNumberFormat="1" applyFont="1" applyFill="1" applyBorder="1" applyAlignment="1">
      <alignment horizontal="center" vertical="center"/>
    </xf>
    <xf numFmtId="189" fontId="14" fillId="13" borderId="20" xfId="0" applyNumberFormat="1" applyFont="1" applyFill="1" applyBorder="1" applyAlignment="1">
      <alignment horizontal="center" vertical="center"/>
    </xf>
    <xf numFmtId="188" fontId="14" fillId="13" borderId="166" xfId="0" applyNumberFormat="1" applyFont="1" applyFill="1" applyBorder="1" applyAlignment="1">
      <alignment horizontal="center" vertical="center"/>
    </xf>
    <xf numFmtId="188" fontId="14" fillId="13" borderId="20" xfId="0" applyNumberFormat="1" applyFont="1" applyFill="1" applyBorder="1" applyAlignment="1">
      <alignment horizontal="center" vertical="center"/>
    </xf>
    <xf numFmtId="228" fontId="14" fillId="13" borderId="20" xfId="0" applyNumberFormat="1" applyFont="1" applyFill="1" applyBorder="1" applyAlignment="1">
      <alignment horizontal="center" vertical="center"/>
    </xf>
    <xf numFmtId="40" fontId="14" fillId="13" borderId="61" xfId="0" applyNumberFormat="1" applyFont="1" applyFill="1" applyBorder="1">
      <alignment vertical="center"/>
    </xf>
    <xf numFmtId="40" fontId="14" fillId="13" borderId="60" xfId="0" applyNumberFormat="1" applyFont="1" applyFill="1" applyBorder="1">
      <alignment vertical="center"/>
    </xf>
    <xf numFmtId="40" fontId="14" fillId="13" borderId="50" xfId="0" applyNumberFormat="1" applyFont="1" applyFill="1" applyBorder="1">
      <alignment vertical="center"/>
    </xf>
    <xf numFmtId="40" fontId="14" fillId="13" borderId="66" xfId="0" applyNumberFormat="1" applyFont="1" applyFill="1" applyBorder="1">
      <alignment vertical="center"/>
    </xf>
    <xf numFmtId="40" fontId="14" fillId="13" borderId="65" xfId="0" applyNumberFormat="1" applyFont="1" applyFill="1" applyBorder="1">
      <alignment vertical="center"/>
    </xf>
    <xf numFmtId="40" fontId="14" fillId="13" borderId="67" xfId="0" applyNumberFormat="1" applyFont="1" applyFill="1" applyBorder="1">
      <alignment vertical="center"/>
    </xf>
    <xf numFmtId="40" fontId="14" fillId="13" borderId="17" xfId="0" applyNumberFormat="1" applyFont="1" applyFill="1" applyBorder="1" applyAlignment="1">
      <alignment horizontal="center" vertical="center" shrinkToFit="1"/>
    </xf>
    <xf numFmtId="191" fontId="14" fillId="13" borderId="50" xfId="0" applyNumberFormat="1" applyFont="1" applyFill="1" applyBorder="1" applyAlignment="1">
      <alignment horizontal="center" vertical="center" shrinkToFit="1"/>
    </xf>
    <xf numFmtId="189" fontId="14" fillId="13" borderId="50" xfId="0" applyNumberFormat="1" applyFont="1" applyFill="1" applyBorder="1" applyAlignment="1">
      <alignment horizontal="center" vertical="center" shrinkToFit="1"/>
    </xf>
    <xf numFmtId="213" fontId="14" fillId="13" borderId="78" xfId="0" applyNumberFormat="1" applyFont="1" applyFill="1" applyBorder="1" applyAlignment="1">
      <alignment horizontal="center" vertical="center"/>
    </xf>
    <xf numFmtId="201" fontId="14" fillId="13" borderId="50" xfId="0" applyNumberFormat="1" applyFont="1" applyFill="1" applyBorder="1" applyAlignment="1">
      <alignment horizontal="center" vertical="center" shrinkToFit="1"/>
    </xf>
    <xf numFmtId="193" fontId="14" fillId="13" borderId="78" xfId="0" applyNumberFormat="1" applyFont="1" applyFill="1" applyBorder="1" applyAlignment="1">
      <alignment horizontal="center" vertical="center" shrinkToFit="1"/>
    </xf>
    <xf numFmtId="195" fontId="14" fillId="13" borderId="78" xfId="0" applyNumberFormat="1" applyFont="1" applyFill="1" applyBorder="1" applyAlignment="1">
      <alignment horizontal="center" vertical="center" shrinkToFit="1"/>
    </xf>
    <xf numFmtId="194" fontId="14" fillId="13" borderId="78" xfId="0" applyNumberFormat="1" applyFont="1" applyFill="1" applyBorder="1" applyAlignment="1">
      <alignment horizontal="center" vertical="center" shrinkToFit="1"/>
    </xf>
    <xf numFmtId="193" fontId="14" fillId="13" borderId="50" xfId="0" applyNumberFormat="1" applyFont="1" applyFill="1" applyBorder="1" applyAlignment="1">
      <alignment horizontal="center" vertical="center" shrinkToFit="1"/>
    </xf>
    <xf numFmtId="195" fontId="14" fillId="13" borderId="50" xfId="0" applyNumberFormat="1" applyFont="1" applyFill="1" applyBorder="1" applyAlignment="1">
      <alignment horizontal="center" vertical="center" shrinkToFit="1"/>
    </xf>
    <xf numFmtId="194" fontId="14" fillId="13" borderId="50" xfId="0" applyNumberFormat="1" applyFont="1" applyFill="1" applyBorder="1" applyAlignment="1">
      <alignment horizontal="center" vertical="center" shrinkToFit="1"/>
    </xf>
    <xf numFmtId="189" fontId="14" fillId="13" borderId="78" xfId="0" applyNumberFormat="1" applyFont="1" applyFill="1" applyBorder="1" applyAlignment="1">
      <alignment horizontal="center" vertical="center" shrinkToFit="1"/>
    </xf>
    <xf numFmtId="40" fontId="14" fillId="13" borderId="78" xfId="0" applyNumberFormat="1" applyFont="1" applyFill="1" applyBorder="1" applyAlignment="1">
      <alignment horizontal="center" vertical="center" shrinkToFit="1"/>
    </xf>
    <xf numFmtId="40" fontId="14" fillId="13" borderId="79" xfId="0" applyNumberFormat="1" applyFont="1" applyFill="1" applyBorder="1" applyAlignment="1">
      <alignment horizontal="center" vertical="center" shrinkToFit="1"/>
    </xf>
    <xf numFmtId="0" fontId="14" fillId="13" borderId="14" xfId="5" applyFont="1" applyFill="1" applyBorder="1" applyAlignment="1">
      <alignment horizontal="center" vertical="center" shrinkToFit="1"/>
    </xf>
    <xf numFmtId="0" fontId="14" fillId="13" borderId="15" xfId="5" applyFont="1" applyFill="1" applyBorder="1" applyAlignment="1">
      <alignment horizontal="center" vertical="center" shrinkToFit="1"/>
    </xf>
    <xf numFmtId="0" fontId="44" fillId="0" borderId="0" xfId="7" applyFont="1">
      <alignment vertical="center"/>
    </xf>
    <xf numFmtId="0" fontId="66" fillId="0" borderId="0" xfId="5" applyFont="1">
      <alignment vertical="center"/>
    </xf>
    <xf numFmtId="0" fontId="10" fillId="0" borderId="8" xfId="5" applyFont="1" applyBorder="1" applyAlignment="1">
      <alignment horizontal="center" vertical="center"/>
    </xf>
    <xf numFmtId="0" fontId="60" fillId="0" borderId="0" xfId="7" applyFont="1">
      <alignment vertical="center"/>
    </xf>
    <xf numFmtId="0" fontId="68" fillId="0" borderId="0" xfId="7" applyFont="1" applyAlignment="1">
      <alignment horizontal="left" vertical="center"/>
    </xf>
    <xf numFmtId="0" fontId="68" fillId="0" borderId="0" xfId="7" applyFont="1">
      <alignment vertical="center"/>
    </xf>
    <xf numFmtId="180" fontId="69" fillId="18" borderId="0" xfId="0" applyFont="1" applyFill="1" applyAlignment="1">
      <alignment horizontal="centerContinuous" vertical="center"/>
    </xf>
    <xf numFmtId="180" fontId="70" fillId="18" borderId="0" xfId="0" applyFont="1" applyFill="1" applyAlignment="1">
      <alignment horizontal="centerContinuous" vertical="center"/>
    </xf>
    <xf numFmtId="180" fontId="71" fillId="18" borderId="0" xfId="0" applyFont="1" applyFill="1" applyAlignment="1">
      <alignment horizontal="centerContinuous" vertical="center"/>
    </xf>
    <xf numFmtId="180" fontId="73" fillId="0" borderId="0" xfId="0" applyFont="1" applyAlignment="1">
      <alignment horizontal="left" vertical="center"/>
    </xf>
    <xf numFmtId="180" fontId="72" fillId="0" borderId="22" xfId="0" applyFont="1" applyBorder="1" applyAlignment="1">
      <alignment horizontal="left" vertical="center"/>
    </xf>
    <xf numFmtId="180" fontId="72" fillId="0" borderId="0" xfId="0" applyFont="1" applyAlignment="1">
      <alignment horizontal="left" vertical="center"/>
    </xf>
    <xf numFmtId="0" fontId="14" fillId="16" borderId="20" xfId="7" applyFont="1" applyFill="1" applyBorder="1" applyAlignment="1">
      <alignment horizontal="center" vertical="center" shrinkToFit="1"/>
    </xf>
    <xf numFmtId="180" fontId="74" fillId="18" borderId="0" xfId="0" applyFont="1" applyFill="1" applyAlignment="1">
      <alignment horizontal="centerContinuous" vertical="center"/>
    </xf>
    <xf numFmtId="178" fontId="0" fillId="0" borderId="0" xfId="3" applyNumberFormat="1" applyFont="1" applyAlignment="1">
      <alignment vertical="center"/>
    </xf>
    <xf numFmtId="180" fontId="78" fillId="17" borderId="20" xfId="0" applyFont="1" applyFill="1" applyBorder="1" applyAlignment="1">
      <alignment horizontal="center" vertical="center"/>
    </xf>
    <xf numFmtId="180" fontId="32" fillId="16" borderId="107" xfId="0" applyFont="1" applyFill="1" applyBorder="1" applyAlignment="1">
      <alignment horizontal="center" vertical="center" wrapText="1"/>
    </xf>
    <xf numFmtId="40" fontId="0" fillId="0" borderId="0" xfId="2" applyNumberFormat="1" applyFont="1">
      <alignment vertical="center"/>
    </xf>
    <xf numFmtId="180" fontId="0" fillId="16" borderId="105" xfId="0" applyFill="1" applyBorder="1" applyAlignment="1">
      <alignment vertical="center" wrapText="1"/>
    </xf>
    <xf numFmtId="180" fontId="0" fillId="16" borderId="106" xfId="0" applyFill="1" applyBorder="1" applyAlignment="1">
      <alignment vertical="center" wrapText="1"/>
    </xf>
    <xf numFmtId="180" fontId="0" fillId="16" borderId="106" xfId="0" applyFill="1" applyBorder="1">
      <alignment vertical="center"/>
    </xf>
    <xf numFmtId="180" fontId="32" fillId="16" borderId="106" xfId="0" applyFont="1" applyFill="1" applyBorder="1" applyAlignment="1">
      <alignment vertical="center" wrapText="1"/>
    </xf>
    <xf numFmtId="180" fontId="77" fillId="16" borderId="4" xfId="0" applyFont="1" applyFill="1" applyBorder="1" applyAlignment="1"/>
    <xf numFmtId="180" fontId="59" fillId="16" borderId="4" xfId="0" applyFont="1" applyFill="1" applyBorder="1" applyAlignment="1"/>
    <xf numFmtId="180" fontId="14" fillId="16" borderId="4" xfId="0" applyFont="1" applyFill="1" applyBorder="1" applyAlignment="1"/>
    <xf numFmtId="180" fontId="14" fillId="16" borderId="5" xfId="0" applyFont="1" applyFill="1" applyBorder="1" applyAlignment="1"/>
    <xf numFmtId="180" fontId="14" fillId="0" borderId="49" xfId="0" applyFont="1" applyBorder="1">
      <alignment vertical="center"/>
    </xf>
    <xf numFmtId="180" fontId="0" fillId="0" borderId="231" xfId="0" applyBorder="1">
      <alignment vertical="center"/>
    </xf>
    <xf numFmtId="40" fontId="0" fillId="0" borderId="0" xfId="0" applyNumberFormat="1" applyAlignment="1">
      <alignment horizontal="center" vertical="center" shrinkToFit="1"/>
    </xf>
    <xf numFmtId="40" fontId="3" fillId="16" borderId="173" xfId="0" applyNumberFormat="1" applyFont="1" applyFill="1" applyBorder="1" applyAlignment="1">
      <alignment horizontal="centerContinuous" vertical="center" shrinkToFit="1"/>
    </xf>
    <xf numFmtId="180" fontId="0" fillId="16" borderId="174" xfId="0" applyFill="1" applyBorder="1" applyAlignment="1">
      <alignment horizontal="centerContinuous" vertical="center" shrinkToFit="1"/>
    </xf>
    <xf numFmtId="180" fontId="0" fillId="16" borderId="175" xfId="0" applyFill="1" applyBorder="1" applyAlignment="1">
      <alignment horizontal="centerContinuous" vertical="center" shrinkToFit="1"/>
    </xf>
    <xf numFmtId="180" fontId="14" fillId="0" borderId="233" xfId="0" applyFont="1" applyBorder="1">
      <alignment vertical="center"/>
    </xf>
    <xf numFmtId="40" fontId="32" fillId="16" borderId="173" xfId="0" applyNumberFormat="1" applyFont="1" applyFill="1" applyBorder="1" applyAlignment="1">
      <alignment horizontal="centerContinuous" vertical="center"/>
    </xf>
    <xf numFmtId="40" fontId="32" fillId="16" borderId="174" xfId="0" applyNumberFormat="1" applyFont="1" applyFill="1" applyBorder="1" applyAlignment="1">
      <alignment horizontal="centerContinuous" vertical="center"/>
    </xf>
    <xf numFmtId="40" fontId="32" fillId="16" borderId="175" xfId="0" applyNumberFormat="1" applyFont="1" applyFill="1" applyBorder="1" applyAlignment="1">
      <alignment horizontal="centerContinuous" vertical="center"/>
    </xf>
    <xf numFmtId="186" fontId="3" fillId="0" borderId="231" xfId="0" applyNumberFormat="1" applyFont="1" applyBorder="1" applyAlignment="1">
      <alignment horizontal="centerContinuous" vertical="center"/>
    </xf>
    <xf numFmtId="186" fontId="0" fillId="0" borderId="231" xfId="0" applyNumberFormat="1" applyBorder="1" applyAlignment="1">
      <alignment horizontal="centerContinuous" vertical="center"/>
    </xf>
    <xf numFmtId="38" fontId="0" fillId="0" borderId="231" xfId="2" applyFont="1" applyFill="1" applyBorder="1" applyAlignment="1">
      <alignment horizontal="center" vertical="center" shrinkToFit="1"/>
    </xf>
    <xf numFmtId="40" fontId="3" fillId="0" borderId="231" xfId="0" applyNumberFormat="1" applyFont="1" applyBorder="1" applyAlignment="1">
      <alignment horizontal="centerContinuous" vertical="center"/>
    </xf>
    <xf numFmtId="40" fontId="0" fillId="0" borderId="174" xfId="0" applyNumberFormat="1" applyBorder="1" applyAlignment="1">
      <alignment horizontal="centerContinuous" vertical="center"/>
    </xf>
    <xf numFmtId="40" fontId="0" fillId="0" borderId="175" xfId="0" applyNumberFormat="1" applyBorder="1" applyAlignment="1">
      <alignment horizontal="center" vertical="center" shrinkToFit="1"/>
    </xf>
    <xf numFmtId="180" fontId="0" fillId="20" borderId="167" xfId="0" applyFill="1" applyBorder="1">
      <alignment vertical="center"/>
    </xf>
    <xf numFmtId="180" fontId="0" fillId="20" borderId="234" xfId="0" applyFill="1" applyBorder="1">
      <alignment vertical="center"/>
    </xf>
    <xf numFmtId="180" fontId="0" fillId="20" borderId="168" xfId="0" applyFill="1" applyBorder="1">
      <alignment vertical="center"/>
    </xf>
    <xf numFmtId="180" fontId="0" fillId="20" borderId="169" xfId="0" applyFill="1" applyBorder="1">
      <alignment vertical="center"/>
    </xf>
    <xf numFmtId="180" fontId="0" fillId="20" borderId="231" xfId="0" applyFill="1" applyBorder="1">
      <alignment vertical="center"/>
    </xf>
    <xf numFmtId="180" fontId="0" fillId="20" borderId="233" xfId="0" applyFill="1" applyBorder="1">
      <alignment vertical="center"/>
    </xf>
    <xf numFmtId="40" fontId="0" fillId="0" borderId="209" xfId="0" applyNumberFormat="1" applyBorder="1" applyAlignment="1">
      <alignment horizontal="centerContinuous" vertical="center"/>
    </xf>
    <xf numFmtId="180" fontId="0" fillId="16" borderId="234" xfId="0" applyFill="1" applyBorder="1" applyAlignment="1">
      <alignment horizontal="centerContinuous" vertical="center"/>
    </xf>
    <xf numFmtId="180" fontId="21" fillId="0" borderId="0" xfId="0" applyFont="1">
      <alignment vertical="center"/>
    </xf>
    <xf numFmtId="180" fontId="0" fillId="16" borderId="232" xfId="0" applyFill="1" applyBorder="1" applyAlignment="1">
      <alignment horizontal="centerContinuous" vertical="center"/>
    </xf>
    <xf numFmtId="180" fontId="0" fillId="16" borderId="173" xfId="0" applyFill="1" applyBorder="1" applyAlignment="1">
      <alignment horizontal="centerContinuous" vertical="center" shrinkToFit="1"/>
    </xf>
    <xf numFmtId="180" fontId="0" fillId="0" borderId="174" xfId="0" applyBorder="1">
      <alignment vertical="center"/>
    </xf>
    <xf numFmtId="177" fontId="0" fillId="0" borderId="174" xfId="0" applyNumberFormat="1" applyBorder="1">
      <alignment vertical="center"/>
    </xf>
    <xf numFmtId="180" fontId="0" fillId="0" borderId="174" xfId="0" applyBorder="1" applyAlignment="1">
      <alignment horizontal="right" vertical="center"/>
    </xf>
    <xf numFmtId="40" fontId="3" fillId="0" borderId="174" xfId="0" applyNumberFormat="1" applyFont="1" applyBorder="1" applyAlignment="1">
      <alignment horizontal="center" vertical="center"/>
    </xf>
    <xf numFmtId="40" fontId="0" fillId="0" borderId="174" xfId="0" applyNumberFormat="1" applyBorder="1" applyAlignment="1">
      <alignment horizontal="center" vertical="center"/>
    </xf>
    <xf numFmtId="180" fontId="0" fillId="0" borderId="174" xfId="0" applyBorder="1" applyAlignment="1">
      <alignment horizontal="center" vertical="center"/>
    </xf>
    <xf numFmtId="180" fontId="0" fillId="0" borderId="175" xfId="0" applyBorder="1" applyAlignment="1">
      <alignment horizontal="center" vertical="center"/>
    </xf>
    <xf numFmtId="180" fontId="10" fillId="16" borderId="174" xfId="0" applyFont="1" applyFill="1" applyBorder="1" applyAlignment="1">
      <alignment horizontal="centerContinuous" vertical="center" wrapText="1"/>
    </xf>
    <xf numFmtId="180" fontId="10" fillId="16" borderId="236" xfId="0" applyFont="1" applyFill="1" applyBorder="1" applyAlignment="1">
      <alignment horizontal="centerContinuous" vertical="center" wrapText="1"/>
    </xf>
    <xf numFmtId="180" fontId="14" fillId="0" borderId="183" xfId="0" applyFont="1" applyBorder="1" applyAlignment="1">
      <alignment horizontal="center" vertical="center"/>
    </xf>
    <xf numFmtId="180" fontId="14" fillId="0" borderId="78" xfId="0" applyFont="1" applyBorder="1" applyAlignment="1">
      <alignment horizontal="center" vertical="center" shrinkToFit="1"/>
    </xf>
    <xf numFmtId="183" fontId="14" fillId="0" borderId="183" xfId="0" applyNumberFormat="1" applyFont="1" applyBorder="1">
      <alignment vertical="center"/>
    </xf>
    <xf numFmtId="180" fontId="14" fillId="0" borderId="183" xfId="0" applyFont="1" applyBorder="1" applyAlignment="1">
      <alignment horizontal="center" vertical="center" shrinkToFit="1"/>
    </xf>
    <xf numFmtId="0" fontId="0" fillId="16" borderId="232" xfId="7" applyFont="1" applyFill="1" applyBorder="1" applyAlignment="1">
      <alignment horizontal="center" vertical="center" shrinkToFit="1"/>
    </xf>
    <xf numFmtId="0" fontId="14" fillId="6" borderId="75" xfId="7" applyFont="1" applyFill="1" applyBorder="1" applyAlignment="1">
      <alignment horizontal="center" vertical="center"/>
    </xf>
    <xf numFmtId="0" fontId="14" fillId="6" borderId="76" xfId="7" applyFont="1" applyFill="1" applyBorder="1" applyAlignment="1">
      <alignment horizontal="center" vertical="center"/>
    </xf>
    <xf numFmtId="0" fontId="14" fillId="6" borderId="79" xfId="7" applyFont="1" applyFill="1" applyBorder="1" applyAlignment="1">
      <alignment horizontal="center" vertical="center"/>
    </xf>
    <xf numFmtId="0" fontId="3" fillId="16" borderId="171" xfId="7" applyFont="1" applyFill="1" applyBorder="1" applyAlignment="1">
      <alignment horizontal="center" vertical="center" shrinkToFit="1"/>
    </xf>
    <xf numFmtId="187" fontId="14" fillId="0" borderId="183" xfId="0" applyNumberFormat="1" applyFont="1" applyBorder="1">
      <alignment vertical="center"/>
    </xf>
    <xf numFmtId="40" fontId="14" fillId="16" borderId="59" xfId="0" applyNumberFormat="1" applyFont="1" applyFill="1" applyBorder="1" applyAlignment="1">
      <alignment horizontal="center" vertical="center" shrinkToFit="1"/>
    </xf>
    <xf numFmtId="40" fontId="14" fillId="13" borderId="237" xfId="0" applyNumberFormat="1" applyFont="1" applyFill="1" applyBorder="1">
      <alignment vertical="center"/>
    </xf>
    <xf numFmtId="40" fontId="14" fillId="13" borderId="238" xfId="0" applyNumberFormat="1" applyFont="1" applyFill="1" applyBorder="1">
      <alignment vertical="center"/>
    </xf>
    <xf numFmtId="40" fontId="14" fillId="13" borderId="239" xfId="0" applyNumberFormat="1" applyFont="1" applyFill="1" applyBorder="1">
      <alignment vertical="center"/>
    </xf>
    <xf numFmtId="40" fontId="14" fillId="13" borderId="240" xfId="0" applyNumberFormat="1" applyFont="1" applyFill="1" applyBorder="1">
      <alignment vertical="center"/>
    </xf>
    <xf numFmtId="40" fontId="14" fillId="13" borderId="241" xfId="0" applyNumberFormat="1" applyFont="1" applyFill="1" applyBorder="1">
      <alignment vertical="center"/>
    </xf>
    <xf numFmtId="40" fontId="14" fillId="13" borderId="242" xfId="0" applyNumberFormat="1" applyFont="1" applyFill="1" applyBorder="1">
      <alignment vertical="center"/>
    </xf>
    <xf numFmtId="40" fontId="14" fillId="13" borderId="243" xfId="0" applyNumberFormat="1" applyFont="1" applyFill="1" applyBorder="1">
      <alignment vertical="center"/>
    </xf>
    <xf numFmtId="40" fontId="14" fillId="13" borderId="244" xfId="0" applyNumberFormat="1" applyFont="1" applyFill="1" applyBorder="1">
      <alignment vertical="center"/>
    </xf>
    <xf numFmtId="40" fontId="14" fillId="13" borderId="245" xfId="0" applyNumberFormat="1" applyFont="1" applyFill="1" applyBorder="1">
      <alignment vertical="center"/>
    </xf>
    <xf numFmtId="40" fontId="14" fillId="13" borderId="246" xfId="0" applyNumberFormat="1" applyFont="1" applyFill="1" applyBorder="1">
      <alignment vertical="center"/>
    </xf>
    <xf numFmtId="9" fontId="14" fillId="0" borderId="100" xfId="15" applyFont="1" applyFill="1" applyBorder="1" applyAlignment="1">
      <alignment horizontal="center" vertical="center" shrinkToFit="1"/>
    </xf>
    <xf numFmtId="180" fontId="0" fillId="16" borderId="68" xfId="0" applyFill="1" applyBorder="1" applyAlignment="1">
      <alignment horizontal="center" vertical="center"/>
    </xf>
    <xf numFmtId="188" fontId="14" fillId="0" borderId="183" xfId="0" applyNumberFormat="1" applyFont="1" applyBorder="1">
      <alignment vertical="center"/>
    </xf>
    <xf numFmtId="40" fontId="3" fillId="0" borderId="26" xfId="0" applyNumberFormat="1" applyFont="1" applyBorder="1" applyAlignment="1">
      <alignment horizontal="centerContinuous" vertical="center" shrinkToFit="1"/>
    </xf>
    <xf numFmtId="40" fontId="3" fillId="0" borderId="16" xfId="0" applyNumberFormat="1" applyFont="1" applyBorder="1" applyAlignment="1">
      <alignment horizontal="centerContinuous" vertical="center" shrinkToFit="1"/>
    </xf>
    <xf numFmtId="40" fontId="14" fillId="0" borderId="13" xfId="0" applyNumberFormat="1" applyFont="1" applyBorder="1">
      <alignment vertical="center"/>
    </xf>
    <xf numFmtId="177" fontId="14" fillId="13" borderId="13" xfId="0" applyNumberFormat="1" applyFont="1" applyFill="1" applyBorder="1">
      <alignment vertical="center"/>
    </xf>
    <xf numFmtId="0" fontId="3" fillId="0" borderId="171" xfId="7" applyFont="1" applyBorder="1" applyAlignment="1">
      <alignment horizontal="center" vertical="center"/>
    </xf>
    <xf numFmtId="0" fontId="14" fillId="13" borderId="78" xfId="7" applyFont="1" applyFill="1" applyBorder="1">
      <alignment vertical="center"/>
    </xf>
    <xf numFmtId="0" fontId="14" fillId="0" borderId="13" xfId="7" applyFont="1" applyBorder="1" applyAlignment="1">
      <alignment horizontal="center" vertical="center"/>
    </xf>
    <xf numFmtId="0" fontId="14" fillId="13" borderId="78" xfId="7" applyFont="1" applyFill="1" applyBorder="1" applyAlignment="1">
      <alignment horizontal="center" vertical="center"/>
    </xf>
    <xf numFmtId="40" fontId="14" fillId="0" borderId="258" xfId="0" applyNumberFormat="1" applyFont="1" applyBorder="1">
      <alignment vertical="center"/>
    </xf>
    <xf numFmtId="0" fontId="14" fillId="6" borderId="14" xfId="7" applyFont="1" applyFill="1" applyBorder="1" applyAlignment="1">
      <alignment horizontal="center" vertical="center"/>
    </xf>
    <xf numFmtId="0" fontId="14" fillId="6" borderId="78" xfId="7" applyFont="1" applyFill="1" applyBorder="1" applyAlignment="1">
      <alignment horizontal="center" vertical="center"/>
    </xf>
    <xf numFmtId="0" fontId="14" fillId="6" borderId="258" xfId="7" applyFont="1" applyFill="1" applyBorder="1" applyAlignment="1">
      <alignment horizontal="center" vertical="center"/>
    </xf>
    <xf numFmtId="0" fontId="14" fillId="0" borderId="132" xfId="7" applyFont="1" applyBorder="1" applyAlignment="1">
      <alignment vertical="center" shrinkToFit="1"/>
    </xf>
    <xf numFmtId="40" fontId="14" fillId="6" borderId="132" xfId="0" applyNumberFormat="1" applyFont="1" applyFill="1" applyBorder="1" applyAlignment="1">
      <alignment vertical="center" shrinkToFit="1"/>
    </xf>
    <xf numFmtId="40" fontId="14" fillId="6" borderId="14" xfId="0" applyNumberFormat="1" applyFont="1" applyFill="1" applyBorder="1" applyAlignment="1">
      <alignment vertical="center" shrinkToFit="1"/>
    </xf>
    <xf numFmtId="0" fontId="3" fillId="16" borderId="167" xfId="7" applyFont="1" applyFill="1" applyBorder="1">
      <alignment vertical="center"/>
    </xf>
    <xf numFmtId="0" fontId="3" fillId="16" borderId="234" xfId="7" applyFont="1" applyFill="1" applyBorder="1">
      <alignment vertical="center"/>
    </xf>
    <xf numFmtId="177" fontId="3" fillId="16" borderId="234" xfId="0" applyNumberFormat="1" applyFont="1" applyFill="1" applyBorder="1">
      <alignment vertical="center"/>
    </xf>
    <xf numFmtId="40" fontId="3" fillId="16" borderId="234" xfId="0" applyNumberFormat="1" applyFont="1" applyFill="1" applyBorder="1">
      <alignment vertical="center"/>
    </xf>
    <xf numFmtId="0" fontId="3" fillId="16" borderId="234" xfId="7" applyFont="1" applyFill="1" applyBorder="1" applyAlignment="1">
      <alignment horizontal="center" vertical="center"/>
    </xf>
    <xf numFmtId="40" fontId="3" fillId="16" borderId="257" xfId="0" applyNumberFormat="1" applyFont="1" applyFill="1" applyBorder="1" applyAlignment="1">
      <alignment horizontal="center" vertical="center"/>
    </xf>
    <xf numFmtId="0" fontId="3" fillId="16" borderId="167" xfId="7" applyFont="1" applyFill="1" applyBorder="1" applyAlignment="1">
      <alignment horizontal="center" vertical="center" shrinkToFit="1"/>
    </xf>
    <xf numFmtId="0" fontId="3" fillId="16" borderId="257" xfId="7" applyFont="1" applyFill="1" applyBorder="1" applyAlignment="1">
      <alignment horizontal="center" vertical="center" shrinkToFit="1"/>
    </xf>
    <xf numFmtId="0" fontId="3" fillId="16" borderId="235" xfId="7" applyFont="1" applyFill="1" applyBorder="1">
      <alignment vertical="center"/>
    </xf>
    <xf numFmtId="0" fontId="3" fillId="16" borderId="183" xfId="7" applyFont="1" applyFill="1" applyBorder="1">
      <alignment vertical="center"/>
    </xf>
    <xf numFmtId="177" fontId="3" fillId="16" borderId="183" xfId="0" applyNumberFormat="1" applyFont="1" applyFill="1" applyBorder="1">
      <alignment vertical="center"/>
    </xf>
    <xf numFmtId="40" fontId="3" fillId="16" borderId="183" xfId="0" applyNumberFormat="1" applyFont="1" applyFill="1" applyBorder="1">
      <alignment vertical="center"/>
    </xf>
    <xf numFmtId="0" fontId="3" fillId="16" borderId="183" xfId="7" applyFont="1" applyFill="1" applyBorder="1" applyAlignment="1">
      <alignment horizontal="center" vertical="center"/>
    </xf>
    <xf numFmtId="180" fontId="9" fillId="16" borderId="174" xfId="0" applyFont="1" applyFill="1" applyBorder="1" applyAlignment="1">
      <alignment horizontal="centerContinuous" vertical="center"/>
    </xf>
    <xf numFmtId="180" fontId="50" fillId="0" borderId="0" xfId="0" applyFont="1">
      <alignment vertical="center"/>
    </xf>
    <xf numFmtId="180" fontId="32" fillId="0" borderId="0" xfId="0" applyFont="1">
      <alignment vertical="center"/>
    </xf>
    <xf numFmtId="180" fontId="50" fillId="21" borderId="0" xfId="0" applyFont="1" applyFill="1">
      <alignment vertical="center"/>
    </xf>
    <xf numFmtId="180" fontId="50" fillId="21" borderId="0" xfId="0" applyFont="1" applyFill="1" applyAlignment="1">
      <alignment horizontal="center" vertical="center"/>
    </xf>
    <xf numFmtId="180" fontId="32" fillId="21" borderId="0" xfId="0" applyFont="1" applyFill="1">
      <alignment vertical="center"/>
    </xf>
    <xf numFmtId="40" fontId="14" fillId="0" borderId="25" xfId="0" applyNumberFormat="1" applyFont="1" applyBorder="1">
      <alignment vertical="center"/>
    </xf>
    <xf numFmtId="40" fontId="14" fillId="0" borderId="26" xfId="0" applyNumberFormat="1" applyFont="1" applyBorder="1">
      <alignment vertical="center"/>
    </xf>
    <xf numFmtId="40" fontId="14" fillId="0" borderId="27" xfId="0" applyNumberFormat="1" applyFont="1" applyBorder="1">
      <alignment vertical="center"/>
    </xf>
    <xf numFmtId="38" fontId="14" fillId="0" borderId="47" xfId="2" applyFont="1" applyFill="1" applyBorder="1" applyAlignment="1">
      <alignment vertical="center"/>
    </xf>
    <xf numFmtId="38" fontId="14" fillId="0" borderId="48" xfId="2" applyFont="1" applyFill="1" applyBorder="1" applyAlignment="1">
      <alignment vertical="center"/>
    </xf>
    <xf numFmtId="38" fontId="14" fillId="0" borderId="49" xfId="2" applyFont="1" applyFill="1" applyBorder="1" applyAlignment="1">
      <alignment vertical="center"/>
    </xf>
    <xf numFmtId="180" fontId="14" fillId="0" borderId="25" xfId="0" applyFont="1" applyBorder="1">
      <alignment vertical="center"/>
    </xf>
    <xf numFmtId="180" fontId="14" fillId="0" borderId="26" xfId="0" applyFont="1" applyBorder="1">
      <alignment vertical="center"/>
    </xf>
    <xf numFmtId="180" fontId="14" fillId="0" borderId="27" xfId="0" applyFont="1" applyBorder="1">
      <alignment vertical="center"/>
    </xf>
    <xf numFmtId="180" fontId="14" fillId="0" borderId="47" xfId="0" applyFont="1" applyBorder="1">
      <alignment vertical="center"/>
    </xf>
    <xf numFmtId="180" fontId="14" fillId="0" borderId="48" xfId="0" applyFont="1" applyBorder="1">
      <alignment vertical="center"/>
    </xf>
    <xf numFmtId="180" fontId="14" fillId="0" borderId="49" xfId="0" applyFont="1" applyBorder="1">
      <alignment vertical="center"/>
    </xf>
    <xf numFmtId="40" fontId="14" fillId="13" borderId="47" xfId="0" applyNumberFormat="1" applyFont="1" applyFill="1" applyBorder="1">
      <alignment vertical="center"/>
    </xf>
    <xf numFmtId="40" fontId="14" fillId="4" borderId="48" xfId="0" applyNumberFormat="1" applyFont="1" applyFill="1" applyBorder="1">
      <alignment vertical="center"/>
    </xf>
    <xf numFmtId="40" fontId="14" fillId="4" borderId="49" xfId="0" applyNumberFormat="1" applyFont="1" applyFill="1" applyBorder="1">
      <alignment vertical="center"/>
    </xf>
    <xf numFmtId="40" fontId="14" fillId="0" borderId="129" xfId="0" applyNumberFormat="1" applyFont="1" applyBorder="1">
      <alignment vertical="center"/>
    </xf>
    <xf numFmtId="40" fontId="14" fillId="0" borderId="130" xfId="0" applyNumberFormat="1" applyFont="1" applyBorder="1">
      <alignment vertical="center"/>
    </xf>
    <xf numFmtId="40" fontId="14" fillId="0" borderId="131" xfId="0" applyNumberFormat="1" applyFont="1" applyBorder="1">
      <alignment vertical="center"/>
    </xf>
    <xf numFmtId="180" fontId="9" fillId="16" borderId="40" xfId="0" applyFont="1" applyFill="1" applyBorder="1" applyAlignment="1">
      <alignment horizontal="center" vertical="center"/>
    </xf>
    <xf numFmtId="180" fontId="9" fillId="3" borderId="41" xfId="0" applyFont="1" applyFill="1" applyBorder="1" applyAlignment="1">
      <alignment horizontal="center" vertical="center"/>
    </xf>
    <xf numFmtId="180" fontId="9" fillId="3" borderId="126" xfId="0" applyFont="1" applyFill="1" applyBorder="1" applyAlignment="1">
      <alignment horizontal="center" vertical="center"/>
    </xf>
    <xf numFmtId="38" fontId="14" fillId="0" borderId="26" xfId="2" applyFont="1" applyFill="1" applyBorder="1" applyAlignment="1">
      <alignment vertical="center" shrinkToFit="1"/>
    </xf>
    <xf numFmtId="38" fontId="14" fillId="0" borderId="26" xfId="2" applyFont="1" applyFill="1" applyBorder="1" applyAlignment="1">
      <alignment horizontal="center" vertical="center" shrinkToFit="1"/>
    </xf>
    <xf numFmtId="38" fontId="14" fillId="0" borderId="27" xfId="2" applyFont="1" applyFill="1" applyBorder="1" applyAlignment="1">
      <alignment vertical="center" shrinkToFit="1"/>
    </xf>
    <xf numFmtId="38" fontId="14" fillId="13" borderId="37" xfId="2" applyFont="1" applyFill="1" applyBorder="1" applyAlignment="1">
      <alignment vertical="center" shrinkToFit="1"/>
    </xf>
    <xf numFmtId="38" fontId="14" fillId="4" borderId="37" xfId="2" applyFont="1" applyFill="1" applyBorder="1" applyAlignment="1">
      <alignment vertical="center" shrinkToFit="1"/>
    </xf>
    <xf numFmtId="180" fontId="14" fillId="0" borderId="39" xfId="0" applyFont="1" applyBorder="1">
      <alignment vertical="center"/>
    </xf>
    <xf numFmtId="180" fontId="14" fillId="0" borderId="37" xfId="0" applyFont="1" applyBorder="1">
      <alignment vertical="center"/>
    </xf>
    <xf numFmtId="180" fontId="14" fillId="0" borderId="38" xfId="0" applyFont="1" applyBorder="1">
      <alignment vertical="center"/>
    </xf>
    <xf numFmtId="40" fontId="14" fillId="13" borderId="25" xfId="0" applyNumberFormat="1" applyFont="1" applyFill="1" applyBorder="1">
      <alignment vertical="center"/>
    </xf>
    <xf numFmtId="40" fontId="14" fillId="4" borderId="26" xfId="0" applyNumberFormat="1" applyFont="1" applyFill="1" applyBorder="1">
      <alignment vertical="center"/>
    </xf>
    <xf numFmtId="40" fontId="14" fillId="4" borderId="27" xfId="0" applyNumberFormat="1" applyFont="1" applyFill="1" applyBorder="1">
      <alignment vertical="center"/>
    </xf>
    <xf numFmtId="38" fontId="14" fillId="0" borderId="14" xfId="2" applyFont="1" applyFill="1" applyBorder="1" applyAlignment="1">
      <alignment vertical="center"/>
    </xf>
    <xf numFmtId="38" fontId="14" fillId="0" borderId="13" xfId="2" applyFont="1" applyFill="1" applyBorder="1" applyAlignment="1">
      <alignment vertical="center"/>
    </xf>
    <xf numFmtId="38" fontId="14" fillId="0" borderId="15" xfId="2" applyFont="1" applyFill="1" applyBorder="1" applyAlignment="1">
      <alignment vertical="center"/>
    </xf>
    <xf numFmtId="38" fontId="14" fillId="0" borderId="25" xfId="2" applyFont="1" applyFill="1" applyBorder="1" applyAlignment="1">
      <alignment vertical="center"/>
    </xf>
    <xf numFmtId="38" fontId="14" fillId="0" borderId="26" xfId="2" applyFont="1" applyFill="1" applyBorder="1" applyAlignment="1">
      <alignment vertical="center"/>
    </xf>
    <xf numFmtId="38" fontId="14" fillId="0" borderId="27" xfId="2" applyFont="1" applyFill="1" applyBorder="1" applyAlignment="1">
      <alignment vertical="center"/>
    </xf>
    <xf numFmtId="180" fontId="3" fillId="16" borderId="20" xfId="0" applyFont="1" applyFill="1" applyBorder="1" applyAlignment="1">
      <alignment horizontal="center" vertical="center" shrinkToFit="1"/>
    </xf>
    <xf numFmtId="180" fontId="3" fillId="3" borderId="20" xfId="0" applyFont="1" applyFill="1" applyBorder="1" applyAlignment="1">
      <alignment horizontal="center" vertical="center" shrinkToFit="1"/>
    </xf>
    <xf numFmtId="40" fontId="14" fillId="0" borderId="14" xfId="0" applyNumberFormat="1" applyFont="1" applyBorder="1">
      <alignment vertical="center"/>
    </xf>
    <xf numFmtId="40" fontId="14" fillId="0" borderId="13" xfId="0" applyNumberFormat="1" applyFont="1" applyBorder="1">
      <alignment vertical="center"/>
    </xf>
    <xf numFmtId="40" fontId="14" fillId="0" borderId="15" xfId="0" applyNumberFormat="1" applyFont="1" applyBorder="1">
      <alignment vertical="center"/>
    </xf>
    <xf numFmtId="38" fontId="14" fillId="0" borderId="136" xfId="0" applyNumberFormat="1" applyFont="1" applyBorder="1">
      <alignment vertical="center"/>
    </xf>
    <xf numFmtId="38" fontId="14" fillId="0" borderId="137" xfId="0" applyNumberFormat="1" applyFont="1" applyBorder="1">
      <alignment vertical="center"/>
    </xf>
    <xf numFmtId="38" fontId="14" fillId="0" borderId="39" xfId="2" applyFont="1" applyFill="1" applyBorder="1" applyAlignment="1">
      <alignment vertical="center"/>
    </xf>
    <xf numFmtId="38" fontId="14" fillId="0" borderId="37" xfId="2" applyFont="1" applyFill="1" applyBorder="1" applyAlignment="1">
      <alignment vertical="center"/>
    </xf>
    <xf numFmtId="38" fontId="14" fillId="0" borderId="38" xfId="2" applyFont="1" applyFill="1" applyBorder="1" applyAlignment="1">
      <alignment vertical="center"/>
    </xf>
    <xf numFmtId="180" fontId="14" fillId="0" borderId="14" xfId="0" applyFont="1" applyBorder="1">
      <alignment vertical="center"/>
    </xf>
    <xf numFmtId="180" fontId="14" fillId="0" borderId="13" xfId="0" applyFont="1" applyBorder="1">
      <alignment vertical="center"/>
    </xf>
    <xf numFmtId="180" fontId="14" fillId="0" borderId="15" xfId="0" applyFont="1" applyBorder="1">
      <alignment vertical="center"/>
    </xf>
    <xf numFmtId="40" fontId="14" fillId="0" borderId="128" xfId="0" applyNumberFormat="1" applyFont="1" applyBorder="1">
      <alignment vertical="center"/>
    </xf>
    <xf numFmtId="40" fontId="14" fillId="0" borderId="41" xfId="0" applyNumberFormat="1" applyFont="1" applyBorder="1">
      <alignment vertical="center"/>
    </xf>
    <xf numFmtId="40" fontId="14" fillId="0" borderId="126" xfId="0" applyNumberFormat="1" applyFont="1" applyBorder="1">
      <alignment vertical="center"/>
    </xf>
    <xf numFmtId="38" fontId="14" fillId="0" borderId="25" xfId="2" applyFont="1" applyFill="1" applyBorder="1" applyAlignment="1">
      <alignment vertical="center" shrinkToFit="1"/>
    </xf>
    <xf numFmtId="38" fontId="14" fillId="13" borderId="26" xfId="2" applyFont="1" applyFill="1" applyBorder="1" applyAlignment="1">
      <alignment vertical="center" shrinkToFit="1"/>
    </xf>
    <xf numFmtId="38" fontId="14" fillId="4" borderId="26" xfId="2" applyFont="1" applyFill="1" applyBorder="1" applyAlignment="1">
      <alignment vertical="center" shrinkToFit="1"/>
    </xf>
    <xf numFmtId="38" fontId="14" fillId="4" borderId="27" xfId="2" applyFont="1" applyFill="1" applyBorder="1" applyAlignment="1">
      <alignment vertical="center" shrinkToFit="1"/>
    </xf>
    <xf numFmtId="180" fontId="14" fillId="0" borderId="26" xfId="0" applyFont="1" applyBorder="1" applyAlignment="1">
      <alignment horizontal="right" vertical="center" shrinkToFit="1"/>
    </xf>
    <xf numFmtId="40" fontId="14" fillId="13" borderId="39" xfId="0" applyNumberFormat="1" applyFont="1" applyFill="1" applyBorder="1">
      <alignment vertical="center"/>
    </xf>
    <xf numFmtId="40" fontId="14" fillId="4" borderId="37" xfId="0" applyNumberFormat="1" applyFont="1" applyFill="1" applyBorder="1">
      <alignment vertical="center"/>
    </xf>
    <xf numFmtId="40" fontId="14" fillId="4" borderId="38" xfId="0" applyNumberFormat="1" applyFont="1" applyFill="1" applyBorder="1">
      <alignment vertical="center"/>
    </xf>
    <xf numFmtId="40" fontId="14" fillId="13" borderId="14" xfId="0" applyNumberFormat="1" applyFont="1" applyFill="1" applyBorder="1">
      <alignment vertical="center"/>
    </xf>
    <xf numFmtId="40" fontId="14" fillId="4" borderId="13" xfId="0" applyNumberFormat="1" applyFont="1" applyFill="1" applyBorder="1">
      <alignment vertical="center"/>
    </xf>
    <xf numFmtId="40" fontId="14" fillId="4" borderId="15" xfId="0" applyNumberFormat="1" applyFont="1" applyFill="1" applyBorder="1">
      <alignment vertical="center"/>
    </xf>
    <xf numFmtId="40" fontId="14" fillId="0" borderId="141" xfId="0" applyNumberFormat="1" applyFont="1" applyBorder="1">
      <alignment vertical="center"/>
    </xf>
    <xf numFmtId="40" fontId="14" fillId="0" borderId="142" xfId="0" applyNumberFormat="1" applyFont="1" applyBorder="1">
      <alignment vertical="center"/>
    </xf>
    <xf numFmtId="40" fontId="14" fillId="0" borderId="143" xfId="0" applyNumberFormat="1" applyFont="1" applyBorder="1">
      <alignment vertical="center"/>
    </xf>
    <xf numFmtId="38" fontId="14" fillId="0" borderId="26" xfId="2" applyFont="1" applyBorder="1" applyAlignment="1">
      <alignment vertical="center"/>
    </xf>
    <xf numFmtId="38" fontId="14" fillId="13" borderId="26" xfId="2" applyFont="1" applyFill="1" applyBorder="1" applyAlignment="1">
      <alignment vertical="center"/>
    </xf>
    <xf numFmtId="38" fontId="14" fillId="4" borderId="26" xfId="2" applyFont="1" applyFill="1" applyBorder="1" applyAlignment="1">
      <alignment vertical="center"/>
    </xf>
    <xf numFmtId="38" fontId="14" fillId="0" borderId="27" xfId="2" applyFont="1" applyBorder="1" applyAlignment="1">
      <alignment vertical="center"/>
    </xf>
    <xf numFmtId="38" fontId="14" fillId="0" borderId="13" xfId="2" applyFont="1" applyFill="1" applyBorder="1" applyAlignment="1">
      <alignment vertical="center" shrinkToFit="1"/>
    </xf>
    <xf numFmtId="38" fontId="14" fillId="13" borderId="37" xfId="2" applyFont="1" applyFill="1" applyBorder="1" applyAlignment="1">
      <alignment vertical="center"/>
    </xf>
    <xf numFmtId="38" fontId="14" fillId="4" borderId="37" xfId="2" applyFont="1" applyFill="1" applyBorder="1" applyAlignment="1">
      <alignment vertical="center"/>
    </xf>
    <xf numFmtId="180" fontId="14" fillId="0" borderId="25" xfId="0" applyFont="1" applyBorder="1" applyAlignment="1">
      <alignment horizontal="right" vertical="center"/>
    </xf>
    <xf numFmtId="180" fontId="14" fillId="0" borderId="26" xfId="0" applyFont="1" applyBorder="1" applyAlignment="1">
      <alignment horizontal="right" vertical="center"/>
    </xf>
    <xf numFmtId="180" fontId="14" fillId="0" borderId="27" xfId="0" applyFont="1" applyBorder="1" applyAlignment="1">
      <alignment horizontal="right" vertical="center"/>
    </xf>
    <xf numFmtId="38" fontId="14" fillId="13" borderId="39" xfId="2" applyFont="1" applyFill="1" applyBorder="1" applyAlignment="1">
      <alignment vertical="center"/>
    </xf>
    <xf numFmtId="180" fontId="3" fillId="0" borderId="14" xfId="0" applyFont="1" applyBorder="1" applyAlignment="1">
      <alignment horizontal="right" vertical="center"/>
    </xf>
    <xf numFmtId="180" fontId="3" fillId="0" borderId="13" xfId="0" applyFont="1" applyBorder="1" applyAlignment="1">
      <alignment horizontal="right" vertical="center"/>
    </xf>
    <xf numFmtId="38" fontId="14" fillId="0" borderId="25" xfId="2" applyFont="1" applyBorder="1" applyAlignment="1">
      <alignment horizontal="right" vertical="center"/>
    </xf>
    <xf numFmtId="38" fontId="14" fillId="0" borderId="26" xfId="2" applyFont="1" applyBorder="1" applyAlignment="1">
      <alignment horizontal="right" vertical="center"/>
    </xf>
    <xf numFmtId="38" fontId="14" fillId="0" borderId="27" xfId="2" applyFont="1" applyBorder="1" applyAlignment="1">
      <alignment horizontal="right" vertical="center"/>
    </xf>
    <xf numFmtId="180" fontId="14" fillId="13" borderId="25" xfId="0" applyFont="1" applyFill="1" applyBorder="1" applyAlignment="1">
      <alignment horizontal="center" vertical="center"/>
    </xf>
    <xf numFmtId="180" fontId="14" fillId="4" borderId="27" xfId="0" applyFont="1" applyFill="1" applyBorder="1" applyAlignment="1">
      <alignment horizontal="center" vertical="center"/>
    </xf>
    <xf numFmtId="180" fontId="14" fillId="0" borderId="17" xfId="0" applyFont="1" applyBorder="1" applyAlignment="1">
      <alignment horizontal="right" vertical="center"/>
    </xf>
    <xf numFmtId="180" fontId="14" fillId="0" borderId="16" xfId="0" applyFont="1" applyBorder="1" applyAlignment="1">
      <alignment horizontal="right" vertical="center"/>
    </xf>
    <xf numFmtId="180" fontId="14" fillId="0" borderId="23" xfId="0" applyFont="1" applyBorder="1" applyAlignment="1">
      <alignment horizontal="right" vertical="center"/>
    </xf>
    <xf numFmtId="180" fontId="14" fillId="13" borderId="25" xfId="0" applyFont="1" applyFill="1" applyBorder="1" applyAlignment="1">
      <alignment horizontal="right" vertical="center"/>
    </xf>
    <xf numFmtId="180" fontId="14" fillId="4" borderId="26" xfId="0" applyFont="1" applyFill="1" applyBorder="1" applyAlignment="1">
      <alignment horizontal="right" vertical="center"/>
    </xf>
    <xf numFmtId="40" fontId="14" fillId="0" borderId="17" xfId="0" applyNumberFormat="1" applyFont="1" applyBorder="1" applyAlignment="1">
      <alignment horizontal="right" vertical="center"/>
    </xf>
    <xf numFmtId="40" fontId="14" fillId="0" borderId="16" xfId="0" applyNumberFormat="1" applyFont="1" applyBorder="1" applyAlignment="1">
      <alignment horizontal="right" vertical="center"/>
    </xf>
    <xf numFmtId="40" fontId="14" fillId="0" borderId="23" xfId="0" applyNumberFormat="1" applyFont="1" applyBorder="1" applyAlignment="1">
      <alignment horizontal="right" vertical="center"/>
    </xf>
    <xf numFmtId="38" fontId="14" fillId="0" borderId="13" xfId="2" applyFont="1" applyBorder="1" applyAlignment="1">
      <alignment vertical="center"/>
    </xf>
    <xf numFmtId="38" fontId="14" fillId="0" borderId="15" xfId="2" applyFont="1" applyBorder="1" applyAlignment="1">
      <alignment vertical="center"/>
    </xf>
    <xf numFmtId="40" fontId="14" fillId="0" borderId="25" xfId="0" applyNumberFormat="1" applyFont="1" applyBorder="1" applyAlignment="1">
      <alignment horizontal="right" vertical="center"/>
    </xf>
    <xf numFmtId="40" fontId="14" fillId="0" borderId="26" xfId="0" applyNumberFormat="1" applyFont="1" applyBorder="1" applyAlignment="1">
      <alignment horizontal="right" vertical="center"/>
    </xf>
    <xf numFmtId="40" fontId="14" fillId="0" borderId="27" xfId="0" applyNumberFormat="1" applyFont="1" applyBorder="1" applyAlignment="1">
      <alignment horizontal="right" vertical="center"/>
    </xf>
    <xf numFmtId="180" fontId="14" fillId="13" borderId="17" xfId="0" applyFont="1" applyFill="1" applyBorder="1" applyAlignment="1">
      <alignment horizontal="center" vertical="center"/>
    </xf>
    <xf numFmtId="180" fontId="14" fillId="4" borderId="23" xfId="0" applyFont="1" applyFill="1" applyBorder="1" applyAlignment="1">
      <alignment horizontal="center" vertical="center"/>
    </xf>
    <xf numFmtId="180" fontId="14" fillId="0" borderId="14" xfId="0" applyFont="1" applyBorder="1" applyAlignment="1">
      <alignment horizontal="right" vertical="center"/>
    </xf>
    <xf numFmtId="180" fontId="14" fillId="0" borderId="13" xfId="0" applyFont="1" applyBorder="1" applyAlignment="1">
      <alignment horizontal="right" vertical="center"/>
    </xf>
    <xf numFmtId="180" fontId="14" fillId="0" borderId="15" xfId="0" applyFont="1" applyBorder="1" applyAlignment="1">
      <alignment horizontal="right" vertical="center"/>
    </xf>
    <xf numFmtId="40" fontId="14" fillId="13" borderId="25" xfId="0" applyNumberFormat="1" applyFont="1" applyFill="1" applyBorder="1" applyAlignment="1">
      <alignment horizontal="right" vertical="center"/>
    </xf>
    <xf numFmtId="40" fontId="14" fillId="4" borderId="26" xfId="0" applyNumberFormat="1" applyFont="1" applyFill="1" applyBorder="1" applyAlignment="1">
      <alignment horizontal="right" vertical="center"/>
    </xf>
    <xf numFmtId="180" fontId="14" fillId="13" borderId="14" xfId="0" applyFont="1" applyFill="1" applyBorder="1" applyAlignment="1">
      <alignment horizontal="right" vertical="center"/>
    </xf>
    <xf numFmtId="180" fontId="14" fillId="4" borderId="13" xfId="0" applyFont="1" applyFill="1" applyBorder="1" applyAlignment="1">
      <alignment horizontal="right" vertical="center"/>
    </xf>
    <xf numFmtId="180" fontId="14" fillId="13" borderId="14" xfId="0" applyFont="1" applyFill="1" applyBorder="1" applyAlignment="1">
      <alignment horizontal="center" vertical="center"/>
    </xf>
    <xf numFmtId="180" fontId="14" fillId="4" borderId="15" xfId="0" applyFont="1" applyFill="1" applyBorder="1" applyAlignment="1">
      <alignment horizontal="center" vertical="center"/>
    </xf>
    <xf numFmtId="40" fontId="14" fillId="13" borderId="17" xfId="0" applyNumberFormat="1" applyFont="1" applyFill="1" applyBorder="1" applyAlignment="1">
      <alignment horizontal="right" vertical="center"/>
    </xf>
    <xf numFmtId="40" fontId="14" fillId="4" borderId="16" xfId="0" applyNumberFormat="1" applyFont="1" applyFill="1" applyBorder="1" applyAlignment="1">
      <alignment horizontal="right" vertical="center"/>
    </xf>
    <xf numFmtId="38" fontId="14" fillId="0" borderId="25" xfId="2" applyFont="1" applyFill="1" applyBorder="1" applyAlignment="1">
      <alignment horizontal="center" vertical="center" shrinkToFit="1"/>
    </xf>
    <xf numFmtId="38" fontId="14" fillId="13" borderId="16" xfId="2" applyFont="1" applyFill="1" applyBorder="1" applyAlignment="1">
      <alignment vertical="center" shrinkToFit="1"/>
    </xf>
    <xf numFmtId="38" fontId="14" fillId="4" borderId="16" xfId="2" applyFont="1" applyFill="1" applyBorder="1" applyAlignment="1">
      <alignment vertical="center" shrinkToFit="1"/>
    </xf>
    <xf numFmtId="38" fontId="14" fillId="8" borderId="26" xfId="2" applyFont="1" applyFill="1" applyBorder="1" applyAlignment="1">
      <alignment vertical="center" shrinkToFit="1"/>
    </xf>
    <xf numFmtId="38" fontId="14" fillId="0" borderId="15" xfId="2" applyFont="1" applyFill="1" applyBorder="1" applyAlignment="1">
      <alignment vertical="center" shrinkToFit="1"/>
    </xf>
    <xf numFmtId="38" fontId="14" fillId="0" borderId="14" xfId="2" applyFont="1" applyFill="1" applyBorder="1" applyAlignment="1">
      <alignment vertical="center" shrinkToFit="1"/>
    </xf>
    <xf numFmtId="38" fontId="14" fillId="4" borderId="27" xfId="2" applyFont="1" applyFill="1" applyBorder="1" applyAlignment="1">
      <alignment vertical="center"/>
    </xf>
    <xf numFmtId="38" fontId="41" fillId="0" borderId="26" xfId="2" applyFont="1" applyFill="1" applyBorder="1" applyAlignment="1">
      <alignment horizontal="center" vertical="center" shrinkToFit="1"/>
    </xf>
    <xf numFmtId="38" fontId="14" fillId="13" borderId="25" xfId="2" applyFont="1" applyFill="1" applyBorder="1" applyAlignment="1">
      <alignment vertical="center" shrinkToFit="1"/>
    </xf>
    <xf numFmtId="38" fontId="14" fillId="13" borderId="17" xfId="2" applyFont="1" applyFill="1" applyBorder="1" applyAlignment="1">
      <alignment vertical="center" shrinkToFit="1"/>
    </xf>
    <xf numFmtId="180" fontId="14" fillId="0" borderId="37" xfId="0" applyFont="1" applyBorder="1" applyAlignment="1">
      <alignment horizontal="right" vertical="center" shrinkToFit="1"/>
    </xf>
    <xf numFmtId="180" fontId="14" fillId="0" borderId="14" xfId="0" applyFont="1" applyBorder="1" applyAlignment="1">
      <alignment horizontal="right" vertical="center" shrinkToFit="1"/>
    </xf>
    <xf numFmtId="180" fontId="14" fillId="0" borderId="13" xfId="0" applyFont="1" applyBorder="1" applyAlignment="1">
      <alignment horizontal="right" vertical="center" shrinkToFit="1"/>
    </xf>
    <xf numFmtId="180" fontId="14" fillId="0" borderId="25" xfId="0" applyFont="1" applyBorder="1" applyAlignment="1">
      <alignment horizontal="right" vertical="center" shrinkToFit="1"/>
    </xf>
    <xf numFmtId="180" fontId="14" fillId="13" borderId="26" xfId="0" applyFont="1" applyFill="1" applyBorder="1" applyAlignment="1">
      <alignment horizontal="right" vertical="center" shrinkToFit="1"/>
    </xf>
    <xf numFmtId="180" fontId="14" fillId="4" borderId="26" xfId="0" applyFont="1" applyFill="1" applyBorder="1" applyAlignment="1">
      <alignment horizontal="right" vertical="center" shrinkToFit="1"/>
    </xf>
    <xf numFmtId="38" fontId="14" fillId="4" borderId="23" xfId="2" applyFont="1" applyFill="1" applyBorder="1" applyAlignment="1">
      <alignment vertical="center" shrinkToFit="1"/>
    </xf>
    <xf numFmtId="180" fontId="14" fillId="4" borderId="27" xfId="0" applyFont="1" applyFill="1" applyBorder="1" applyAlignment="1">
      <alignment horizontal="right" vertical="center" shrinkToFit="1"/>
    </xf>
    <xf numFmtId="180" fontId="14" fillId="13" borderId="37" xfId="0" applyFont="1" applyFill="1" applyBorder="1" applyAlignment="1">
      <alignment horizontal="right" vertical="center" shrinkToFit="1"/>
    </xf>
    <xf numFmtId="180" fontId="14" fillId="4" borderId="37" xfId="0" applyFont="1" applyFill="1" applyBorder="1" applyAlignment="1">
      <alignment horizontal="right" vertical="center" shrinkToFit="1"/>
    </xf>
    <xf numFmtId="180" fontId="14" fillId="4" borderId="38" xfId="0" applyFont="1" applyFill="1" applyBorder="1" applyAlignment="1">
      <alignment horizontal="right" vertical="center" shrinkToFit="1"/>
    </xf>
    <xf numFmtId="180" fontId="9" fillId="16" borderId="22" xfId="0" applyFont="1" applyFill="1" applyBorder="1" applyAlignment="1">
      <alignment horizontal="center" vertical="center"/>
    </xf>
    <xf numFmtId="180" fontId="9" fillId="3" borderId="28" xfId="0" applyFont="1" applyFill="1" applyBorder="1" applyAlignment="1">
      <alignment horizontal="center" vertical="center"/>
    </xf>
    <xf numFmtId="180" fontId="9" fillId="3" borderId="22" xfId="0" applyFont="1" applyFill="1" applyBorder="1" applyAlignment="1">
      <alignment horizontal="center" vertical="center"/>
    </xf>
    <xf numFmtId="180" fontId="9" fillId="3" borderId="7" xfId="0" applyFont="1" applyFill="1" applyBorder="1" applyAlignment="1">
      <alignment horizontal="center" vertical="center"/>
    </xf>
    <xf numFmtId="180" fontId="9" fillId="3" borderId="24" xfId="0" applyFont="1" applyFill="1" applyBorder="1" applyAlignment="1">
      <alignment horizontal="center" vertical="center"/>
    </xf>
    <xf numFmtId="180" fontId="14" fillId="0" borderId="16" xfId="0" applyFont="1" applyBorder="1" applyAlignment="1">
      <alignment horizontal="center" vertical="center"/>
    </xf>
    <xf numFmtId="180" fontId="14" fillId="0" borderId="34" xfId="0" applyFont="1" applyBorder="1">
      <alignment vertical="center"/>
    </xf>
    <xf numFmtId="180" fontId="14" fillId="0" borderId="16" xfId="0" applyFont="1" applyBorder="1">
      <alignment vertical="center"/>
    </xf>
    <xf numFmtId="180" fontId="14" fillId="0" borderId="23" xfId="0" applyFont="1" applyBorder="1">
      <alignment vertical="center"/>
    </xf>
    <xf numFmtId="180" fontId="14" fillId="6" borderId="26" xfId="0" applyFont="1" applyFill="1" applyBorder="1" applyAlignment="1">
      <alignment horizontal="center" vertical="center"/>
    </xf>
    <xf numFmtId="180" fontId="14" fillId="6" borderId="27" xfId="0" applyFont="1" applyFill="1" applyBorder="1" applyAlignment="1">
      <alignment horizontal="center" vertical="center"/>
    </xf>
    <xf numFmtId="180" fontId="14" fillId="6" borderId="13" xfId="0" applyFont="1" applyFill="1" applyBorder="1" applyAlignment="1">
      <alignment horizontal="center" vertical="center"/>
    </xf>
    <xf numFmtId="180" fontId="14" fillId="6" borderId="15" xfId="0" applyFont="1" applyFill="1" applyBorder="1" applyAlignment="1">
      <alignment horizontal="center" vertical="center"/>
    </xf>
    <xf numFmtId="180" fontId="14" fillId="0" borderId="48" xfId="0" applyFont="1" applyBorder="1" applyAlignment="1">
      <alignment horizontal="center" vertical="center"/>
    </xf>
    <xf numFmtId="180" fontId="14" fillId="0" borderId="57" xfId="0" applyFont="1" applyBorder="1">
      <alignment vertical="center"/>
    </xf>
    <xf numFmtId="180" fontId="14" fillId="0" borderId="47" xfId="0" applyFont="1" applyBorder="1" applyAlignment="1">
      <alignment horizontal="right" vertical="center" shrinkToFit="1"/>
    </xf>
    <xf numFmtId="180" fontId="14" fillId="0" borderId="48" xfId="0" applyFont="1" applyBorder="1" applyAlignment="1">
      <alignment horizontal="right" vertical="center" shrinkToFit="1"/>
    </xf>
    <xf numFmtId="180" fontId="0" fillId="0" borderId="0" xfId="0">
      <alignment vertical="center"/>
    </xf>
    <xf numFmtId="40" fontId="10" fillId="16" borderId="4" xfId="0" applyNumberFormat="1" applyFont="1" applyFill="1" applyBorder="1" applyAlignment="1">
      <alignment horizontal="center" vertical="center" shrinkToFit="1"/>
    </xf>
    <xf numFmtId="40" fontId="10" fillId="3" borderId="5" xfId="0" applyNumberFormat="1" applyFont="1" applyFill="1" applyBorder="1" applyAlignment="1">
      <alignment horizontal="center" vertical="center" shrinkToFit="1"/>
    </xf>
    <xf numFmtId="38" fontId="23" fillId="0" borderId="3" xfId="0" applyNumberFormat="1" applyFont="1" applyBorder="1" applyAlignment="1">
      <alignment vertical="center" shrinkToFit="1"/>
    </xf>
    <xf numFmtId="38" fontId="23" fillId="0" borderId="4" xfId="0" applyNumberFormat="1" applyFont="1" applyBorder="1" applyAlignment="1">
      <alignment vertical="center" shrinkToFit="1"/>
    </xf>
    <xf numFmtId="180" fontId="14" fillId="0" borderId="17" xfId="0" applyFont="1" applyBorder="1">
      <alignment vertical="center"/>
    </xf>
    <xf numFmtId="40" fontId="14" fillId="0" borderId="17" xfId="0" applyNumberFormat="1" applyFont="1" applyBorder="1">
      <alignment vertical="center"/>
    </xf>
    <xf numFmtId="40" fontId="14" fillId="0" borderId="16" xfId="0" applyNumberFormat="1" applyFont="1" applyBorder="1">
      <alignment vertical="center"/>
    </xf>
    <xf numFmtId="0" fontId="14" fillId="13" borderId="25" xfId="0" applyNumberFormat="1" applyFont="1" applyFill="1" applyBorder="1">
      <alignment vertical="center"/>
    </xf>
    <xf numFmtId="0" fontId="14" fillId="4" borderId="26" xfId="0" applyNumberFormat="1" applyFont="1" applyFill="1" applyBorder="1">
      <alignment vertical="center"/>
    </xf>
    <xf numFmtId="0" fontId="14" fillId="4" borderId="27" xfId="0" applyNumberFormat="1" applyFont="1" applyFill="1" applyBorder="1">
      <alignment vertical="center"/>
    </xf>
    <xf numFmtId="38" fontId="14" fillId="0" borderId="17" xfId="2" applyFont="1" applyFill="1" applyBorder="1" applyAlignment="1">
      <alignment vertical="center"/>
    </xf>
    <xf numFmtId="38" fontId="14" fillId="0" borderId="16" xfId="2" applyFont="1" applyFill="1" applyBorder="1" applyAlignment="1">
      <alignment vertical="center"/>
    </xf>
    <xf numFmtId="38" fontId="14" fillId="0" borderId="23" xfId="2" applyFont="1" applyFill="1" applyBorder="1" applyAlignment="1">
      <alignment vertical="center"/>
    </xf>
    <xf numFmtId="38" fontId="14" fillId="0" borderId="133" xfId="2" applyFont="1" applyFill="1" applyBorder="1" applyAlignment="1">
      <alignment vertical="center"/>
    </xf>
    <xf numFmtId="38" fontId="14" fillId="0" borderId="134" xfId="2" applyFont="1" applyFill="1" applyBorder="1" applyAlignment="1">
      <alignment vertical="center"/>
    </xf>
    <xf numFmtId="38" fontId="14" fillId="0" borderId="135" xfId="2" applyFont="1" applyFill="1" applyBorder="1" applyAlignment="1">
      <alignment vertical="center"/>
    </xf>
    <xf numFmtId="0" fontId="14" fillId="13" borderId="17" xfId="0" applyNumberFormat="1" applyFont="1" applyFill="1" applyBorder="1">
      <alignment vertical="center"/>
    </xf>
    <xf numFmtId="0" fontId="14" fillId="4" borderId="16" xfId="0" applyNumberFormat="1" applyFont="1" applyFill="1" applyBorder="1">
      <alignment vertical="center"/>
    </xf>
    <xf numFmtId="0" fontId="14" fillId="4" borderId="23" xfId="0" applyNumberFormat="1" applyFont="1" applyFill="1" applyBorder="1">
      <alignment vertical="center"/>
    </xf>
    <xf numFmtId="40" fontId="14" fillId="13" borderId="17" xfId="0" applyNumberFormat="1" applyFont="1" applyFill="1" applyBorder="1">
      <alignment vertical="center"/>
    </xf>
    <xf numFmtId="40" fontId="14" fillId="4" borderId="16" xfId="0" applyNumberFormat="1" applyFont="1" applyFill="1" applyBorder="1">
      <alignment vertical="center"/>
    </xf>
    <xf numFmtId="40" fontId="14" fillId="4" borderId="23" xfId="0" applyNumberFormat="1" applyFont="1" applyFill="1" applyBorder="1">
      <alignment vertical="center"/>
    </xf>
    <xf numFmtId="38" fontId="14" fillId="0" borderId="128" xfId="2" applyFont="1" applyFill="1" applyBorder="1" applyAlignment="1">
      <alignment vertical="center"/>
    </xf>
    <xf numFmtId="38" fontId="14" fillId="0" borderId="41" xfId="2" applyFont="1" applyFill="1" applyBorder="1" applyAlignment="1">
      <alignment vertical="center"/>
    </xf>
    <xf numFmtId="38" fontId="14" fillId="0" borderId="127" xfId="2" applyFont="1" applyFill="1" applyBorder="1" applyAlignment="1">
      <alignment vertical="center"/>
    </xf>
    <xf numFmtId="0" fontId="14" fillId="13" borderId="14" xfId="0" applyNumberFormat="1" applyFont="1" applyFill="1" applyBorder="1">
      <alignment vertical="center"/>
    </xf>
    <xf numFmtId="0" fontId="14" fillId="4" borderId="13" xfId="0" applyNumberFormat="1" applyFont="1" applyFill="1" applyBorder="1">
      <alignment vertical="center"/>
    </xf>
    <xf numFmtId="0" fontId="14" fillId="4" borderId="15" xfId="0" applyNumberFormat="1" applyFont="1" applyFill="1" applyBorder="1">
      <alignment vertical="center"/>
    </xf>
    <xf numFmtId="38" fontId="14" fillId="4" borderId="38" xfId="2" applyFont="1" applyFill="1" applyBorder="1" applyAlignment="1">
      <alignment vertical="center" shrinkToFit="1"/>
    </xf>
    <xf numFmtId="40" fontId="14" fillId="0" borderId="138" xfId="0" applyNumberFormat="1" applyFont="1" applyBorder="1">
      <alignment vertical="center"/>
    </xf>
    <xf numFmtId="40" fontId="14" fillId="0" borderId="139" xfId="0" applyNumberFormat="1" applyFont="1" applyBorder="1">
      <alignment vertical="center"/>
    </xf>
    <xf numFmtId="40" fontId="14" fillId="0" borderId="140" xfId="0" applyNumberFormat="1" applyFont="1" applyBorder="1">
      <alignment vertical="center"/>
    </xf>
    <xf numFmtId="40" fontId="14" fillId="0" borderId="14" xfId="0" applyNumberFormat="1" applyFont="1" applyBorder="1" applyAlignment="1">
      <alignment horizontal="right" vertical="center"/>
    </xf>
    <xf numFmtId="40" fontId="14" fillId="0" borderId="13" xfId="0" applyNumberFormat="1" applyFont="1" applyBorder="1" applyAlignment="1">
      <alignment horizontal="right" vertical="center"/>
    </xf>
    <xf numFmtId="40" fontId="14" fillId="0" borderId="15" xfId="0" applyNumberFormat="1" applyFont="1" applyBorder="1" applyAlignment="1">
      <alignment horizontal="right" vertical="center"/>
    </xf>
    <xf numFmtId="38" fontId="23" fillId="0" borderId="22" xfId="0" applyNumberFormat="1" applyFont="1" applyBorder="1" applyAlignment="1">
      <alignment vertical="center" shrinkToFit="1"/>
    </xf>
    <xf numFmtId="38" fontId="23" fillId="0" borderId="0" xfId="0" applyNumberFormat="1" applyFont="1" applyAlignment="1">
      <alignment vertical="center" shrinkToFit="1"/>
    </xf>
    <xf numFmtId="231" fontId="10" fillId="10" borderId="0" xfId="0" applyNumberFormat="1" applyFont="1" applyFill="1" applyAlignment="1">
      <alignment horizontal="center" vertical="center" shrinkToFit="1"/>
    </xf>
    <xf numFmtId="231" fontId="10" fillId="10" borderId="28" xfId="0" applyNumberFormat="1" applyFont="1" applyFill="1" applyBorder="1" applyAlignment="1">
      <alignment horizontal="center" vertical="center" shrinkToFit="1"/>
    </xf>
    <xf numFmtId="38" fontId="23" fillId="0" borderId="102" xfId="0" applyNumberFormat="1" applyFont="1" applyBorder="1" applyAlignment="1">
      <alignment vertical="center" shrinkToFit="1"/>
    </xf>
    <xf numFmtId="38" fontId="23" fillId="0" borderId="72" xfId="0" applyNumberFormat="1" applyFont="1" applyBorder="1" applyAlignment="1">
      <alignment vertical="center" shrinkToFit="1"/>
    </xf>
    <xf numFmtId="38" fontId="23" fillId="0" borderId="99" xfId="0" applyNumberFormat="1" applyFont="1" applyBorder="1" applyAlignment="1">
      <alignment vertical="center" shrinkToFit="1"/>
    </xf>
    <xf numFmtId="38" fontId="23" fillId="0" borderId="43" xfId="0" applyNumberFormat="1" applyFont="1" applyBorder="1" applyAlignment="1">
      <alignment vertical="center" shrinkToFit="1"/>
    </xf>
    <xf numFmtId="38" fontId="14" fillId="0" borderId="132" xfId="2" applyFont="1" applyFill="1" applyBorder="1" applyAlignment="1">
      <alignment vertical="center"/>
    </xf>
    <xf numFmtId="38" fontId="14" fillId="0" borderId="18" xfId="2" applyFont="1" applyFill="1" applyBorder="1" applyAlignment="1">
      <alignment vertical="center"/>
    </xf>
    <xf numFmtId="180" fontId="14" fillId="6" borderId="14" xfId="0" applyFont="1" applyFill="1" applyBorder="1" applyAlignment="1">
      <alignment horizontal="center" vertical="center"/>
    </xf>
    <xf numFmtId="180" fontId="14" fillId="6" borderId="29" xfId="0" applyFont="1" applyFill="1" applyBorder="1" applyAlignment="1">
      <alignment horizontal="center" vertical="center"/>
    </xf>
    <xf numFmtId="180" fontId="0" fillId="0" borderId="16" xfId="0" applyBorder="1">
      <alignment vertical="center"/>
    </xf>
    <xf numFmtId="180" fontId="0" fillId="0" borderId="33" xfId="0" applyBorder="1">
      <alignment vertical="center"/>
    </xf>
    <xf numFmtId="180" fontId="14" fillId="0" borderId="16" xfId="0" applyFont="1" applyBorder="1" applyAlignment="1">
      <alignment horizontal="right" vertical="center" shrinkToFit="1"/>
    </xf>
    <xf numFmtId="180" fontId="3" fillId="16" borderId="52" xfId="0" applyFont="1" applyFill="1" applyBorder="1" applyAlignment="1">
      <alignment horizontal="center" vertical="center" shrinkToFit="1"/>
    </xf>
    <xf numFmtId="180" fontId="3" fillId="3" borderId="52" xfId="0" applyFont="1" applyFill="1" applyBorder="1" applyAlignment="1">
      <alignment horizontal="center" vertical="center" shrinkToFit="1"/>
    </xf>
    <xf numFmtId="40" fontId="14" fillId="19" borderId="25" xfId="0" applyNumberFormat="1" applyFont="1" applyFill="1" applyBorder="1">
      <alignment vertical="center"/>
    </xf>
    <xf numFmtId="40" fontId="14" fillId="19" borderId="26" xfId="0" applyNumberFormat="1" applyFont="1" applyFill="1" applyBorder="1">
      <alignment vertical="center"/>
    </xf>
    <xf numFmtId="40" fontId="14" fillId="19" borderId="27" xfId="0" applyNumberFormat="1" applyFont="1" applyFill="1" applyBorder="1">
      <alignment vertical="center"/>
    </xf>
    <xf numFmtId="38" fontId="14" fillId="0" borderId="0" xfId="2" applyFont="1" applyFill="1" applyBorder="1" applyAlignment="1">
      <alignment vertical="center" shrinkToFit="1"/>
    </xf>
    <xf numFmtId="38" fontId="14" fillId="0" borderId="28" xfId="2" applyFont="1" applyFill="1" applyBorder="1" applyAlignment="1">
      <alignment vertical="center" shrinkToFit="1"/>
    </xf>
    <xf numFmtId="180" fontId="14" fillId="0" borderId="26" xfId="0" applyFont="1" applyBorder="1" applyAlignment="1">
      <alignment vertical="center" shrinkToFit="1"/>
    </xf>
    <xf numFmtId="180" fontId="14" fillId="0" borderId="27" xfId="0" applyFont="1" applyBorder="1" applyAlignment="1">
      <alignment vertical="center" shrinkToFit="1"/>
    </xf>
    <xf numFmtId="180" fontId="9" fillId="16" borderId="20" xfId="0" applyFont="1" applyFill="1" applyBorder="1" applyAlignment="1">
      <alignment horizontal="center" vertical="center" shrinkToFit="1"/>
    </xf>
    <xf numFmtId="180" fontId="9" fillId="3" borderId="20" xfId="0"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xf>
    <xf numFmtId="180" fontId="9" fillId="0" borderId="4" xfId="1" applyNumberFormat="1" applyFont="1" applyFill="1" applyBorder="1" applyAlignment="1" applyProtection="1">
      <alignment horizontal="center" vertical="center"/>
    </xf>
    <xf numFmtId="180" fontId="9" fillId="0" borderId="5" xfId="1" applyNumberFormat="1" applyFont="1" applyFill="1" applyBorder="1" applyAlignment="1" applyProtection="1">
      <alignment horizontal="center" vertical="center"/>
    </xf>
    <xf numFmtId="180" fontId="14" fillId="0" borderId="1" xfId="0" applyFont="1" applyBorder="1">
      <alignment vertical="center"/>
    </xf>
    <xf numFmtId="180" fontId="14" fillId="0" borderId="2" xfId="0" applyFont="1" applyBorder="1">
      <alignment vertical="center"/>
    </xf>
    <xf numFmtId="180" fontId="14" fillId="0" borderId="19" xfId="0" applyFont="1" applyBorder="1">
      <alignment vertical="center"/>
    </xf>
    <xf numFmtId="180" fontId="14" fillId="0" borderId="7" xfId="0" applyFont="1" applyBorder="1">
      <alignment vertical="center"/>
    </xf>
    <xf numFmtId="180" fontId="14" fillId="0" borderId="8" xfId="0" applyFont="1" applyBorder="1">
      <alignment vertical="center"/>
    </xf>
    <xf numFmtId="180" fontId="14" fillId="0" borderId="24" xfId="0" applyFont="1" applyBorder="1">
      <alignment vertical="center"/>
    </xf>
    <xf numFmtId="40" fontId="9" fillId="16" borderId="0" xfId="2" applyNumberFormat="1" applyFont="1" applyFill="1" applyBorder="1" applyAlignment="1">
      <alignment vertical="center"/>
    </xf>
    <xf numFmtId="40" fontId="9" fillId="9" borderId="0" xfId="2" applyNumberFormat="1" applyFont="1" applyFill="1" applyBorder="1" applyAlignment="1">
      <alignment vertical="center"/>
    </xf>
    <xf numFmtId="38" fontId="14" fillId="13" borderId="16" xfId="2" applyFont="1" applyFill="1" applyBorder="1" applyAlignment="1">
      <alignment vertical="center"/>
    </xf>
    <xf numFmtId="38" fontId="14" fillId="4" borderId="16" xfId="2" applyFont="1" applyFill="1" applyBorder="1" applyAlignment="1">
      <alignment vertical="center"/>
    </xf>
    <xf numFmtId="38" fontId="14" fillId="4" borderId="23" xfId="2" applyFont="1" applyFill="1" applyBorder="1" applyAlignment="1">
      <alignment vertical="center"/>
    </xf>
    <xf numFmtId="180" fontId="9" fillId="16" borderId="1" xfId="0" applyFont="1" applyFill="1" applyBorder="1" applyAlignment="1">
      <alignment horizontal="center" vertical="center"/>
    </xf>
    <xf numFmtId="180" fontId="9" fillId="3" borderId="19" xfId="0" applyFont="1" applyFill="1" applyBorder="1" applyAlignment="1">
      <alignment horizontal="center" vertical="center"/>
    </xf>
    <xf numFmtId="180" fontId="9" fillId="3" borderId="163" xfId="0" applyFont="1" applyFill="1" applyBorder="1" applyAlignment="1">
      <alignment horizontal="center" vertical="center"/>
    </xf>
    <xf numFmtId="180" fontId="14" fillId="0" borderId="39" xfId="0" applyFont="1" applyBorder="1" applyAlignment="1">
      <alignment horizontal="right" vertical="center" shrinkToFit="1"/>
    </xf>
    <xf numFmtId="180" fontId="65" fillId="17" borderId="3" xfId="1" applyNumberFormat="1" applyFont="1" applyFill="1" applyBorder="1" applyAlignment="1" applyProtection="1">
      <alignment horizontal="center" vertical="center"/>
    </xf>
    <xf numFmtId="180" fontId="65" fillId="17" borderId="4" xfId="1" applyNumberFormat="1" applyFont="1" applyFill="1" applyBorder="1" applyAlignment="1" applyProtection="1">
      <alignment horizontal="center" vertical="center"/>
    </xf>
    <xf numFmtId="180" fontId="65" fillId="17" borderId="5" xfId="1" applyNumberFormat="1" applyFont="1" applyFill="1" applyBorder="1" applyAlignment="1" applyProtection="1">
      <alignment horizontal="center" vertical="center"/>
    </xf>
    <xf numFmtId="180" fontId="11" fillId="13" borderId="173" xfId="0" applyFont="1" applyFill="1" applyBorder="1" applyAlignment="1">
      <alignment horizontal="left" vertical="center" shrinkToFit="1"/>
    </xf>
    <xf numFmtId="180" fontId="11" fillId="4" borderId="4" xfId="0" applyFont="1" applyFill="1" applyBorder="1" applyAlignment="1">
      <alignment horizontal="left" vertical="center" shrinkToFit="1"/>
    </xf>
    <xf numFmtId="180" fontId="11" fillId="4" borderId="5" xfId="0" applyFont="1" applyFill="1" applyBorder="1" applyAlignment="1">
      <alignment horizontal="left" vertical="center" shrinkToFit="1"/>
    </xf>
    <xf numFmtId="177" fontId="14" fillId="0" borderId="14" xfId="0" applyNumberFormat="1" applyFont="1" applyBorder="1">
      <alignment vertical="center"/>
    </xf>
    <xf numFmtId="177" fontId="14" fillId="0" borderId="13" xfId="0" applyNumberFormat="1" applyFont="1" applyBorder="1">
      <alignment vertical="center"/>
    </xf>
    <xf numFmtId="177" fontId="14" fillId="0" borderId="25" xfId="0" applyNumberFormat="1" applyFont="1" applyBorder="1">
      <alignment vertical="center"/>
    </xf>
    <xf numFmtId="177" fontId="14" fillId="0" borderId="26" xfId="0" applyNumberFormat="1" applyFont="1" applyBorder="1">
      <alignment vertical="center"/>
    </xf>
    <xf numFmtId="180" fontId="9" fillId="16" borderId="22" xfId="0" applyFont="1" applyFill="1" applyBorder="1" applyAlignment="1">
      <alignment horizontal="center" vertical="center" wrapText="1"/>
    </xf>
    <xf numFmtId="180" fontId="9" fillId="3" borderId="28" xfId="0" applyFont="1" applyFill="1" applyBorder="1" applyAlignment="1">
      <alignment horizontal="center" vertical="center" wrapText="1"/>
    </xf>
    <xf numFmtId="180" fontId="9" fillId="3" borderId="22" xfId="0" applyFont="1" applyFill="1" applyBorder="1" applyAlignment="1">
      <alignment horizontal="center" vertical="center" wrapText="1"/>
    </xf>
    <xf numFmtId="180" fontId="9" fillId="3" borderId="7" xfId="0" applyFont="1" applyFill="1" applyBorder="1" applyAlignment="1">
      <alignment horizontal="center" vertical="center" wrapText="1"/>
    </xf>
    <xf numFmtId="180" fontId="9" fillId="3" borderId="24" xfId="0" applyFont="1" applyFill="1" applyBorder="1" applyAlignment="1">
      <alignment horizontal="center" vertical="center" wrapText="1"/>
    </xf>
    <xf numFmtId="180" fontId="14" fillId="0" borderId="22" xfId="0" applyFont="1" applyBorder="1">
      <alignment vertical="center"/>
    </xf>
    <xf numFmtId="180" fontId="14" fillId="0" borderId="0" xfId="0" applyFont="1">
      <alignment vertical="center"/>
    </xf>
    <xf numFmtId="180" fontId="14" fillId="0" borderId="28" xfId="0" applyFont="1" applyBorder="1">
      <alignment vertical="center"/>
    </xf>
    <xf numFmtId="180" fontId="9" fillId="16" borderId="3" xfId="0" applyFont="1" applyFill="1" applyBorder="1" applyAlignment="1">
      <alignment horizontal="center" vertical="center"/>
    </xf>
    <xf numFmtId="180" fontId="9" fillId="3" borderId="4" xfId="0" applyFont="1" applyFill="1" applyBorder="1" applyAlignment="1">
      <alignment horizontal="center" vertical="center"/>
    </xf>
    <xf numFmtId="180" fontId="9" fillId="3" borderId="5" xfId="0" applyFont="1" applyFill="1" applyBorder="1" applyAlignment="1">
      <alignment horizontal="center" vertical="center"/>
    </xf>
    <xf numFmtId="180" fontId="11" fillId="13" borderId="4" xfId="0" applyFont="1" applyFill="1" applyBorder="1" applyAlignment="1">
      <alignment horizontal="left" vertical="center" shrinkToFit="1"/>
    </xf>
    <xf numFmtId="180" fontId="11" fillId="13" borderId="5" xfId="0" applyFont="1" applyFill="1" applyBorder="1" applyAlignment="1">
      <alignment horizontal="left" vertical="center" shrinkToFit="1"/>
    </xf>
    <xf numFmtId="38" fontId="14" fillId="0" borderId="17" xfId="2" applyFont="1" applyBorder="1" applyAlignment="1">
      <alignment horizontal="center" vertical="center"/>
    </xf>
    <xf numFmtId="38" fontId="14" fillId="0" borderId="16" xfId="2" applyFont="1" applyBorder="1" applyAlignment="1">
      <alignment horizontal="center" vertical="center"/>
    </xf>
    <xf numFmtId="38" fontId="14" fillId="0" borderId="23" xfId="2" applyFont="1" applyBorder="1" applyAlignment="1">
      <alignment horizontal="center" vertical="center"/>
    </xf>
    <xf numFmtId="40" fontId="14" fillId="0" borderId="22" xfId="0" applyNumberFormat="1" applyFont="1" applyBorder="1">
      <alignment vertical="center"/>
    </xf>
    <xf numFmtId="40" fontId="14" fillId="0" borderId="0" xfId="0" applyNumberFormat="1" applyFont="1">
      <alignment vertical="center"/>
    </xf>
    <xf numFmtId="40" fontId="14" fillId="0" borderId="28" xfId="0" applyNumberFormat="1" applyFont="1" applyBorder="1">
      <alignment vertical="center"/>
    </xf>
    <xf numFmtId="40" fontId="14" fillId="0" borderId="148" xfId="0" applyNumberFormat="1" applyFont="1" applyBorder="1">
      <alignment vertical="center"/>
    </xf>
    <xf numFmtId="40" fontId="14" fillId="0" borderId="97" xfId="0" applyNumberFormat="1" applyFont="1" applyBorder="1">
      <alignment vertical="center"/>
    </xf>
    <xf numFmtId="40" fontId="14" fillId="0" borderId="147" xfId="0" applyNumberFormat="1" applyFont="1" applyBorder="1">
      <alignment vertical="center"/>
    </xf>
    <xf numFmtId="40" fontId="14" fillId="0" borderId="149" xfId="0" applyNumberFormat="1" applyFont="1" applyBorder="1">
      <alignment vertical="center"/>
    </xf>
    <xf numFmtId="40" fontId="3" fillId="0" borderId="17" xfId="0" applyNumberFormat="1" applyFont="1" applyBorder="1" applyAlignment="1">
      <alignment horizontal="right" vertical="center"/>
    </xf>
    <xf numFmtId="40" fontId="3" fillId="0" borderId="16" xfId="0" applyNumberFormat="1" applyFont="1" applyBorder="1" applyAlignment="1">
      <alignment horizontal="right" vertical="center"/>
    </xf>
    <xf numFmtId="38" fontId="0" fillId="0" borderId="210" xfId="2" applyFont="1" applyFill="1" applyBorder="1" applyAlignment="1">
      <alignment horizontal="center" vertical="center" shrinkToFit="1"/>
    </xf>
    <xf numFmtId="38" fontId="0" fillId="0" borderId="211" xfId="2" applyFont="1" applyFill="1" applyBorder="1" applyAlignment="1">
      <alignment horizontal="center" vertical="center" shrinkToFit="1"/>
    </xf>
    <xf numFmtId="40" fontId="14" fillId="0" borderId="7" xfId="0" applyNumberFormat="1" applyFont="1" applyBorder="1">
      <alignment vertical="center"/>
    </xf>
    <xf numFmtId="40" fontId="14" fillId="0" borderId="8" xfId="0" applyNumberFormat="1" applyFont="1" applyBorder="1">
      <alignment vertical="center"/>
    </xf>
    <xf numFmtId="180" fontId="14" fillId="0" borderId="1" xfId="0" applyFont="1" applyBorder="1" applyAlignment="1">
      <alignment horizontal="left" vertical="center" wrapText="1"/>
    </xf>
    <xf numFmtId="180" fontId="14" fillId="0" borderId="2" xfId="0" applyFont="1" applyBorder="1" applyAlignment="1">
      <alignment horizontal="left" vertical="center"/>
    </xf>
    <xf numFmtId="180" fontId="14" fillId="0" borderId="19" xfId="0" applyFont="1" applyBorder="1" applyAlignment="1">
      <alignment horizontal="left" vertical="center"/>
    </xf>
    <xf numFmtId="180" fontId="14" fillId="0" borderId="7" xfId="0" applyFont="1" applyBorder="1" applyAlignment="1">
      <alignment horizontal="left" vertical="center"/>
    </xf>
    <xf numFmtId="180" fontId="14" fillId="0" borderId="8" xfId="0" applyFont="1" applyBorder="1" applyAlignment="1">
      <alignment horizontal="left" vertical="center"/>
    </xf>
    <xf numFmtId="180" fontId="14" fillId="0" borderId="24" xfId="0" applyFont="1" applyBorder="1" applyAlignment="1">
      <alignment horizontal="left" vertical="center"/>
    </xf>
    <xf numFmtId="40" fontId="32" fillId="0" borderId="0" xfId="2" applyNumberFormat="1" applyFont="1" applyFill="1" applyBorder="1" applyAlignment="1">
      <alignment horizontal="center" vertical="top" shrinkToFit="1"/>
    </xf>
    <xf numFmtId="206" fontId="32" fillId="0" borderId="63" xfId="0" applyNumberFormat="1" applyFont="1" applyBorder="1" applyAlignment="1">
      <alignment horizontal="left" vertical="top" wrapText="1"/>
    </xf>
    <xf numFmtId="40" fontId="32" fillId="0" borderId="0" xfId="0" applyNumberFormat="1" applyFont="1" applyAlignment="1">
      <alignment horizontal="center" vertical="top" shrinkToFit="1"/>
    </xf>
    <xf numFmtId="180" fontId="14" fillId="0" borderId="1" xfId="0" applyFont="1" applyBorder="1" applyAlignment="1">
      <alignment horizontal="left" vertical="center"/>
    </xf>
    <xf numFmtId="40" fontId="14" fillId="0" borderId="17" xfId="0" applyNumberFormat="1" applyFont="1" applyBorder="1" applyAlignment="1">
      <alignment horizontal="center" vertical="center"/>
    </xf>
    <xf numFmtId="40" fontId="14" fillId="0" borderId="16" xfId="0" applyNumberFormat="1" applyFont="1" applyBorder="1" applyAlignment="1">
      <alignment horizontal="center" vertical="center"/>
    </xf>
    <xf numFmtId="40" fontId="14" fillId="0" borderId="23" xfId="0" applyNumberFormat="1" applyFont="1" applyBorder="1" applyAlignment="1">
      <alignment horizontal="center" vertical="center"/>
    </xf>
    <xf numFmtId="180" fontId="14" fillId="0" borderId="173" xfId="0" applyFont="1" applyBorder="1">
      <alignment vertical="center"/>
    </xf>
    <xf numFmtId="180" fontId="14" fillId="0" borderId="174" xfId="0" applyFont="1" applyBorder="1">
      <alignment vertical="center"/>
    </xf>
    <xf numFmtId="180" fontId="14" fillId="0" borderId="175" xfId="0" applyFont="1" applyBorder="1">
      <alignment vertical="center"/>
    </xf>
    <xf numFmtId="206" fontId="32" fillId="0" borderId="0" xfId="0" applyNumberFormat="1" applyFont="1" applyAlignment="1">
      <alignment horizontal="center" vertical="top"/>
    </xf>
    <xf numFmtId="188" fontId="32" fillId="0" borderId="63" xfId="0" applyNumberFormat="1" applyFont="1" applyBorder="1" applyAlignment="1">
      <alignment horizontal="left" vertical="top" wrapText="1"/>
    </xf>
    <xf numFmtId="180" fontId="0" fillId="0" borderId="25" xfId="0" applyBorder="1" applyAlignment="1">
      <alignment horizontal="center" vertical="center"/>
    </xf>
    <xf numFmtId="180" fontId="0" fillId="0" borderId="26" xfId="0" applyBorder="1" applyAlignment="1">
      <alignment horizontal="center" vertical="center"/>
    </xf>
    <xf numFmtId="180" fontId="0" fillId="0" borderId="27" xfId="0" applyBorder="1" applyAlignment="1">
      <alignment horizontal="center" vertical="center"/>
    </xf>
    <xf numFmtId="180" fontId="14" fillId="0" borderId="169" xfId="0" applyFont="1" applyBorder="1" applyAlignment="1">
      <alignment horizontal="center" vertical="center"/>
    </xf>
    <xf numFmtId="180" fontId="14" fillId="0" borderId="183" xfId="0" applyFont="1" applyBorder="1" applyAlignment="1">
      <alignment horizontal="center" vertical="center"/>
    </xf>
    <xf numFmtId="180" fontId="14" fillId="0" borderId="170" xfId="0" applyFont="1" applyBorder="1" applyAlignment="1">
      <alignment horizontal="center" vertical="center"/>
    </xf>
    <xf numFmtId="188" fontId="32" fillId="0" borderId="0" xfId="0" applyNumberFormat="1" applyFont="1" applyAlignment="1">
      <alignment horizontal="center" vertical="top" shrinkToFit="1"/>
    </xf>
    <xf numFmtId="180" fontId="32" fillId="0" borderId="63" xfId="0" applyFont="1" applyBorder="1" applyAlignment="1">
      <alignment horizontal="left" vertical="top" wrapText="1"/>
    </xf>
    <xf numFmtId="180" fontId="0" fillId="16" borderId="20" xfId="0" applyFill="1" applyBorder="1" applyAlignment="1">
      <alignment horizontal="center" vertical="center"/>
    </xf>
    <xf numFmtId="180" fontId="0" fillId="9" borderId="20" xfId="0" applyFill="1" applyBorder="1" applyAlignment="1">
      <alignment horizontal="center" vertical="center"/>
    </xf>
    <xf numFmtId="180" fontId="9" fillId="3" borderId="163" xfId="0" applyFont="1" applyFill="1" applyBorder="1" applyAlignment="1">
      <alignment horizontal="center" vertical="center" wrapText="1"/>
    </xf>
    <xf numFmtId="180" fontId="9" fillId="3" borderId="235" xfId="0" applyFont="1" applyFill="1" applyBorder="1" applyAlignment="1">
      <alignment horizontal="center" vertical="center" wrapText="1"/>
    </xf>
    <xf numFmtId="180" fontId="9" fillId="3" borderId="170" xfId="0" applyFont="1" applyFill="1" applyBorder="1" applyAlignment="1">
      <alignment horizontal="center" vertical="center" wrapText="1"/>
    </xf>
    <xf numFmtId="180" fontId="14" fillId="0" borderId="167" xfId="0" applyFont="1" applyBorder="1">
      <alignment vertical="center"/>
    </xf>
    <xf numFmtId="180" fontId="14" fillId="0" borderId="182" xfId="0" applyFont="1" applyBorder="1">
      <alignment vertical="center"/>
    </xf>
    <xf numFmtId="180" fontId="14" fillId="0" borderId="168" xfId="0" applyFont="1" applyBorder="1">
      <alignment vertical="center"/>
    </xf>
    <xf numFmtId="180" fontId="14" fillId="0" borderId="169" xfId="0" applyFont="1" applyBorder="1">
      <alignment vertical="center"/>
    </xf>
    <xf numFmtId="180" fontId="14" fillId="0" borderId="183" xfId="0" applyFont="1" applyBorder="1">
      <alignment vertical="center"/>
    </xf>
    <xf numFmtId="180" fontId="14" fillId="0" borderId="170" xfId="0" applyFont="1" applyBorder="1">
      <alignment vertical="center"/>
    </xf>
    <xf numFmtId="201" fontId="0" fillId="0" borderId="17" xfId="0" applyNumberFormat="1" applyBorder="1" applyAlignment="1">
      <alignment horizontal="center" vertical="center"/>
    </xf>
    <xf numFmtId="201" fontId="0" fillId="0" borderId="33" xfId="0" applyNumberFormat="1" applyBorder="1" applyAlignment="1">
      <alignment horizontal="center" vertical="center"/>
    </xf>
    <xf numFmtId="40" fontId="0" fillId="0" borderId="14" xfId="0" applyNumberFormat="1" applyBorder="1" applyAlignment="1">
      <alignment horizontal="center" vertical="center"/>
    </xf>
    <xf numFmtId="40" fontId="0" fillId="0" borderId="29" xfId="0" applyNumberFormat="1" applyBorder="1" applyAlignment="1">
      <alignment horizontal="center" vertical="center"/>
    </xf>
    <xf numFmtId="40" fontId="14" fillId="0" borderId="1" xfId="0" applyNumberFormat="1" applyFont="1" applyBorder="1">
      <alignment vertical="center"/>
    </xf>
    <xf numFmtId="40" fontId="14" fillId="0" borderId="2" xfId="0" applyNumberFormat="1" applyFont="1" applyBorder="1">
      <alignment vertical="center"/>
    </xf>
    <xf numFmtId="40" fontId="14" fillId="0" borderId="19" xfId="0" applyNumberFormat="1" applyFont="1" applyBorder="1">
      <alignment vertical="center"/>
    </xf>
    <xf numFmtId="40" fontId="14" fillId="0" borderId="24" xfId="0" applyNumberFormat="1" applyFont="1" applyBorder="1">
      <alignment vertical="center"/>
    </xf>
    <xf numFmtId="180" fontId="9" fillId="16" borderId="98" xfId="0" applyFont="1" applyFill="1" applyBorder="1" applyAlignment="1">
      <alignment horizontal="center" vertical="center" wrapText="1"/>
    </xf>
    <xf numFmtId="180" fontId="9" fillId="3" borderId="62" xfId="0" applyFont="1" applyFill="1" applyBorder="1" applyAlignment="1">
      <alignment horizontal="center" vertical="center" wrapText="1"/>
    </xf>
    <xf numFmtId="180" fontId="9" fillId="3" borderId="46" xfId="0" applyFont="1" applyFill="1" applyBorder="1" applyAlignment="1">
      <alignment horizontal="center" vertical="center" wrapText="1"/>
    </xf>
    <xf numFmtId="180" fontId="9" fillId="3" borderId="69" xfId="0" applyFont="1" applyFill="1" applyBorder="1" applyAlignment="1">
      <alignment horizontal="center" vertical="center" wrapText="1"/>
    </xf>
    <xf numFmtId="180" fontId="9" fillId="3" borderId="0" xfId="0" applyFont="1" applyFill="1" applyAlignment="1">
      <alignment horizontal="center" vertical="center" wrapText="1"/>
    </xf>
    <xf numFmtId="180" fontId="9" fillId="3" borderId="100" xfId="0" applyFont="1" applyFill="1" applyBorder="1" applyAlignment="1">
      <alignment horizontal="center" vertical="center" wrapText="1"/>
    </xf>
    <xf numFmtId="180" fontId="9" fillId="3" borderId="97" xfId="0" applyFont="1" applyFill="1" applyBorder="1" applyAlignment="1">
      <alignment horizontal="center" vertical="center" wrapText="1"/>
    </xf>
    <xf numFmtId="180" fontId="9" fillId="3" borderId="147" xfId="0" applyFont="1" applyFill="1" applyBorder="1" applyAlignment="1">
      <alignment horizontal="center" vertical="center" wrapText="1"/>
    </xf>
    <xf numFmtId="180" fontId="0" fillId="0" borderId="17" xfId="0" applyBorder="1" applyAlignment="1">
      <alignment horizontal="center" vertical="center" shrinkToFit="1"/>
    </xf>
    <xf numFmtId="180" fontId="0" fillId="0" borderId="16" xfId="0" applyBorder="1" applyAlignment="1">
      <alignment horizontal="center" vertical="center" shrinkToFit="1"/>
    </xf>
    <xf numFmtId="180" fontId="0" fillId="0" borderId="23" xfId="0" applyBorder="1" applyAlignment="1">
      <alignment horizontal="center" vertical="center" shrinkToFit="1"/>
    </xf>
    <xf numFmtId="180" fontId="0" fillId="0" borderId="25" xfId="0" applyBorder="1" applyAlignment="1">
      <alignment horizontal="center" vertical="center" shrinkToFit="1"/>
    </xf>
    <xf numFmtId="180" fontId="0" fillId="0" borderId="26" xfId="0" applyBorder="1" applyAlignment="1">
      <alignment horizontal="center" vertical="center" shrinkToFit="1"/>
    </xf>
    <xf numFmtId="180" fontId="0" fillId="0" borderId="27" xfId="0" applyBorder="1" applyAlignment="1">
      <alignment horizontal="center" vertical="center" shrinkToFit="1"/>
    </xf>
    <xf numFmtId="180" fontId="9" fillId="16" borderId="145" xfId="0" applyFont="1" applyFill="1" applyBorder="1" applyAlignment="1">
      <alignment horizontal="center" vertical="center"/>
    </xf>
    <xf numFmtId="180" fontId="9" fillId="3" borderId="146" xfId="0" applyFont="1" applyFill="1" applyBorder="1" applyAlignment="1">
      <alignment horizontal="center" vertical="center"/>
    </xf>
    <xf numFmtId="40" fontId="14" fillId="0" borderId="167" xfId="0" applyNumberFormat="1" applyFont="1" applyBorder="1" applyAlignment="1">
      <alignment horizontal="center" vertical="center" shrinkToFit="1"/>
    </xf>
    <xf numFmtId="40" fontId="14" fillId="0" borderId="182" xfId="0" applyNumberFormat="1" applyFont="1" applyBorder="1" applyAlignment="1">
      <alignment horizontal="center" vertical="center" shrinkToFit="1"/>
    </xf>
    <xf numFmtId="40" fontId="14" fillId="0" borderId="168" xfId="0" applyNumberFormat="1" applyFont="1" applyBorder="1" applyAlignment="1">
      <alignment horizontal="center" vertical="center" shrinkToFit="1"/>
    </xf>
    <xf numFmtId="180" fontId="32" fillId="0" borderId="0" xfId="0" applyFont="1" applyAlignment="1">
      <alignment horizontal="center" vertical="top" shrinkToFit="1"/>
    </xf>
    <xf numFmtId="177" fontId="14" fillId="0" borderId="17" xfId="0" applyNumberFormat="1" applyFont="1" applyBorder="1">
      <alignment vertical="center"/>
    </xf>
    <xf numFmtId="177" fontId="14" fillId="0" borderId="16" xfId="0" applyNumberFormat="1" applyFont="1" applyBorder="1">
      <alignment vertical="center"/>
    </xf>
    <xf numFmtId="40" fontId="0" fillId="0" borderId="30" xfId="0" applyNumberFormat="1" applyBorder="1" applyAlignment="1">
      <alignment horizontal="center" vertical="center"/>
    </xf>
    <xf numFmtId="40" fontId="0" fillId="0" borderId="15" xfId="0" applyNumberFormat="1" applyBorder="1" applyAlignment="1">
      <alignment horizontal="center" vertical="center"/>
    </xf>
    <xf numFmtId="177" fontId="14" fillId="0" borderId="47" xfId="0" applyNumberFormat="1" applyFont="1" applyBorder="1">
      <alignment vertical="center"/>
    </xf>
    <xf numFmtId="177" fontId="14" fillId="0" borderId="48" xfId="0" applyNumberFormat="1" applyFont="1" applyBorder="1">
      <alignment vertical="center"/>
    </xf>
    <xf numFmtId="40" fontId="14" fillId="0" borderId="173" xfId="0" applyNumberFormat="1" applyFont="1" applyBorder="1">
      <alignment vertical="center"/>
    </xf>
    <xf numFmtId="40" fontId="14" fillId="0" borderId="174" xfId="0" applyNumberFormat="1" applyFont="1" applyBorder="1">
      <alignment vertical="center"/>
    </xf>
    <xf numFmtId="40" fontId="14" fillId="13" borderId="144" xfId="0" applyNumberFormat="1" applyFont="1" applyFill="1" applyBorder="1">
      <alignment vertical="center"/>
    </xf>
    <xf numFmtId="40" fontId="14" fillId="4" borderId="134" xfId="0" applyNumberFormat="1" applyFont="1" applyFill="1" applyBorder="1">
      <alignment vertical="center"/>
    </xf>
    <xf numFmtId="40" fontId="14" fillId="4" borderId="135" xfId="0" applyNumberFormat="1" applyFont="1" applyFill="1" applyBorder="1">
      <alignment vertical="center"/>
    </xf>
    <xf numFmtId="180" fontId="9" fillId="16" borderId="158" xfId="0" applyFont="1" applyFill="1" applyBorder="1" applyAlignment="1">
      <alignment horizontal="center" vertical="center" wrapText="1"/>
    </xf>
    <xf numFmtId="180" fontId="9" fillId="3" borderId="159" xfId="0" applyFont="1" applyFill="1" applyBorder="1" applyAlignment="1">
      <alignment horizontal="center" vertical="center" wrapText="1"/>
    </xf>
    <xf numFmtId="180" fontId="15" fillId="5" borderId="0" xfId="0" applyFont="1" applyFill="1" applyAlignment="1">
      <alignment horizontal="center" vertical="center"/>
    </xf>
    <xf numFmtId="40" fontId="14" fillId="13" borderId="16" xfId="0" applyNumberFormat="1" applyFont="1" applyFill="1" applyBorder="1">
      <alignment vertical="center"/>
    </xf>
    <xf numFmtId="180" fontId="0" fillId="16" borderId="145" xfId="0" applyFill="1" applyBorder="1">
      <alignment vertical="center"/>
    </xf>
    <xf numFmtId="180" fontId="0" fillId="3" borderId="146" xfId="0" applyFill="1" applyBorder="1">
      <alignment vertical="center"/>
    </xf>
    <xf numFmtId="180" fontId="9" fillId="16" borderId="145" xfId="0" applyFont="1" applyFill="1" applyBorder="1" applyAlignment="1">
      <alignment horizontal="center" vertical="center" textRotation="255" wrapText="1"/>
    </xf>
    <xf numFmtId="180" fontId="9" fillId="3" borderId="146" xfId="0" applyFont="1" applyFill="1" applyBorder="1" applyAlignment="1">
      <alignment horizontal="center" vertical="center" textRotation="255" wrapText="1"/>
    </xf>
    <xf numFmtId="180" fontId="14" fillId="6" borderId="1" xfId="0" applyFont="1" applyFill="1" applyBorder="1" applyAlignment="1">
      <alignment horizontal="left" vertical="center"/>
    </xf>
    <xf numFmtId="180" fontId="14" fillId="6" borderId="2" xfId="0" applyFont="1" applyFill="1" applyBorder="1" applyAlignment="1">
      <alignment horizontal="left" vertical="center"/>
    </xf>
    <xf numFmtId="180" fontId="14" fillId="6" borderId="19" xfId="0" applyFont="1" applyFill="1" applyBorder="1" applyAlignment="1">
      <alignment horizontal="left" vertical="center"/>
    </xf>
    <xf numFmtId="180" fontId="14" fillId="6" borderId="7" xfId="0" applyFont="1" applyFill="1" applyBorder="1" applyAlignment="1">
      <alignment horizontal="left" vertical="center"/>
    </xf>
    <xf numFmtId="180" fontId="14" fillId="6" borderId="8" xfId="0" applyFont="1" applyFill="1" applyBorder="1" applyAlignment="1">
      <alignment horizontal="left" vertical="center"/>
    </xf>
    <xf numFmtId="180" fontId="14" fillId="6" borderId="24" xfId="0" applyFont="1" applyFill="1" applyBorder="1" applyAlignment="1">
      <alignment horizontal="left" vertical="center"/>
    </xf>
    <xf numFmtId="180" fontId="0" fillId="16" borderId="232" xfId="0" applyFill="1" applyBorder="1" applyAlignment="1">
      <alignment horizontal="center" vertical="center"/>
    </xf>
    <xf numFmtId="180" fontId="0" fillId="9" borderId="232" xfId="0" applyFill="1" applyBorder="1" applyAlignment="1">
      <alignment horizontal="center" vertical="center"/>
    </xf>
    <xf numFmtId="180" fontId="9" fillId="16" borderId="22" xfId="0" applyFont="1" applyFill="1" applyBorder="1" applyAlignment="1">
      <alignment horizontal="center" vertical="center" textRotation="255" wrapText="1"/>
    </xf>
    <xf numFmtId="180" fontId="9" fillId="3" borderId="163" xfId="0" applyFont="1" applyFill="1" applyBorder="1" applyAlignment="1">
      <alignment horizontal="center" vertical="center" textRotation="255" wrapText="1"/>
    </xf>
    <xf numFmtId="180" fontId="9" fillId="3" borderId="22" xfId="0" applyFont="1" applyFill="1" applyBorder="1" applyAlignment="1">
      <alignment horizontal="center" vertical="center" textRotation="255" wrapText="1"/>
    </xf>
    <xf numFmtId="180" fontId="9" fillId="3" borderId="169" xfId="0" applyFont="1" applyFill="1" applyBorder="1" applyAlignment="1">
      <alignment horizontal="center" vertical="center" textRotation="255" wrapText="1"/>
    </xf>
    <xf numFmtId="180" fontId="9" fillId="3" borderId="170" xfId="0" applyFont="1" applyFill="1" applyBorder="1" applyAlignment="1">
      <alignment horizontal="center" vertical="center" textRotation="255" wrapText="1"/>
    </xf>
    <xf numFmtId="38" fontId="14" fillId="4" borderId="38" xfId="2" applyFont="1" applyFill="1" applyBorder="1" applyAlignment="1">
      <alignment vertical="center"/>
    </xf>
    <xf numFmtId="180" fontId="14" fillId="13" borderId="26" xfId="0" applyFont="1" applyFill="1" applyBorder="1">
      <alignment vertical="center"/>
    </xf>
    <xf numFmtId="180" fontId="14" fillId="4" borderId="26" xfId="0" applyFont="1" applyFill="1" applyBorder="1">
      <alignment vertical="center"/>
    </xf>
    <xf numFmtId="180" fontId="14" fillId="4" borderId="27" xfId="0" applyFont="1" applyFill="1" applyBorder="1">
      <alignment vertical="center"/>
    </xf>
    <xf numFmtId="40" fontId="14" fillId="13" borderId="14" xfId="0" applyNumberFormat="1" applyFont="1" applyFill="1" applyBorder="1" applyAlignment="1">
      <alignment horizontal="right" vertical="center"/>
    </xf>
    <xf numFmtId="40" fontId="14" fillId="4" borderId="13" xfId="0" applyNumberFormat="1" applyFont="1" applyFill="1" applyBorder="1" applyAlignment="1">
      <alignment horizontal="right" vertical="center"/>
    </xf>
    <xf numFmtId="180" fontId="19" fillId="0" borderId="228" xfId="0" applyFont="1" applyBorder="1">
      <alignment vertical="center"/>
    </xf>
    <xf numFmtId="180" fontId="19" fillId="0" borderId="229" xfId="0" applyFont="1" applyBorder="1">
      <alignment vertical="center"/>
    </xf>
    <xf numFmtId="180" fontId="19" fillId="0" borderId="230" xfId="0" applyFont="1" applyBorder="1">
      <alignment vertical="center"/>
    </xf>
    <xf numFmtId="180" fontId="9" fillId="16" borderId="167" xfId="0" applyFont="1" applyFill="1" applyBorder="1" applyAlignment="1">
      <alignment horizontal="center" vertical="center" wrapText="1"/>
    </xf>
    <xf numFmtId="180" fontId="9" fillId="3" borderId="194" xfId="0" applyFont="1" applyFill="1" applyBorder="1" applyAlignment="1">
      <alignment horizontal="center" vertical="center" wrapText="1"/>
    </xf>
    <xf numFmtId="180" fontId="9" fillId="3" borderId="168" xfId="0" applyFont="1" applyFill="1" applyBorder="1" applyAlignment="1">
      <alignment horizontal="center" vertical="center" wrapText="1"/>
    </xf>
    <xf numFmtId="180" fontId="9" fillId="3" borderId="169" xfId="0" applyFont="1" applyFill="1" applyBorder="1" applyAlignment="1">
      <alignment horizontal="center" vertical="center" wrapText="1"/>
    </xf>
    <xf numFmtId="180" fontId="9" fillId="3" borderId="183" xfId="0" applyFont="1" applyFill="1" applyBorder="1" applyAlignment="1">
      <alignment horizontal="center" vertical="center" wrapText="1"/>
    </xf>
    <xf numFmtId="38" fontId="14" fillId="0" borderId="14" xfId="2" applyFont="1" applyBorder="1" applyAlignment="1">
      <alignment horizontal="right" vertical="center"/>
    </xf>
    <xf numFmtId="38" fontId="14" fillId="0" borderId="13" xfId="2" applyFont="1" applyBorder="1" applyAlignment="1">
      <alignment horizontal="right" vertical="center"/>
    </xf>
    <xf numFmtId="38" fontId="14" fillId="0" borderId="15" xfId="2" applyFont="1" applyBorder="1" applyAlignment="1">
      <alignment horizontal="right" vertical="center"/>
    </xf>
    <xf numFmtId="180" fontId="3" fillId="0" borderId="25" xfId="0" applyFont="1" applyBorder="1" applyAlignment="1">
      <alignment horizontal="right" vertical="center"/>
    </xf>
    <xf numFmtId="180" fontId="3" fillId="0" borderId="26" xfId="0" applyFont="1" applyBorder="1" applyAlignment="1">
      <alignment horizontal="right" vertical="center"/>
    </xf>
    <xf numFmtId="38" fontId="14" fillId="0" borderId="17" xfId="2" applyFont="1" applyBorder="1" applyAlignment="1">
      <alignment horizontal="right" vertical="center"/>
    </xf>
    <xf numFmtId="38" fontId="14" fillId="0" borderId="16" xfId="2" applyFont="1" applyBorder="1" applyAlignment="1">
      <alignment horizontal="right" vertical="center"/>
    </xf>
    <xf numFmtId="38" fontId="14" fillId="0" borderId="23" xfId="2" applyFont="1" applyBorder="1" applyAlignment="1">
      <alignment horizontal="right" vertical="center"/>
    </xf>
    <xf numFmtId="180" fontId="3" fillId="0" borderId="31" xfId="0" applyFont="1" applyBorder="1" applyAlignment="1">
      <alignment horizontal="right" vertical="center"/>
    </xf>
    <xf numFmtId="38" fontId="14" fillId="0" borderId="1" xfId="0" applyNumberFormat="1" applyFont="1" applyBorder="1">
      <alignment vertical="center"/>
    </xf>
    <xf numFmtId="180" fontId="3" fillId="0" borderId="29" xfId="0" applyFont="1" applyBorder="1" applyAlignment="1">
      <alignment horizontal="right" vertical="center"/>
    </xf>
    <xf numFmtId="180" fontId="3" fillId="0" borderId="17" xfId="0" applyFont="1" applyBorder="1" applyAlignment="1">
      <alignment horizontal="right" vertical="center"/>
    </xf>
    <xf numFmtId="180" fontId="3" fillId="0" borderId="16" xfId="0" applyFont="1" applyBorder="1" applyAlignment="1">
      <alignment horizontal="right" vertical="center"/>
    </xf>
    <xf numFmtId="180" fontId="19" fillId="0" borderId="55" xfId="0" applyFont="1" applyBorder="1">
      <alignment vertical="center"/>
    </xf>
    <xf numFmtId="180" fontId="19" fillId="0" borderId="56" xfId="0" applyFont="1" applyBorder="1">
      <alignment vertical="center"/>
    </xf>
    <xf numFmtId="180" fontId="19" fillId="0" borderId="227" xfId="0" applyFont="1" applyBorder="1">
      <alignment vertical="center"/>
    </xf>
    <xf numFmtId="180" fontId="14" fillId="13" borderId="16" xfId="0" applyFont="1" applyFill="1" applyBorder="1">
      <alignment vertical="center"/>
    </xf>
    <xf numFmtId="180" fontId="14" fillId="4" borderId="16" xfId="0" applyFont="1" applyFill="1" applyBorder="1">
      <alignment vertical="center"/>
    </xf>
    <xf numFmtId="180" fontId="14" fillId="4" borderId="23" xfId="0" applyFont="1" applyFill="1" applyBorder="1">
      <alignment vertical="center"/>
    </xf>
    <xf numFmtId="180" fontId="14" fillId="13" borderId="17" xfId="0" applyFont="1" applyFill="1" applyBorder="1" applyAlignment="1">
      <alignment horizontal="right" vertical="center"/>
    </xf>
    <xf numFmtId="180" fontId="14" fillId="4" borderId="16" xfId="0" applyFont="1" applyFill="1" applyBorder="1" applyAlignment="1">
      <alignment horizontal="right" vertical="center"/>
    </xf>
    <xf numFmtId="180" fontId="14" fillId="0" borderId="144" xfId="0" applyFont="1" applyBorder="1">
      <alignment vertical="center"/>
    </xf>
    <xf numFmtId="180" fontId="14" fillId="0" borderId="134" xfId="0" applyFont="1" applyBorder="1">
      <alignment vertical="center"/>
    </xf>
    <xf numFmtId="180" fontId="14" fillId="0" borderId="90" xfId="0" applyFont="1" applyBorder="1">
      <alignment vertical="center"/>
    </xf>
    <xf numFmtId="40" fontId="0" fillId="0" borderId="210" xfId="0" applyNumberFormat="1" applyBorder="1" applyAlignment="1">
      <alignment horizontal="center" vertical="center" shrinkToFit="1"/>
    </xf>
    <xf numFmtId="40" fontId="0" fillId="0" borderId="211" xfId="0" applyNumberFormat="1" applyBorder="1" applyAlignment="1">
      <alignment horizontal="center" vertical="center" shrinkToFit="1"/>
    </xf>
    <xf numFmtId="180" fontId="0" fillId="0" borderId="14" xfId="0" applyBorder="1" applyAlignment="1">
      <alignment horizontal="center" vertical="center" shrinkToFit="1"/>
    </xf>
    <xf numFmtId="180" fontId="0" fillId="0" borderId="29" xfId="0" applyBorder="1" applyAlignment="1">
      <alignment horizontal="center" vertical="center" shrinkToFit="1"/>
    </xf>
    <xf numFmtId="40" fontId="14" fillId="6" borderId="14" xfId="0" applyNumberFormat="1" applyFont="1" applyFill="1" applyBorder="1" applyAlignment="1">
      <alignment horizontal="center" vertical="center"/>
    </xf>
    <xf numFmtId="40" fontId="14" fillId="6" borderId="13" xfId="0" applyNumberFormat="1" applyFont="1" applyFill="1" applyBorder="1" applyAlignment="1">
      <alignment horizontal="center" vertical="center"/>
    </xf>
    <xf numFmtId="40" fontId="14" fillId="6" borderId="15" xfId="0" applyNumberFormat="1" applyFont="1" applyFill="1" applyBorder="1" applyAlignment="1">
      <alignment horizontal="center" vertical="center"/>
    </xf>
    <xf numFmtId="38" fontId="14" fillId="0" borderId="1" xfId="2" applyFont="1" applyBorder="1" applyAlignment="1">
      <alignment vertical="center"/>
    </xf>
    <xf numFmtId="38" fontId="14" fillId="0" borderId="2" xfId="2" applyFont="1" applyBorder="1" applyAlignment="1">
      <alignment vertical="center"/>
    </xf>
    <xf numFmtId="38" fontId="14" fillId="0" borderId="19" xfId="2" applyFont="1" applyBorder="1" applyAlignment="1">
      <alignment vertical="center"/>
    </xf>
    <xf numFmtId="38" fontId="14" fillId="0" borderId="7" xfId="2" applyFont="1" applyBorder="1" applyAlignment="1">
      <alignment vertical="center"/>
    </xf>
    <xf numFmtId="38" fontId="14" fillId="0" borderId="8" xfId="2" applyFont="1" applyBorder="1" applyAlignment="1">
      <alignment vertical="center"/>
    </xf>
    <xf numFmtId="38" fontId="14" fillId="0" borderId="24" xfId="2" applyFont="1" applyBorder="1" applyAlignment="1">
      <alignment vertical="center"/>
    </xf>
    <xf numFmtId="221" fontId="14" fillId="0" borderId="14" xfId="0" applyNumberFormat="1" applyFont="1" applyBorder="1" applyAlignment="1">
      <alignment horizontal="center" vertical="center"/>
    </xf>
    <xf numFmtId="221" fontId="14" fillId="0" borderId="13" xfId="0" applyNumberFormat="1" applyFont="1" applyBorder="1" applyAlignment="1">
      <alignment horizontal="center" vertical="center"/>
    </xf>
    <xf numFmtId="221" fontId="14" fillId="0" borderId="15" xfId="0" applyNumberFormat="1" applyFont="1" applyBorder="1" applyAlignment="1">
      <alignment horizontal="center" vertical="center"/>
    </xf>
    <xf numFmtId="201" fontId="14" fillId="13" borderId="14" xfId="0" applyNumberFormat="1" applyFont="1" applyFill="1" applyBorder="1" applyAlignment="1">
      <alignment horizontal="center" vertical="center"/>
    </xf>
    <xf numFmtId="201" fontId="14" fillId="8" borderId="13" xfId="0" applyNumberFormat="1" applyFont="1" applyFill="1" applyBorder="1" applyAlignment="1">
      <alignment horizontal="center" vertical="center"/>
    </xf>
    <xf numFmtId="180" fontId="32" fillId="0" borderId="17" xfId="0" applyFont="1" applyBorder="1" applyAlignment="1">
      <alignment horizontal="center" vertical="center" shrinkToFit="1"/>
    </xf>
    <xf numFmtId="180" fontId="32" fillId="0" borderId="33" xfId="0" applyFont="1" applyBorder="1" applyAlignment="1">
      <alignment horizontal="center" vertical="center" shrinkToFit="1"/>
    </xf>
    <xf numFmtId="38" fontId="14" fillId="0" borderId="167" xfId="2" applyFont="1" applyBorder="1" applyAlignment="1">
      <alignment vertical="center"/>
    </xf>
    <xf numFmtId="38" fontId="14" fillId="0" borderId="194" xfId="2" applyFont="1" applyBorder="1" applyAlignment="1">
      <alignment vertical="center"/>
    </xf>
    <xf numFmtId="38" fontId="14" fillId="0" borderId="168" xfId="2" applyFont="1" applyBorder="1" applyAlignment="1">
      <alignment vertical="center"/>
    </xf>
    <xf numFmtId="38" fontId="14" fillId="0" borderId="22" xfId="2" applyFont="1" applyBorder="1" applyAlignment="1">
      <alignment vertical="center"/>
    </xf>
    <xf numFmtId="38" fontId="14" fillId="0" borderId="0" xfId="2" applyFont="1" applyBorder="1" applyAlignment="1">
      <alignment vertical="center"/>
    </xf>
    <xf numFmtId="38" fontId="14" fillId="0" borderId="163" xfId="2" applyFont="1" applyBorder="1" applyAlignment="1">
      <alignment vertical="center"/>
    </xf>
    <xf numFmtId="38" fontId="14" fillId="0" borderId="169" xfId="2" applyFont="1" applyBorder="1" applyAlignment="1">
      <alignment vertical="center"/>
    </xf>
    <xf numFmtId="38" fontId="14" fillId="0" borderId="183" xfId="2" applyFont="1" applyBorder="1" applyAlignment="1">
      <alignment vertical="center"/>
    </xf>
    <xf numFmtId="38" fontId="14" fillId="0" borderId="170" xfId="2" applyFont="1" applyBorder="1" applyAlignment="1">
      <alignment vertical="center"/>
    </xf>
    <xf numFmtId="40" fontId="14" fillId="0" borderId="167" xfId="0" applyNumberFormat="1" applyFont="1" applyBorder="1">
      <alignment vertical="center"/>
    </xf>
    <xf numFmtId="40" fontId="14" fillId="0" borderId="234" xfId="0" applyNumberFormat="1" applyFont="1" applyBorder="1">
      <alignment vertical="center"/>
    </xf>
    <xf numFmtId="40" fontId="14" fillId="0" borderId="169" xfId="0" applyNumberFormat="1" applyFont="1" applyBorder="1">
      <alignment vertical="center"/>
    </xf>
    <xf numFmtId="40" fontId="14" fillId="0" borderId="231" xfId="0" applyNumberFormat="1" applyFont="1" applyBorder="1">
      <alignment vertical="center"/>
    </xf>
    <xf numFmtId="180" fontId="14" fillId="0" borderId="163" xfId="0" applyFont="1" applyBorder="1">
      <alignment vertical="center"/>
    </xf>
    <xf numFmtId="180" fontId="14" fillId="0" borderId="233" xfId="0" applyFont="1" applyBorder="1">
      <alignment vertical="center"/>
    </xf>
    <xf numFmtId="180" fontId="0" fillId="0" borderId="25" xfId="0" applyBorder="1">
      <alignment vertical="center"/>
    </xf>
    <xf numFmtId="180" fontId="0" fillId="0" borderId="26" xfId="0" applyBorder="1">
      <alignment vertical="center"/>
    </xf>
    <xf numFmtId="180" fontId="0" fillId="0" borderId="27" xfId="0" applyBorder="1">
      <alignment vertical="center"/>
    </xf>
    <xf numFmtId="40" fontId="0" fillId="0" borderId="34" xfId="0" applyNumberFormat="1" applyBorder="1" applyAlignment="1">
      <alignment horizontal="center" vertical="center"/>
    </xf>
    <xf numFmtId="40" fontId="0" fillId="0" borderId="23" xfId="0" applyNumberFormat="1" applyBorder="1" applyAlignment="1">
      <alignment horizontal="center" vertical="center"/>
    </xf>
    <xf numFmtId="40" fontId="0" fillId="6" borderId="14" xfId="0" applyNumberFormat="1" applyFill="1" applyBorder="1" applyAlignment="1">
      <alignment horizontal="right" vertical="center"/>
    </xf>
    <xf numFmtId="40" fontId="0" fillId="6" borderId="13" xfId="0" applyNumberFormat="1" applyFill="1" applyBorder="1" applyAlignment="1">
      <alignment horizontal="right" vertical="center"/>
    </xf>
    <xf numFmtId="177" fontId="14" fillId="0" borderId="39" xfId="0" applyNumberFormat="1" applyFont="1" applyBorder="1">
      <alignment vertical="center"/>
    </xf>
    <xf numFmtId="177" fontId="14" fillId="0" borderId="37" xfId="0" applyNumberFormat="1" applyFont="1" applyBorder="1">
      <alignment vertical="center"/>
    </xf>
    <xf numFmtId="40" fontId="0" fillId="0" borderId="76" xfId="0" applyNumberFormat="1" applyBorder="1" applyAlignment="1">
      <alignment horizontal="center" vertical="center"/>
    </xf>
    <xf numFmtId="180" fontId="10" fillId="16" borderId="145" xfId="0" applyFont="1" applyFill="1" applyBorder="1" applyAlignment="1">
      <alignment horizontal="center" vertical="center" shrinkToFit="1"/>
    </xf>
    <xf numFmtId="180" fontId="10" fillId="3" borderId="146" xfId="0" applyFont="1" applyFill="1" applyBorder="1" applyAlignment="1">
      <alignment horizontal="center" vertical="center" shrinkToFit="1"/>
    </xf>
    <xf numFmtId="180" fontId="0" fillId="0" borderId="166" xfId="0" applyBorder="1">
      <alignment vertical="center"/>
    </xf>
    <xf numFmtId="185" fontId="0" fillId="0" borderId="25" xfId="0" applyNumberFormat="1" applyBorder="1" applyAlignment="1">
      <alignment horizontal="right" vertical="center"/>
    </xf>
    <xf numFmtId="185" fontId="0" fillId="0" borderId="26" xfId="0" applyNumberFormat="1" applyBorder="1" applyAlignment="1">
      <alignment horizontal="right" vertical="center"/>
    </xf>
    <xf numFmtId="185" fontId="0" fillId="0" borderId="27" xfId="0" applyNumberFormat="1" applyBorder="1" applyAlignment="1">
      <alignment horizontal="right" vertical="center"/>
    </xf>
    <xf numFmtId="40" fontId="0" fillId="0" borderId="79" xfId="0" applyNumberFormat="1" applyBorder="1" applyAlignment="1">
      <alignment horizontal="center" vertical="center"/>
    </xf>
    <xf numFmtId="40" fontId="14" fillId="0" borderId="167" xfId="0" applyNumberFormat="1" applyFont="1" applyBorder="1" applyAlignment="1">
      <alignment horizontal="right" vertical="center"/>
    </xf>
    <xf numFmtId="40" fontId="14" fillId="0" borderId="194" xfId="0" applyNumberFormat="1" applyFont="1" applyBorder="1" applyAlignment="1">
      <alignment horizontal="right" vertical="center"/>
    </xf>
    <xf numFmtId="40" fontId="14" fillId="0" borderId="168" xfId="0" applyNumberFormat="1" applyFont="1" applyBorder="1" applyAlignment="1">
      <alignment horizontal="right" vertical="center"/>
    </xf>
    <xf numFmtId="40" fontId="14" fillId="0" borderId="22" xfId="0" applyNumberFormat="1" applyFont="1" applyBorder="1" applyAlignment="1">
      <alignment horizontal="right" vertical="center"/>
    </xf>
    <xf numFmtId="40" fontId="14" fillId="0" borderId="0" xfId="0" applyNumberFormat="1" applyFont="1" applyAlignment="1">
      <alignment horizontal="right" vertical="center"/>
    </xf>
    <xf numFmtId="40" fontId="14" fillId="0" borderId="163" xfId="0" applyNumberFormat="1" applyFont="1" applyBorder="1" applyAlignment="1">
      <alignment horizontal="right" vertical="center"/>
    </xf>
    <xf numFmtId="40" fontId="14" fillId="0" borderId="169" xfId="0" applyNumberFormat="1" applyFont="1" applyBorder="1" applyAlignment="1">
      <alignment horizontal="right" vertical="center"/>
    </xf>
    <xf numFmtId="40" fontId="14" fillId="0" borderId="183" xfId="0" applyNumberFormat="1" applyFont="1" applyBorder="1" applyAlignment="1">
      <alignment horizontal="right" vertical="center"/>
    </xf>
    <xf numFmtId="40" fontId="14" fillId="0" borderId="170" xfId="0" applyNumberFormat="1" applyFont="1" applyBorder="1" applyAlignment="1">
      <alignment horizontal="right" vertical="center"/>
    </xf>
    <xf numFmtId="180" fontId="11" fillId="13" borderId="173" xfId="0" applyFont="1" applyFill="1" applyBorder="1" applyAlignment="1">
      <alignment horizontal="center" vertical="center" shrinkToFit="1"/>
    </xf>
    <xf numFmtId="180" fontId="11" fillId="4" borderId="4" xfId="0" applyFont="1" applyFill="1" applyBorder="1" applyAlignment="1">
      <alignment horizontal="center" vertical="center" shrinkToFit="1"/>
    </xf>
    <xf numFmtId="180" fontId="11" fillId="4" borderId="5" xfId="0" applyFont="1" applyFill="1" applyBorder="1" applyAlignment="1">
      <alignment horizontal="center" vertical="center" shrinkToFit="1"/>
    </xf>
    <xf numFmtId="40" fontId="0" fillId="16" borderId="232" xfId="0" applyNumberFormat="1" applyFill="1" applyBorder="1" applyAlignment="1">
      <alignment horizontal="center" vertical="center"/>
    </xf>
    <xf numFmtId="40" fontId="3" fillId="9" borderId="232" xfId="0" applyNumberFormat="1" applyFont="1" applyFill="1" applyBorder="1" applyAlignment="1">
      <alignment horizontal="center" vertical="center"/>
    </xf>
    <xf numFmtId="180" fontId="14" fillId="0" borderId="17" xfId="0" applyFont="1" applyBorder="1" applyAlignment="1">
      <alignment horizontal="center" vertical="center"/>
    </xf>
    <xf numFmtId="180" fontId="14" fillId="0" borderId="23" xfId="0" applyFont="1" applyBorder="1" applyAlignment="1">
      <alignment horizontal="center" vertical="center"/>
    </xf>
    <xf numFmtId="185" fontId="0" fillId="0" borderId="14" xfId="0" applyNumberFormat="1" applyBorder="1" applyAlignment="1">
      <alignment horizontal="right" vertical="center"/>
    </xf>
    <xf numFmtId="185" fontId="0" fillId="0" borderId="13" xfId="0" applyNumberFormat="1" applyBorder="1" applyAlignment="1">
      <alignment horizontal="right" vertical="center"/>
    </xf>
    <xf numFmtId="185" fontId="0" fillId="0" borderId="15" xfId="0" applyNumberFormat="1" applyBorder="1" applyAlignment="1">
      <alignment horizontal="right" vertical="center"/>
    </xf>
    <xf numFmtId="180" fontId="11" fillId="6" borderId="3" xfId="0" applyFont="1" applyFill="1" applyBorder="1" applyAlignment="1">
      <alignment horizontal="center" vertical="center"/>
    </xf>
    <xf numFmtId="180" fontId="11" fillId="6" borderId="4" xfId="0" applyFont="1" applyFill="1" applyBorder="1" applyAlignment="1">
      <alignment horizontal="center" vertical="center"/>
    </xf>
    <xf numFmtId="180" fontId="11" fillId="6" borderId="5" xfId="0" applyFont="1" applyFill="1" applyBorder="1" applyAlignment="1">
      <alignment horizontal="center" vertical="center"/>
    </xf>
    <xf numFmtId="180" fontId="11" fillId="13" borderId="20" xfId="0" applyFont="1" applyFill="1" applyBorder="1" applyAlignment="1">
      <alignment horizontal="left" vertical="center" shrinkToFit="1"/>
    </xf>
    <xf numFmtId="180" fontId="11" fillId="4" borderId="20" xfId="0" applyFont="1" applyFill="1" applyBorder="1" applyAlignment="1">
      <alignment horizontal="left" vertical="center" shrinkToFit="1"/>
    </xf>
    <xf numFmtId="180" fontId="10" fillId="16" borderId="22" xfId="0" applyFont="1" applyFill="1" applyBorder="1" applyAlignment="1">
      <alignment horizontal="center" vertical="center"/>
    </xf>
    <xf numFmtId="180" fontId="10" fillId="3" borderId="28" xfId="0" applyFont="1" applyFill="1" applyBorder="1" applyAlignment="1">
      <alignment horizontal="center" vertical="center"/>
    </xf>
    <xf numFmtId="180" fontId="10" fillId="3" borderId="7" xfId="0" applyFont="1" applyFill="1" applyBorder="1" applyAlignment="1">
      <alignment horizontal="center" vertical="center"/>
    </xf>
    <xf numFmtId="180" fontId="10" fillId="3" borderId="24" xfId="0" applyFont="1" applyFill="1" applyBorder="1" applyAlignment="1">
      <alignment horizontal="center" vertical="center"/>
    </xf>
    <xf numFmtId="180" fontId="11" fillId="6" borderId="22" xfId="0" applyFont="1" applyFill="1" applyBorder="1" applyAlignment="1">
      <alignment horizontal="center" vertical="center" shrinkToFit="1"/>
    </xf>
    <xf numFmtId="180" fontId="11" fillId="6" borderId="0" xfId="0" applyFont="1" applyFill="1" applyAlignment="1">
      <alignment horizontal="center" vertical="center" shrinkToFit="1"/>
    </xf>
    <xf numFmtId="180" fontId="11" fillId="6" borderId="7" xfId="0" applyFont="1" applyFill="1" applyBorder="1" applyAlignment="1">
      <alignment horizontal="center" vertical="center" shrinkToFit="1"/>
    </xf>
    <xf numFmtId="180" fontId="11" fillId="6" borderId="8" xfId="0" applyFont="1" applyFill="1" applyBorder="1" applyAlignment="1">
      <alignment horizontal="center" vertical="center" shrinkToFit="1"/>
    </xf>
    <xf numFmtId="180" fontId="11" fillId="6" borderId="3" xfId="0" applyFont="1" applyFill="1" applyBorder="1" applyAlignment="1">
      <alignment horizontal="distributed" vertical="center" indent="3" shrinkToFit="1"/>
    </xf>
    <xf numFmtId="180" fontId="11" fillId="6" borderId="174" xfId="0" applyFont="1" applyFill="1" applyBorder="1" applyAlignment="1">
      <alignment horizontal="distributed" vertical="center" indent="3" shrinkToFit="1"/>
    </xf>
    <xf numFmtId="180" fontId="11" fillId="6" borderId="175" xfId="0" applyFont="1" applyFill="1" applyBorder="1" applyAlignment="1">
      <alignment horizontal="distributed" vertical="center" indent="3" shrinkToFit="1"/>
    </xf>
    <xf numFmtId="176" fontId="11" fillId="13" borderId="20" xfId="0" applyNumberFormat="1" applyFont="1" applyFill="1" applyBorder="1" applyAlignment="1">
      <alignment horizontal="left" vertical="center" shrinkToFit="1"/>
    </xf>
    <xf numFmtId="176" fontId="11" fillId="4" borderId="20" xfId="0" applyNumberFormat="1" applyFont="1" applyFill="1" applyBorder="1" applyAlignment="1">
      <alignment horizontal="left" vertical="center" shrinkToFit="1"/>
    </xf>
    <xf numFmtId="180" fontId="14" fillId="6" borderId="22" xfId="0" applyFont="1" applyFill="1" applyBorder="1" applyAlignment="1">
      <alignment horizontal="center" vertical="center"/>
    </xf>
    <xf numFmtId="180" fontId="14" fillId="6" borderId="0" xfId="0" applyFont="1" applyFill="1" applyAlignment="1">
      <alignment horizontal="center" vertical="center"/>
    </xf>
    <xf numFmtId="185" fontId="0" fillId="16" borderId="232" xfId="0" applyNumberFormat="1" applyFill="1" applyBorder="1" applyAlignment="1">
      <alignment horizontal="center" vertical="center"/>
    </xf>
    <xf numFmtId="185" fontId="0" fillId="9" borderId="232" xfId="0" applyNumberFormat="1" applyFill="1" applyBorder="1" applyAlignment="1">
      <alignment horizontal="center" vertical="center"/>
    </xf>
    <xf numFmtId="180" fontId="14" fillId="0" borderId="194" xfId="0" applyFont="1" applyBorder="1">
      <alignment vertical="center"/>
    </xf>
    <xf numFmtId="180" fontId="0" fillId="10" borderId="173" xfId="0" applyFill="1" applyBorder="1" applyAlignment="1">
      <alignment horizontal="center" vertical="center"/>
    </xf>
    <xf numFmtId="180" fontId="0" fillId="10" borderId="174" xfId="0" applyFill="1" applyBorder="1" applyAlignment="1">
      <alignment horizontal="center" vertical="center"/>
    </xf>
    <xf numFmtId="180" fontId="0" fillId="10" borderId="175" xfId="0" applyFill="1" applyBorder="1" applyAlignment="1">
      <alignment horizontal="center" vertical="center"/>
    </xf>
    <xf numFmtId="180" fontId="14" fillId="6" borderId="167" xfId="0" applyFont="1" applyFill="1" applyBorder="1" applyAlignment="1">
      <alignment horizontal="center" vertical="center" shrinkToFit="1"/>
    </xf>
    <xf numFmtId="180" fontId="14" fillId="6" borderId="194" xfId="0" applyFont="1" applyFill="1" applyBorder="1" applyAlignment="1">
      <alignment horizontal="center" vertical="center" shrinkToFit="1"/>
    </xf>
    <xf numFmtId="180" fontId="14" fillId="6" borderId="22" xfId="0" applyFont="1" applyFill="1" applyBorder="1" applyAlignment="1">
      <alignment horizontal="center" vertical="center" shrinkToFit="1"/>
    </xf>
    <xf numFmtId="180" fontId="14" fillId="6" borderId="0" xfId="0" applyFont="1" applyFill="1" applyAlignment="1">
      <alignment horizontal="center" vertical="center" shrinkToFit="1"/>
    </xf>
    <xf numFmtId="180" fontId="14" fillId="6" borderId="169" xfId="0" applyFont="1" applyFill="1" applyBorder="1" applyAlignment="1">
      <alignment horizontal="center" vertical="center" shrinkToFit="1"/>
    </xf>
    <xf numFmtId="180" fontId="14" fillId="6" borderId="183" xfId="0" applyFont="1" applyFill="1" applyBorder="1" applyAlignment="1">
      <alignment horizontal="center" vertical="center" shrinkToFit="1"/>
    </xf>
    <xf numFmtId="180" fontId="14" fillId="0" borderId="25" xfId="0" applyFont="1" applyBorder="1" applyAlignment="1">
      <alignment horizontal="center" vertical="center"/>
    </xf>
    <xf numFmtId="180" fontId="14" fillId="0" borderId="26" xfId="0" applyFont="1" applyBorder="1" applyAlignment="1">
      <alignment horizontal="center" vertical="center"/>
    </xf>
    <xf numFmtId="180" fontId="14" fillId="0" borderId="27" xfId="0" applyFont="1" applyBorder="1" applyAlignment="1">
      <alignment horizontal="center" vertical="center"/>
    </xf>
    <xf numFmtId="180" fontId="9" fillId="6" borderId="20" xfId="0" applyFont="1" applyFill="1" applyBorder="1" applyAlignment="1">
      <alignment horizontal="center" vertical="center" shrinkToFit="1"/>
    </xf>
    <xf numFmtId="40" fontId="14" fillId="0" borderId="195" xfId="0" applyNumberFormat="1" applyFont="1" applyBorder="1" applyAlignment="1">
      <alignment horizontal="right" vertical="center"/>
    </xf>
    <xf numFmtId="40" fontId="14" fillId="0" borderId="115" xfId="0" applyNumberFormat="1" applyFont="1" applyBorder="1" applyAlignment="1">
      <alignment horizontal="right" vertical="center"/>
    </xf>
    <xf numFmtId="40" fontId="14" fillId="0" borderId="58" xfId="0" applyNumberFormat="1" applyFont="1" applyBorder="1" applyAlignment="1">
      <alignment horizontal="right" vertical="center"/>
    </xf>
    <xf numFmtId="40" fontId="14" fillId="0" borderId="195" xfId="0" applyNumberFormat="1" applyFont="1" applyBorder="1" applyAlignment="1">
      <alignment horizontal="center" vertical="center"/>
    </xf>
    <xf numFmtId="40" fontId="14" fillId="0" borderId="168" xfId="0" applyNumberFormat="1" applyFont="1" applyBorder="1" applyAlignment="1">
      <alignment horizontal="center" vertical="center"/>
    </xf>
    <xf numFmtId="40" fontId="14" fillId="0" borderId="58" xfId="0" applyNumberFormat="1" applyFont="1" applyBorder="1" applyAlignment="1">
      <alignment horizontal="center" vertical="center"/>
    </xf>
    <xf numFmtId="40" fontId="14" fillId="0" borderId="170" xfId="0" applyNumberFormat="1" applyFont="1" applyBorder="1" applyAlignment="1">
      <alignment horizontal="center" vertical="center"/>
    </xf>
    <xf numFmtId="180" fontId="14" fillId="0" borderId="14" xfId="0" applyFont="1" applyBorder="1" applyAlignment="1">
      <alignment horizontal="center" vertical="center"/>
    </xf>
    <xf numFmtId="180" fontId="14" fillId="0" borderId="13" xfId="0" applyFont="1" applyBorder="1" applyAlignment="1">
      <alignment horizontal="center" vertical="center"/>
    </xf>
    <xf numFmtId="180" fontId="14" fillId="0" borderId="15" xfId="0" applyFont="1" applyBorder="1" applyAlignment="1">
      <alignment horizontal="center" vertical="center"/>
    </xf>
    <xf numFmtId="38" fontId="14" fillId="0" borderId="167" xfId="2" applyFont="1" applyFill="1" applyBorder="1" applyAlignment="1">
      <alignment horizontal="right" vertical="center"/>
    </xf>
    <xf numFmtId="38" fontId="14" fillId="0" borderId="194" xfId="2" applyFont="1" applyFill="1" applyBorder="1" applyAlignment="1">
      <alignment horizontal="right" vertical="center"/>
    </xf>
    <xf numFmtId="38" fontId="14" fillId="0" borderId="168" xfId="2" applyFont="1" applyFill="1" applyBorder="1" applyAlignment="1">
      <alignment horizontal="right" vertical="center"/>
    </xf>
    <xf numFmtId="38" fontId="14" fillId="0" borderId="22" xfId="2" applyFont="1" applyFill="1" applyBorder="1" applyAlignment="1">
      <alignment horizontal="right" vertical="center"/>
    </xf>
    <xf numFmtId="38" fontId="14" fillId="0" borderId="0" xfId="2" applyFont="1" applyFill="1" applyBorder="1" applyAlignment="1">
      <alignment horizontal="right" vertical="center"/>
    </xf>
    <xf numFmtId="38" fontId="14" fillId="0" borderId="163" xfId="2" applyFont="1" applyFill="1" applyBorder="1" applyAlignment="1">
      <alignment horizontal="right" vertical="center"/>
    </xf>
    <xf numFmtId="38" fontId="14" fillId="0" borderId="169" xfId="2" applyFont="1" applyFill="1" applyBorder="1" applyAlignment="1">
      <alignment horizontal="right" vertical="center"/>
    </xf>
    <xf numFmtId="38" fontId="14" fillId="0" borderId="183" xfId="2" applyFont="1" applyFill="1" applyBorder="1" applyAlignment="1">
      <alignment horizontal="right" vertical="center"/>
    </xf>
    <xf numFmtId="38" fontId="14" fillId="0" borderId="170" xfId="2" applyFont="1" applyFill="1" applyBorder="1" applyAlignment="1">
      <alignment horizontal="right" vertical="center"/>
    </xf>
    <xf numFmtId="40" fontId="0" fillId="0" borderId="78" xfId="0" applyNumberFormat="1" applyBorder="1" applyAlignment="1">
      <alignment horizontal="center" vertical="center"/>
    </xf>
    <xf numFmtId="4" fontId="14" fillId="0" borderId="194" xfId="0" applyNumberFormat="1" applyFont="1" applyBorder="1" applyAlignment="1">
      <alignment horizontal="right" vertical="center"/>
    </xf>
    <xf numFmtId="4" fontId="14" fillId="0" borderId="168" xfId="0" applyNumberFormat="1" applyFont="1" applyBorder="1" applyAlignment="1">
      <alignment horizontal="right" vertical="center"/>
    </xf>
    <xf numFmtId="4" fontId="14" fillId="0" borderId="0" xfId="0" applyNumberFormat="1" applyFont="1" applyAlignment="1">
      <alignment horizontal="right" vertical="center"/>
    </xf>
    <xf numFmtId="4" fontId="14" fillId="0" borderId="163" xfId="0" applyNumberFormat="1" applyFont="1" applyBorder="1" applyAlignment="1">
      <alignment horizontal="right" vertical="center"/>
    </xf>
    <xf numFmtId="4" fontId="14" fillId="0" borderId="183" xfId="0" applyNumberFormat="1" applyFont="1" applyBorder="1" applyAlignment="1">
      <alignment horizontal="right" vertical="center"/>
    </xf>
    <xf numFmtId="4" fontId="14" fillId="0" borderId="170" xfId="0" applyNumberFormat="1" applyFont="1" applyBorder="1" applyAlignment="1">
      <alignment horizontal="right" vertical="center"/>
    </xf>
    <xf numFmtId="185" fontId="0" fillId="0" borderId="17" xfId="0" applyNumberFormat="1" applyBorder="1" applyAlignment="1">
      <alignment horizontal="right" vertical="center"/>
    </xf>
    <xf numFmtId="185" fontId="0" fillId="0" borderId="16" xfId="0" applyNumberFormat="1" applyBorder="1" applyAlignment="1">
      <alignment horizontal="right" vertical="center"/>
    </xf>
    <xf numFmtId="185" fontId="0" fillId="0" borderId="23" xfId="0" applyNumberFormat="1" applyBorder="1" applyAlignment="1">
      <alignment horizontal="right" vertical="center"/>
    </xf>
    <xf numFmtId="40" fontId="14" fillId="6" borderId="167" xfId="0" applyNumberFormat="1" applyFont="1" applyFill="1" applyBorder="1" applyAlignment="1">
      <alignment horizontal="center" vertical="center"/>
    </xf>
    <xf numFmtId="40" fontId="14" fillId="6" borderId="194" xfId="0" applyNumberFormat="1" applyFont="1" applyFill="1" applyBorder="1" applyAlignment="1">
      <alignment horizontal="center" vertical="center"/>
    </xf>
    <xf numFmtId="40" fontId="14" fillId="6" borderId="169" xfId="0" applyNumberFormat="1" applyFont="1" applyFill="1" applyBorder="1" applyAlignment="1">
      <alignment horizontal="center" vertical="center"/>
    </xf>
    <xf numFmtId="40" fontId="14" fillId="6" borderId="183" xfId="0" applyNumberFormat="1" applyFont="1" applyFill="1" applyBorder="1" applyAlignment="1">
      <alignment horizontal="center" vertical="center"/>
    </xf>
    <xf numFmtId="185" fontId="0" fillId="0" borderId="173" xfId="0" applyNumberFormat="1" applyBorder="1" applyAlignment="1">
      <alignment horizontal="center" vertical="center"/>
    </xf>
    <xf numFmtId="185" fontId="0" fillId="0" borderId="175" xfId="0" applyNumberFormat="1" applyBorder="1" applyAlignment="1">
      <alignment horizontal="center" vertical="center"/>
    </xf>
    <xf numFmtId="38" fontId="14" fillId="0" borderId="167" xfId="2" applyFont="1" applyFill="1" applyBorder="1" applyAlignment="1">
      <alignment vertical="center"/>
    </xf>
    <xf numFmtId="38" fontId="14" fillId="0" borderId="194" xfId="2" applyFont="1" applyFill="1" applyBorder="1" applyAlignment="1">
      <alignment vertical="center"/>
    </xf>
    <xf numFmtId="38" fontId="14" fillId="0" borderId="168" xfId="2" applyFont="1" applyFill="1" applyBorder="1" applyAlignment="1">
      <alignment vertical="center"/>
    </xf>
    <xf numFmtId="38" fontId="14" fillId="0" borderId="22" xfId="2" applyFont="1" applyFill="1" applyBorder="1" applyAlignment="1">
      <alignment vertical="center"/>
    </xf>
    <xf numFmtId="38" fontId="14" fillId="0" borderId="0" xfId="2" applyFont="1" applyFill="1" applyBorder="1" applyAlignment="1">
      <alignment vertical="center"/>
    </xf>
    <xf numFmtId="38" fontId="14" fillId="0" borderId="163" xfId="2" applyFont="1" applyFill="1" applyBorder="1" applyAlignment="1">
      <alignment vertical="center"/>
    </xf>
    <xf numFmtId="40" fontId="14" fillId="0" borderId="194" xfId="0" applyNumberFormat="1" applyFont="1" applyBorder="1">
      <alignment vertical="center"/>
    </xf>
    <xf numFmtId="40" fontId="14" fillId="0" borderId="168" xfId="0" applyNumberFormat="1" applyFont="1" applyBorder="1">
      <alignment vertical="center"/>
    </xf>
    <xf numFmtId="40" fontId="14" fillId="0" borderId="163" xfId="0" applyNumberFormat="1" applyFont="1" applyBorder="1">
      <alignment vertical="center"/>
    </xf>
    <xf numFmtId="40" fontId="14" fillId="0" borderId="183" xfId="0" applyNumberFormat="1" applyFont="1" applyBorder="1">
      <alignment vertical="center"/>
    </xf>
    <xf numFmtId="40" fontId="14" fillId="0" borderId="170" xfId="0" applyNumberFormat="1" applyFont="1" applyBorder="1">
      <alignment vertical="center"/>
    </xf>
    <xf numFmtId="40" fontId="0" fillId="9" borderId="232" xfId="0" applyNumberFormat="1" applyFill="1" applyBorder="1" applyAlignment="1">
      <alignment horizontal="center" vertical="center"/>
    </xf>
    <xf numFmtId="180" fontId="0" fillId="0" borderId="0" xfId="0" applyAlignment="1">
      <alignment horizontal="center" vertical="center"/>
    </xf>
    <xf numFmtId="40" fontId="32" fillId="0" borderId="63" xfId="0" applyNumberFormat="1" applyFont="1" applyBorder="1" applyAlignment="1">
      <alignment horizontal="left" vertical="top" wrapText="1"/>
    </xf>
    <xf numFmtId="206" fontId="32" fillId="0" borderId="0" xfId="0" applyNumberFormat="1" applyFont="1" applyAlignment="1">
      <alignment horizontal="center" vertical="top" shrinkToFit="1"/>
    </xf>
    <xf numFmtId="180" fontId="14" fillId="0" borderId="167" xfId="0" applyFont="1" applyBorder="1" applyAlignment="1">
      <alignment horizontal="right" vertical="center"/>
    </xf>
    <xf numFmtId="180" fontId="14" fillId="0" borderId="194" xfId="0" applyFont="1" applyBorder="1" applyAlignment="1">
      <alignment horizontal="right" vertical="center"/>
    </xf>
    <xf numFmtId="180" fontId="14" fillId="0" borderId="168" xfId="0" applyFont="1" applyBorder="1" applyAlignment="1">
      <alignment horizontal="right" vertical="center"/>
    </xf>
    <xf numFmtId="180" fontId="14" fillId="0" borderId="22" xfId="0" applyFont="1" applyBorder="1" applyAlignment="1">
      <alignment horizontal="right" vertical="center"/>
    </xf>
    <xf numFmtId="180" fontId="14" fillId="0" borderId="0" xfId="0" applyFont="1" applyAlignment="1">
      <alignment horizontal="right" vertical="center"/>
    </xf>
    <xf numFmtId="180" fontId="14" fillId="0" borderId="163" xfId="0" applyFont="1" applyBorder="1" applyAlignment="1">
      <alignment horizontal="right" vertical="center"/>
    </xf>
    <xf numFmtId="180" fontId="14" fillId="0" borderId="169" xfId="0" applyFont="1" applyBorder="1" applyAlignment="1">
      <alignment horizontal="right" vertical="center"/>
    </xf>
    <xf numFmtId="180" fontId="14" fillId="0" borderId="183" xfId="0" applyFont="1" applyBorder="1" applyAlignment="1">
      <alignment horizontal="right" vertical="center"/>
    </xf>
    <xf numFmtId="180" fontId="14" fillId="0" borderId="170" xfId="0" applyFont="1" applyBorder="1" applyAlignment="1">
      <alignment horizontal="right" vertical="center"/>
    </xf>
    <xf numFmtId="38" fontId="14" fillId="0" borderId="169" xfId="2" applyFont="1" applyFill="1" applyBorder="1" applyAlignment="1">
      <alignment vertical="center"/>
    </xf>
    <xf numFmtId="38" fontId="14" fillId="0" borderId="183" xfId="2" applyFont="1" applyFill="1" applyBorder="1" applyAlignment="1">
      <alignment vertical="center"/>
    </xf>
    <xf numFmtId="38" fontId="14" fillId="0" borderId="170" xfId="2" applyFont="1" applyFill="1" applyBorder="1" applyAlignment="1">
      <alignment vertical="center"/>
    </xf>
    <xf numFmtId="180" fontId="8" fillId="0" borderId="25" xfId="0" applyFont="1" applyBorder="1" applyAlignment="1">
      <alignment horizontal="center" vertical="center"/>
    </xf>
    <xf numFmtId="180" fontId="8" fillId="0" borderId="26" xfId="0" applyFont="1" applyBorder="1" applyAlignment="1">
      <alignment horizontal="center" vertical="center"/>
    </xf>
    <xf numFmtId="180" fontId="8" fillId="0" borderId="27" xfId="0" applyFont="1" applyBorder="1" applyAlignment="1">
      <alignment horizontal="center" vertical="center"/>
    </xf>
    <xf numFmtId="40" fontId="3" fillId="0" borderId="64" xfId="0" applyNumberFormat="1" applyFont="1" applyBorder="1" applyAlignment="1">
      <alignment horizontal="center" vertical="center"/>
    </xf>
    <xf numFmtId="40" fontId="0" fillId="0" borderId="63" xfId="0" applyNumberFormat="1" applyBorder="1" applyAlignment="1">
      <alignment horizontal="center" vertical="center"/>
    </xf>
    <xf numFmtId="40" fontId="3" fillId="0" borderId="61" xfId="0" applyNumberFormat="1" applyFont="1" applyBorder="1" applyAlignment="1">
      <alignment horizontal="center" vertical="center"/>
    </xf>
    <xf numFmtId="40" fontId="0" fillId="0" borderId="60" xfId="0" applyNumberFormat="1" applyBorder="1" applyAlignment="1">
      <alignment horizontal="center" vertical="center"/>
    </xf>
    <xf numFmtId="179" fontId="0" fillId="0" borderId="166" xfId="0" applyNumberFormat="1" applyBorder="1">
      <alignment vertical="center"/>
    </xf>
    <xf numFmtId="38" fontId="0" fillId="0" borderId="166" xfId="2" applyFont="1" applyBorder="1">
      <alignment vertical="center"/>
    </xf>
    <xf numFmtId="40" fontId="14" fillId="0" borderId="115" xfId="0" applyNumberFormat="1" applyFont="1" applyBorder="1" applyAlignment="1">
      <alignment horizontal="center" vertical="center"/>
    </xf>
    <xf numFmtId="40" fontId="14" fillId="0" borderId="163" xfId="0" applyNumberFormat="1" applyFont="1" applyBorder="1" applyAlignment="1">
      <alignment horizontal="center" vertical="center"/>
    </xf>
    <xf numFmtId="188" fontId="32" fillId="0" borderId="0" xfId="0" applyNumberFormat="1" applyFont="1" applyAlignment="1">
      <alignment horizontal="center" vertical="top"/>
    </xf>
    <xf numFmtId="40" fontId="0" fillId="13" borderId="66" xfId="0" applyNumberFormat="1" applyFill="1" applyBorder="1" applyAlignment="1">
      <alignment horizontal="center" vertical="center"/>
    </xf>
    <xf numFmtId="40" fontId="0" fillId="4" borderId="65" xfId="0" applyNumberFormat="1" applyFill="1" applyBorder="1" applyAlignment="1">
      <alignment horizontal="center" vertical="center"/>
    </xf>
    <xf numFmtId="40" fontId="0" fillId="13" borderId="65" xfId="0" applyNumberFormat="1" applyFill="1" applyBorder="1" applyAlignment="1">
      <alignment horizontal="center" vertical="center"/>
    </xf>
    <xf numFmtId="40" fontId="0" fillId="4" borderId="67" xfId="0" applyNumberFormat="1" applyFill="1" applyBorder="1" applyAlignment="1">
      <alignment horizontal="center" vertical="center"/>
    </xf>
    <xf numFmtId="40" fontId="32" fillId="0" borderId="0" xfId="2" applyNumberFormat="1" applyFont="1" applyFill="1" applyBorder="1" applyAlignment="1">
      <alignment horizontal="center" vertical="top"/>
    </xf>
    <xf numFmtId="38" fontId="14" fillId="0" borderId="70" xfId="2" applyFont="1" applyFill="1" applyBorder="1" applyAlignment="1">
      <alignment vertical="center"/>
    </xf>
    <xf numFmtId="38" fontId="14" fillId="0" borderId="4" xfId="2" applyFont="1" applyFill="1" applyBorder="1" applyAlignment="1">
      <alignment vertical="center"/>
    </xf>
    <xf numFmtId="38" fontId="14" fillId="0" borderId="21" xfId="2" applyFont="1" applyFill="1" applyBorder="1" applyAlignment="1">
      <alignment vertical="center"/>
    </xf>
    <xf numFmtId="38" fontId="14" fillId="0" borderId="71" xfId="2" applyFont="1" applyFill="1" applyBorder="1" applyAlignment="1">
      <alignment vertical="center"/>
    </xf>
    <xf numFmtId="38" fontId="14" fillId="0" borderId="72" xfId="2" applyFont="1" applyFill="1" applyBorder="1" applyAlignment="1">
      <alignment vertical="center"/>
    </xf>
    <xf numFmtId="38" fontId="14" fillId="0" borderId="74" xfId="2" applyFont="1" applyFill="1" applyBorder="1" applyAlignment="1">
      <alignment vertical="center"/>
    </xf>
    <xf numFmtId="40" fontId="0" fillId="0" borderId="51" xfId="0" applyNumberFormat="1" applyBorder="1" applyAlignment="1">
      <alignment horizontal="center" vertical="center"/>
    </xf>
    <xf numFmtId="40" fontId="14" fillId="0" borderId="36" xfId="0" applyNumberFormat="1" applyFont="1" applyBorder="1">
      <alignment vertical="center"/>
    </xf>
    <xf numFmtId="40" fontId="14" fillId="0" borderId="54" xfId="0" applyNumberFormat="1" applyFont="1" applyBorder="1">
      <alignment vertical="center"/>
    </xf>
    <xf numFmtId="180" fontId="0" fillId="0" borderId="14" xfId="0" applyBorder="1" applyAlignment="1">
      <alignment horizontal="center" vertical="center"/>
    </xf>
    <xf numFmtId="180" fontId="0" fillId="0" borderId="13" xfId="0" applyBorder="1" applyAlignment="1">
      <alignment horizontal="center" vertical="center"/>
    </xf>
    <xf numFmtId="180" fontId="0" fillId="0" borderId="15" xfId="0" applyBorder="1" applyAlignment="1">
      <alignment horizontal="center" vertical="center"/>
    </xf>
    <xf numFmtId="40" fontId="0" fillId="0" borderId="25" xfId="0" applyNumberFormat="1" applyBorder="1" applyAlignment="1">
      <alignment horizontal="center" vertical="center"/>
    </xf>
    <xf numFmtId="40" fontId="0" fillId="0" borderId="31" xfId="0" applyNumberFormat="1" applyBorder="1" applyAlignment="1">
      <alignment horizontal="center" vertical="center"/>
    </xf>
    <xf numFmtId="40" fontId="0" fillId="0" borderId="32" xfId="0" applyNumberFormat="1" applyBorder="1" applyAlignment="1">
      <alignment horizontal="center" vertical="center"/>
    </xf>
    <xf numFmtId="40" fontId="0" fillId="0" borderId="27" xfId="0" applyNumberFormat="1" applyBorder="1" applyAlignment="1">
      <alignment horizontal="center" vertical="center"/>
    </xf>
    <xf numFmtId="223" fontId="14" fillId="0" borderId="14" xfId="0" applyNumberFormat="1" applyFont="1" applyBorder="1" applyAlignment="1">
      <alignment vertical="center" shrinkToFit="1"/>
    </xf>
    <xf numFmtId="223" fontId="14" fillId="0" borderId="13" xfId="0" applyNumberFormat="1" applyFont="1" applyBorder="1" applyAlignment="1">
      <alignment vertical="center" shrinkToFit="1"/>
    </xf>
    <xf numFmtId="180" fontId="8" fillId="0" borderId="17" xfId="0" applyFont="1" applyBorder="1" applyAlignment="1">
      <alignment horizontal="center" vertical="center"/>
    </xf>
    <xf numFmtId="180" fontId="8" fillId="0" borderId="16" xfId="0" applyFont="1" applyBorder="1" applyAlignment="1">
      <alignment horizontal="center" vertical="center"/>
    </xf>
    <xf numFmtId="180" fontId="8" fillId="0" borderId="23" xfId="0" applyFont="1" applyBorder="1" applyAlignment="1">
      <alignment horizontal="center" vertical="center"/>
    </xf>
    <xf numFmtId="180" fontId="14" fillId="10" borderId="14" xfId="0" applyFont="1" applyFill="1" applyBorder="1" applyAlignment="1">
      <alignment horizontal="center" vertical="center"/>
    </xf>
    <xf numFmtId="180" fontId="14" fillId="10" borderId="13" xfId="0" applyFont="1" applyFill="1" applyBorder="1" applyAlignment="1">
      <alignment horizontal="center" vertical="center"/>
    </xf>
    <xf numFmtId="180" fontId="14" fillId="10" borderId="15" xfId="0" applyFont="1" applyFill="1" applyBorder="1" applyAlignment="1">
      <alignment horizontal="center" vertical="center"/>
    </xf>
    <xf numFmtId="180" fontId="0" fillId="0" borderId="14" xfId="0" applyBorder="1">
      <alignment vertical="center"/>
    </xf>
    <xf numFmtId="180" fontId="0" fillId="0" borderId="13" xfId="0" applyBorder="1">
      <alignment vertical="center"/>
    </xf>
    <xf numFmtId="180" fontId="0" fillId="0" borderId="15" xfId="0" applyBorder="1">
      <alignment vertical="center"/>
    </xf>
    <xf numFmtId="180" fontId="0" fillId="0" borderId="17" xfId="0" applyBorder="1" applyAlignment="1">
      <alignment horizontal="center" vertical="center"/>
    </xf>
    <xf numFmtId="180" fontId="0" fillId="0" borderId="16" xfId="0" applyBorder="1" applyAlignment="1">
      <alignment horizontal="center" vertical="center"/>
    </xf>
    <xf numFmtId="180" fontId="0" fillId="0" borderId="23" xfId="0" applyBorder="1" applyAlignment="1">
      <alignment horizontal="center" vertical="center"/>
    </xf>
    <xf numFmtId="38" fontId="14" fillId="13" borderId="167" xfId="2" applyFont="1" applyFill="1" applyBorder="1" applyAlignment="1">
      <alignment vertical="center"/>
    </xf>
    <xf numFmtId="38" fontId="14" fillId="8" borderId="182" xfId="2" applyFont="1" applyFill="1" applyBorder="1" applyAlignment="1">
      <alignment vertical="center"/>
    </xf>
    <xf numFmtId="38" fontId="14" fillId="8" borderId="169" xfId="2" applyFont="1" applyFill="1" applyBorder="1" applyAlignment="1">
      <alignment vertical="center"/>
    </xf>
    <xf numFmtId="38" fontId="14" fillId="8" borderId="183" xfId="2" applyFont="1" applyFill="1" applyBorder="1" applyAlignment="1">
      <alignment vertical="center"/>
    </xf>
    <xf numFmtId="180" fontId="0" fillId="0" borderId="219" xfId="0" applyBorder="1" applyAlignment="1">
      <alignment horizontal="center" vertical="center" shrinkToFit="1"/>
    </xf>
    <xf numFmtId="180" fontId="0" fillId="0" borderId="253" xfId="0" applyBorder="1" applyAlignment="1">
      <alignment horizontal="center" vertical="center" shrinkToFit="1"/>
    </xf>
    <xf numFmtId="180" fontId="0" fillId="0" borderId="17" xfId="0" applyBorder="1">
      <alignment vertical="center"/>
    </xf>
    <xf numFmtId="180" fontId="0" fillId="0" borderId="23" xfId="0" applyBorder="1">
      <alignment vertical="center"/>
    </xf>
    <xf numFmtId="180" fontId="0" fillId="0" borderId="249" xfId="0" applyBorder="1" applyAlignment="1">
      <alignment horizontal="center" vertical="center"/>
    </xf>
    <xf numFmtId="180" fontId="0" fillId="0" borderId="250" xfId="0" applyBorder="1" applyAlignment="1">
      <alignment horizontal="center" vertical="center"/>
    </xf>
    <xf numFmtId="38" fontId="0" fillId="0" borderId="251" xfId="2" applyFont="1" applyBorder="1" applyAlignment="1">
      <alignment horizontal="center" vertical="center"/>
    </xf>
    <xf numFmtId="38" fontId="0" fillId="0" borderId="252" xfId="2" applyFont="1" applyBorder="1" applyAlignment="1">
      <alignment horizontal="center" vertical="center"/>
    </xf>
    <xf numFmtId="38" fontId="0" fillId="0" borderId="254" xfId="2" applyFont="1" applyBorder="1" applyAlignment="1">
      <alignment horizontal="center" vertical="center"/>
    </xf>
    <xf numFmtId="38" fontId="0" fillId="0" borderId="225" xfId="2" applyFont="1" applyBorder="1" applyAlignment="1">
      <alignment horizontal="center" vertical="center"/>
    </xf>
    <xf numFmtId="180" fontId="32" fillId="0" borderId="0" xfId="0" applyFont="1" applyAlignment="1">
      <alignment horizontal="center" vertical="top"/>
    </xf>
    <xf numFmtId="188" fontId="0" fillId="13" borderId="0" xfId="0" applyNumberFormat="1" applyFill="1">
      <alignment vertical="center"/>
    </xf>
    <xf numFmtId="188" fontId="0" fillId="8" borderId="0" xfId="0" applyNumberFormat="1" applyFill="1">
      <alignment vertical="center"/>
    </xf>
    <xf numFmtId="180" fontId="9" fillId="16" borderId="83" xfId="0" applyFont="1" applyFill="1" applyBorder="1" applyAlignment="1">
      <alignment horizontal="center" vertical="center" textRotation="255" wrapText="1"/>
    </xf>
    <xf numFmtId="180" fontId="9" fillId="3" borderId="83" xfId="0" applyFont="1" applyFill="1" applyBorder="1" applyAlignment="1">
      <alignment horizontal="center" vertical="center" textRotation="255"/>
    </xf>
    <xf numFmtId="180" fontId="9" fillId="3" borderId="172" xfId="0" applyFont="1" applyFill="1" applyBorder="1" applyAlignment="1">
      <alignment horizontal="center" vertical="center" textRotation="255"/>
    </xf>
    <xf numFmtId="201" fontId="0" fillId="0" borderId="25" xfId="0" applyNumberFormat="1" applyBorder="1" applyAlignment="1">
      <alignment horizontal="center" vertical="center"/>
    </xf>
    <xf numFmtId="201" fontId="0" fillId="0" borderId="31" xfId="0" applyNumberFormat="1" applyBorder="1" applyAlignment="1">
      <alignment horizontal="center" vertical="center"/>
    </xf>
    <xf numFmtId="201" fontId="3" fillId="0" borderId="14" xfId="2" applyNumberFormat="1" applyFont="1" applyFill="1" applyBorder="1" applyAlignment="1">
      <alignment horizontal="center" vertical="center" shrinkToFit="1"/>
    </xf>
    <xf numFmtId="201" fontId="3" fillId="0" borderId="29" xfId="2" applyNumberFormat="1" applyFont="1" applyFill="1" applyBorder="1" applyAlignment="1">
      <alignment horizontal="center" vertical="center" shrinkToFit="1"/>
    </xf>
    <xf numFmtId="186" fontId="14" fillId="10" borderId="14" xfId="0" applyNumberFormat="1" applyFont="1" applyFill="1" applyBorder="1" applyAlignment="1">
      <alignment horizontal="center" vertical="center"/>
    </xf>
    <xf numFmtId="186" fontId="14" fillId="10" borderId="13" xfId="0" applyNumberFormat="1" applyFont="1" applyFill="1" applyBorder="1" applyAlignment="1">
      <alignment horizontal="center" vertical="center"/>
    </xf>
    <xf numFmtId="186" fontId="14" fillId="10" borderId="15" xfId="0" applyNumberFormat="1" applyFont="1" applyFill="1" applyBorder="1" applyAlignment="1">
      <alignment horizontal="center" vertical="center"/>
    </xf>
    <xf numFmtId="38" fontId="14" fillId="0" borderId="17" xfId="2" applyFont="1" applyFill="1" applyBorder="1" applyAlignment="1">
      <alignment horizontal="center" vertical="center"/>
    </xf>
    <xf numFmtId="38" fontId="14" fillId="0" borderId="16" xfId="2" applyFont="1" applyFill="1" applyBorder="1" applyAlignment="1">
      <alignment horizontal="center" vertical="center"/>
    </xf>
    <xf numFmtId="38" fontId="14" fillId="0" borderId="23" xfId="2" applyFont="1" applyFill="1" applyBorder="1" applyAlignment="1">
      <alignment horizontal="center" vertical="center"/>
    </xf>
    <xf numFmtId="201" fontId="3" fillId="0" borderId="25" xfId="2" applyNumberFormat="1" applyFont="1" applyFill="1" applyBorder="1" applyAlignment="1">
      <alignment horizontal="center" vertical="center" shrinkToFit="1"/>
    </xf>
    <xf numFmtId="201" fontId="3" fillId="0" borderId="31" xfId="2" applyNumberFormat="1" applyFont="1" applyFill="1" applyBorder="1" applyAlignment="1">
      <alignment horizontal="center" vertical="center" shrinkToFit="1"/>
    </xf>
    <xf numFmtId="201" fontId="0" fillId="0" borderId="14" xfId="0" applyNumberFormat="1" applyBorder="1" applyAlignment="1">
      <alignment horizontal="center" vertical="center"/>
    </xf>
    <xf numFmtId="201" fontId="0" fillId="0" borderId="29" xfId="0" applyNumberFormat="1" applyBorder="1" applyAlignment="1">
      <alignment horizontal="center" vertical="center"/>
    </xf>
    <xf numFmtId="38" fontId="0" fillId="0" borderId="204" xfId="2" applyFont="1" applyFill="1" applyBorder="1" applyAlignment="1">
      <alignment horizontal="center" vertical="center" shrinkToFit="1"/>
    </xf>
    <xf numFmtId="38" fontId="0" fillId="0" borderId="205" xfId="2" applyFont="1" applyFill="1" applyBorder="1" applyAlignment="1">
      <alignment horizontal="center" vertical="center" shrinkToFit="1"/>
    </xf>
    <xf numFmtId="201" fontId="3" fillId="0" borderId="17" xfId="2" applyNumberFormat="1" applyFont="1" applyFill="1" applyBorder="1" applyAlignment="1">
      <alignment horizontal="center" vertical="center" shrinkToFit="1"/>
    </xf>
    <xf numFmtId="201" fontId="3" fillId="0" borderId="33" xfId="2" applyNumberFormat="1" applyFont="1" applyFill="1" applyBorder="1" applyAlignment="1">
      <alignment horizontal="center" vertical="center" shrinkToFit="1"/>
    </xf>
    <xf numFmtId="180" fontId="14" fillId="0" borderId="232" xfId="0" applyFont="1" applyBorder="1" applyAlignment="1">
      <alignment horizontal="left" vertical="center" wrapText="1"/>
    </xf>
    <xf numFmtId="180" fontId="0" fillId="0" borderId="220" xfId="0" applyBorder="1" applyAlignment="1">
      <alignment horizontal="center" vertical="center" shrinkToFit="1"/>
    </xf>
    <xf numFmtId="180" fontId="0" fillId="0" borderId="255" xfId="0" applyBorder="1" applyAlignment="1">
      <alignment horizontal="center" vertical="center" shrinkToFit="1"/>
    </xf>
    <xf numFmtId="38" fontId="0" fillId="0" borderId="256" xfId="2" applyFont="1" applyBorder="1" applyAlignment="1">
      <alignment horizontal="center" vertical="center"/>
    </xf>
    <xf numFmtId="38" fontId="0" fillId="0" borderId="226" xfId="2" applyFont="1" applyBorder="1" applyAlignment="1">
      <alignment horizontal="center" vertical="center"/>
    </xf>
    <xf numFmtId="40" fontId="14" fillId="0" borderId="1" xfId="2" applyNumberFormat="1" applyFont="1" applyFill="1" applyBorder="1" applyAlignment="1">
      <alignment vertical="center"/>
    </xf>
    <xf numFmtId="40" fontId="14" fillId="0" borderId="2" xfId="2" applyNumberFormat="1" applyFont="1" applyFill="1" applyBorder="1" applyAlignment="1">
      <alignment vertical="center"/>
    </xf>
    <xf numFmtId="40" fontId="14" fillId="0" borderId="7" xfId="2" applyNumberFormat="1" applyFont="1" applyFill="1" applyBorder="1" applyAlignment="1">
      <alignment vertical="center"/>
    </xf>
    <xf numFmtId="40" fontId="14" fillId="0" borderId="8" xfId="2" applyNumberFormat="1" applyFont="1" applyFill="1" applyBorder="1" applyAlignment="1">
      <alignment vertical="center"/>
    </xf>
    <xf numFmtId="40" fontId="0" fillId="0" borderId="50" xfId="0" applyNumberFormat="1" applyBorder="1" applyAlignment="1">
      <alignment horizontal="center" vertical="center"/>
    </xf>
    <xf numFmtId="180" fontId="9" fillId="16" borderId="185" xfId="0" applyFont="1" applyFill="1" applyBorder="1" applyAlignment="1">
      <alignment horizontal="center" vertical="center"/>
    </xf>
    <xf numFmtId="180" fontId="9" fillId="3" borderId="145" xfId="0" applyFont="1" applyFill="1" applyBorder="1" applyAlignment="1">
      <alignment horizontal="center" vertical="center"/>
    </xf>
    <xf numFmtId="40" fontId="14" fillId="0" borderId="14" xfId="0" applyNumberFormat="1" applyFont="1" applyBorder="1" applyAlignment="1">
      <alignment horizontal="center" vertical="center"/>
    </xf>
    <xf numFmtId="40" fontId="14" fillId="0" borderId="13" xfId="0" applyNumberFormat="1" applyFont="1" applyBorder="1" applyAlignment="1">
      <alignment horizontal="center" vertical="center"/>
    </xf>
    <xf numFmtId="40" fontId="14" fillId="0" borderId="15" xfId="0" applyNumberFormat="1" applyFont="1" applyBorder="1" applyAlignment="1">
      <alignment horizontal="center" vertical="center"/>
    </xf>
    <xf numFmtId="180" fontId="14" fillId="0" borderId="231" xfId="0" applyFont="1" applyBorder="1">
      <alignment vertical="center"/>
    </xf>
    <xf numFmtId="180" fontId="14" fillId="10" borderId="232" xfId="0" applyFont="1" applyFill="1" applyBorder="1" applyAlignment="1">
      <alignment horizontal="left" vertical="center" wrapText="1"/>
    </xf>
    <xf numFmtId="180" fontId="9" fillId="3" borderId="0" xfId="0" applyFont="1" applyFill="1" applyAlignment="1">
      <alignment horizontal="center" vertical="center" textRotation="255" wrapText="1"/>
    </xf>
    <xf numFmtId="180" fontId="9" fillId="3" borderId="28" xfId="0" applyFont="1" applyFill="1" applyBorder="1" applyAlignment="1">
      <alignment horizontal="center" vertical="center" textRotation="255" wrapText="1"/>
    </xf>
    <xf numFmtId="180" fontId="9" fillId="3" borderId="7" xfId="0" applyFont="1" applyFill="1" applyBorder="1" applyAlignment="1">
      <alignment horizontal="center" vertical="center" textRotation="255" wrapText="1"/>
    </xf>
    <xf numFmtId="180" fontId="9" fillId="3" borderId="8" xfId="0" applyFont="1" applyFill="1" applyBorder="1" applyAlignment="1">
      <alignment horizontal="center" vertical="center" textRotation="255" wrapText="1"/>
    </xf>
    <xf numFmtId="180" fontId="9" fillId="3" borderId="24" xfId="0" applyFont="1" applyFill="1" applyBorder="1" applyAlignment="1">
      <alignment horizontal="center" vertical="center" textRotation="255" wrapText="1"/>
    </xf>
    <xf numFmtId="180" fontId="9" fillId="16" borderId="171" xfId="0" applyFont="1" applyFill="1" applyBorder="1" applyAlignment="1">
      <alignment horizontal="center" vertical="center" textRotation="255" wrapText="1"/>
    </xf>
    <xf numFmtId="180" fontId="9" fillId="3" borderId="171" xfId="0" applyFont="1" applyFill="1" applyBorder="1" applyAlignment="1">
      <alignment horizontal="center" vertical="center" textRotation="255" wrapText="1"/>
    </xf>
    <xf numFmtId="180" fontId="9" fillId="3" borderId="83" xfId="0" applyFont="1" applyFill="1" applyBorder="1" applyAlignment="1">
      <alignment horizontal="center" vertical="center" textRotation="255" wrapText="1"/>
    </xf>
    <xf numFmtId="180" fontId="9" fillId="3" borderId="172" xfId="0" applyFont="1" applyFill="1" applyBorder="1" applyAlignment="1">
      <alignment horizontal="center" vertical="center" textRotation="255" wrapText="1"/>
    </xf>
    <xf numFmtId="180" fontId="9" fillId="16" borderId="0" xfId="0" applyFont="1" applyFill="1" applyAlignment="1">
      <alignment horizontal="center" vertical="center" wrapText="1"/>
    </xf>
    <xf numFmtId="180" fontId="9" fillId="3" borderId="0" xfId="0" applyFont="1" applyFill="1" applyAlignment="1">
      <alignment horizontal="center" vertical="center"/>
    </xf>
    <xf numFmtId="180" fontId="9" fillId="3" borderId="8" xfId="0" applyFont="1" applyFill="1" applyBorder="1" applyAlignment="1">
      <alignment horizontal="center" vertical="center"/>
    </xf>
    <xf numFmtId="201" fontId="14" fillId="8" borderId="15" xfId="0" applyNumberFormat="1" applyFont="1" applyFill="1" applyBorder="1" applyAlignment="1">
      <alignment horizontal="center" vertical="center"/>
    </xf>
    <xf numFmtId="40" fontId="14" fillId="13" borderId="17" xfId="0" applyNumberFormat="1" applyFont="1" applyFill="1" applyBorder="1" applyAlignment="1">
      <alignment horizontal="center" vertical="center"/>
    </xf>
    <xf numFmtId="40" fontId="14" fillId="4" borderId="33" xfId="0" applyNumberFormat="1" applyFont="1" applyFill="1" applyBorder="1" applyAlignment="1">
      <alignment horizontal="center" vertical="center"/>
    </xf>
    <xf numFmtId="180" fontId="14" fillId="0" borderId="167" xfId="0" applyFont="1" applyBorder="1" applyAlignment="1">
      <alignment horizontal="left" vertical="center" wrapText="1"/>
    </xf>
    <xf numFmtId="180" fontId="14" fillId="0" borderId="182" xfId="0" applyFont="1" applyBorder="1" applyAlignment="1">
      <alignment horizontal="left" vertical="center"/>
    </xf>
    <xf numFmtId="180" fontId="14" fillId="0" borderId="168" xfId="0" applyFont="1" applyBorder="1" applyAlignment="1">
      <alignment horizontal="left" vertical="center"/>
    </xf>
    <xf numFmtId="180" fontId="14" fillId="0" borderId="169" xfId="0" applyFont="1" applyBorder="1" applyAlignment="1">
      <alignment horizontal="left" vertical="center"/>
    </xf>
    <xf numFmtId="180" fontId="14" fillId="0" borderId="183" xfId="0" applyFont="1" applyBorder="1" applyAlignment="1">
      <alignment horizontal="left" vertical="center"/>
    </xf>
    <xf numFmtId="180" fontId="14" fillId="0" borderId="170" xfId="0" applyFont="1" applyBorder="1" applyAlignment="1">
      <alignment horizontal="left" vertical="center"/>
    </xf>
    <xf numFmtId="38" fontId="0" fillId="0" borderId="207" xfId="2" applyFont="1" applyFill="1" applyBorder="1" applyAlignment="1">
      <alignment horizontal="center" vertical="center" shrinkToFit="1"/>
    </xf>
    <xf numFmtId="38" fontId="0" fillId="0" borderId="208" xfId="2" applyFont="1" applyFill="1" applyBorder="1" applyAlignment="1">
      <alignment horizontal="center" vertical="center" shrinkToFit="1"/>
    </xf>
    <xf numFmtId="180" fontId="9" fillId="16" borderId="145" xfId="0" applyFont="1" applyFill="1" applyBorder="1" applyAlignment="1">
      <alignment horizontal="center" vertical="center" wrapText="1"/>
    </xf>
    <xf numFmtId="180" fontId="9" fillId="3" borderId="146" xfId="0" applyFont="1" applyFill="1" applyBorder="1" applyAlignment="1">
      <alignment horizontal="center" vertical="center" wrapText="1"/>
    </xf>
    <xf numFmtId="180" fontId="3" fillId="0" borderId="33" xfId="0" applyFont="1" applyBorder="1" applyAlignment="1">
      <alignment horizontal="right" vertical="center"/>
    </xf>
    <xf numFmtId="40" fontId="3" fillId="0" borderId="25" xfId="0" applyNumberFormat="1" applyFont="1" applyBorder="1" applyAlignment="1">
      <alignment horizontal="right" vertical="center"/>
    </xf>
    <xf numFmtId="40" fontId="3" fillId="0" borderId="26" xfId="0" applyNumberFormat="1" applyFont="1" applyBorder="1" applyAlignment="1">
      <alignment horizontal="right" vertical="center"/>
    </xf>
    <xf numFmtId="40" fontId="3" fillId="0" borderId="14" xfId="0" applyNumberFormat="1" applyFont="1" applyBorder="1" applyAlignment="1">
      <alignment horizontal="right" vertical="center"/>
    </xf>
    <xf numFmtId="40" fontId="3" fillId="0" borderId="13" xfId="0" applyNumberFormat="1" applyFont="1" applyBorder="1" applyAlignment="1">
      <alignment horizontal="right" vertical="center"/>
    </xf>
    <xf numFmtId="180" fontId="9" fillId="3" borderId="8" xfId="0" applyFont="1" applyFill="1" applyBorder="1" applyAlignment="1">
      <alignment horizontal="center" vertical="center" wrapText="1"/>
    </xf>
    <xf numFmtId="38" fontId="14" fillId="0" borderId="13" xfId="2" applyFont="1" applyBorder="1" applyAlignment="1">
      <alignment vertical="center" shrinkToFit="1"/>
    </xf>
    <xf numFmtId="38" fontId="14" fillId="0" borderId="15" xfId="2" applyFont="1" applyBorder="1" applyAlignment="1">
      <alignment vertical="center" shrinkToFit="1"/>
    </xf>
    <xf numFmtId="38" fontId="14" fillId="0" borderId="47" xfId="2" applyFont="1" applyFill="1" applyBorder="1" applyAlignment="1">
      <alignment vertical="center" shrinkToFit="1"/>
    </xf>
    <xf numFmtId="38" fontId="14" fillId="0" borderId="48" xfId="2" applyFont="1" applyFill="1" applyBorder="1" applyAlignment="1">
      <alignment vertical="center" shrinkToFit="1"/>
    </xf>
    <xf numFmtId="38" fontId="41" fillId="0" borderId="13" xfId="2" applyFont="1" applyFill="1" applyBorder="1" applyAlignment="1">
      <alignment horizontal="center" vertical="center" shrinkToFit="1"/>
    </xf>
    <xf numFmtId="180" fontId="14" fillId="0" borderId="13" xfId="0" applyFont="1" applyBorder="1" applyAlignment="1">
      <alignment horizontal="center" vertical="center" shrinkToFit="1"/>
    </xf>
    <xf numFmtId="38" fontId="14" fillId="0" borderId="49" xfId="2" applyFont="1" applyFill="1" applyBorder="1" applyAlignment="1">
      <alignment vertical="center" shrinkToFit="1"/>
    </xf>
    <xf numFmtId="180" fontId="14" fillId="13" borderId="25" xfId="0" applyFont="1" applyFill="1" applyBorder="1" applyAlignment="1">
      <alignment horizontal="right" vertical="center" shrinkToFit="1"/>
    </xf>
    <xf numFmtId="180" fontId="14" fillId="13" borderId="26" xfId="0" applyFont="1" applyFill="1" applyBorder="1" applyAlignment="1">
      <alignment vertical="center" shrinkToFit="1"/>
    </xf>
    <xf numFmtId="180" fontId="14" fillId="4" borderId="26" xfId="0" applyFont="1" applyFill="1" applyBorder="1" applyAlignment="1">
      <alignment vertical="center" shrinkToFit="1"/>
    </xf>
    <xf numFmtId="180" fontId="14" fillId="4" borderId="27" xfId="0" applyFont="1" applyFill="1" applyBorder="1" applyAlignment="1">
      <alignment vertical="center" shrinkToFit="1"/>
    </xf>
    <xf numFmtId="180" fontId="14" fillId="13" borderId="39" xfId="0" applyFont="1" applyFill="1" applyBorder="1" applyAlignment="1">
      <alignment horizontal="right" vertical="center" shrinkToFit="1"/>
    </xf>
    <xf numFmtId="180" fontId="14" fillId="13" borderId="16" xfId="0" applyFont="1" applyFill="1" applyBorder="1" applyAlignment="1">
      <alignment vertical="center" shrinkToFit="1"/>
    </xf>
    <xf numFmtId="180" fontId="14" fillId="4" borderId="16" xfId="0" applyFont="1" applyFill="1" applyBorder="1" applyAlignment="1">
      <alignment vertical="center" shrinkToFit="1"/>
    </xf>
    <xf numFmtId="180" fontId="14" fillId="4" borderId="23" xfId="0" applyFont="1" applyFill="1" applyBorder="1" applyAlignment="1">
      <alignment vertical="center" shrinkToFit="1"/>
    </xf>
    <xf numFmtId="180" fontId="14" fillId="6" borderId="16" xfId="0" applyFont="1" applyFill="1" applyBorder="1" applyAlignment="1">
      <alignment horizontal="center" vertical="center"/>
    </xf>
    <xf numFmtId="180" fontId="14" fillId="6" borderId="23" xfId="0" applyFont="1" applyFill="1" applyBorder="1" applyAlignment="1">
      <alignment horizontal="center" vertical="center"/>
    </xf>
    <xf numFmtId="180" fontId="14" fillId="13" borderId="17" xfId="0" applyFont="1" applyFill="1" applyBorder="1" applyAlignment="1">
      <alignment horizontal="right" vertical="center" shrinkToFit="1"/>
    </xf>
    <xf numFmtId="180" fontId="14" fillId="4" borderId="16" xfId="0" applyFont="1" applyFill="1" applyBorder="1" applyAlignment="1">
      <alignment horizontal="right" vertical="center" shrinkToFit="1"/>
    </xf>
    <xf numFmtId="180" fontId="0" fillId="0" borderId="31" xfId="0" applyBorder="1">
      <alignment vertical="center"/>
    </xf>
    <xf numFmtId="180" fontId="14" fillId="13" borderId="14" xfId="0" applyFont="1" applyFill="1" applyBorder="1" applyAlignment="1">
      <alignment horizontal="right" vertical="center" shrinkToFit="1"/>
    </xf>
    <xf numFmtId="180" fontId="14" fillId="4" borderId="13" xfId="0" applyFont="1" applyFill="1" applyBorder="1" applyAlignment="1">
      <alignment horizontal="right" vertical="center" shrinkToFit="1"/>
    </xf>
    <xf numFmtId="180" fontId="14" fillId="0" borderId="13" xfId="0" applyFont="1" applyBorder="1" applyAlignment="1">
      <alignment vertical="center" shrinkToFit="1"/>
    </xf>
    <xf numFmtId="180" fontId="14" fillId="0" borderId="15" xfId="0" applyFont="1" applyBorder="1" applyAlignment="1">
      <alignment vertical="center" shrinkToFit="1"/>
    </xf>
    <xf numFmtId="180" fontId="14" fillId="13" borderId="16" xfId="0" applyFont="1" applyFill="1" applyBorder="1" applyAlignment="1">
      <alignment horizontal="right" vertical="center" shrinkToFit="1"/>
    </xf>
    <xf numFmtId="180" fontId="14" fillId="0" borderId="29" xfId="0" applyFont="1" applyBorder="1">
      <alignment vertical="center"/>
    </xf>
    <xf numFmtId="180" fontId="14" fillId="0" borderId="17" xfId="0" applyFont="1" applyBorder="1" applyAlignment="1">
      <alignment horizontal="right" vertical="center" shrinkToFit="1"/>
    </xf>
    <xf numFmtId="38" fontId="14" fillId="13" borderId="39" xfId="2" applyFont="1" applyFill="1" applyBorder="1" applyAlignment="1">
      <alignment vertical="center" shrinkToFit="1"/>
    </xf>
    <xf numFmtId="180" fontId="14" fillId="6" borderId="17" xfId="0" applyFont="1" applyFill="1" applyBorder="1" applyAlignment="1">
      <alignment horizontal="center" vertical="center" shrinkToFit="1"/>
    </xf>
    <xf numFmtId="180" fontId="14" fillId="6" borderId="16" xfId="0" applyFont="1" applyFill="1" applyBorder="1" applyAlignment="1">
      <alignment horizontal="center" vertical="center" shrinkToFit="1"/>
    </xf>
    <xf numFmtId="180" fontId="14" fillId="6" borderId="33" xfId="0" applyFont="1" applyFill="1" applyBorder="1" applyAlignment="1">
      <alignment horizontal="center" vertical="center" shrinkToFit="1"/>
    </xf>
    <xf numFmtId="40" fontId="14" fillId="0" borderId="23" xfId="0" applyNumberFormat="1" applyFont="1" applyBorder="1">
      <alignment vertical="center"/>
    </xf>
    <xf numFmtId="180" fontId="14" fillId="0" borderId="31" xfId="0" applyFont="1" applyBorder="1">
      <alignment vertical="center"/>
    </xf>
    <xf numFmtId="180" fontId="0" fillId="0" borderId="29" xfId="0" applyBorder="1">
      <alignment vertical="center"/>
    </xf>
    <xf numFmtId="180" fontId="14" fillId="6" borderId="17" xfId="0" applyFont="1" applyFill="1" applyBorder="1" applyAlignment="1">
      <alignment horizontal="center" vertical="center"/>
    </xf>
    <xf numFmtId="180" fontId="14" fillId="6" borderId="33" xfId="0" applyFont="1" applyFill="1" applyBorder="1" applyAlignment="1">
      <alignment horizontal="center" vertical="center"/>
    </xf>
    <xf numFmtId="180" fontId="14" fillId="0" borderId="33" xfId="0" applyFont="1" applyBorder="1">
      <alignment vertical="center"/>
    </xf>
    <xf numFmtId="179" fontId="14" fillId="10" borderId="14" xfId="0" applyNumberFormat="1" applyFont="1" applyFill="1" applyBorder="1" applyAlignment="1">
      <alignment horizontal="center" vertical="center"/>
    </xf>
    <xf numFmtId="179" fontId="14" fillId="10" borderId="13" xfId="0" applyNumberFormat="1" applyFont="1" applyFill="1" applyBorder="1" applyAlignment="1">
      <alignment horizontal="center" vertical="center"/>
    </xf>
    <xf numFmtId="179" fontId="14" fillId="10" borderId="29" xfId="0" applyNumberFormat="1" applyFont="1" applyFill="1" applyBorder="1" applyAlignment="1">
      <alignment horizontal="center" vertical="center"/>
    </xf>
    <xf numFmtId="180" fontId="14" fillId="6" borderId="25" xfId="0" applyFont="1" applyFill="1" applyBorder="1" applyAlignment="1">
      <alignment horizontal="center" vertical="center"/>
    </xf>
    <xf numFmtId="180" fontId="14" fillId="6" borderId="31" xfId="0" applyFont="1" applyFill="1" applyBorder="1" applyAlignment="1">
      <alignment horizontal="center" vertical="center"/>
    </xf>
    <xf numFmtId="180" fontId="14" fillId="13" borderId="13" xfId="0" applyFont="1" applyFill="1" applyBorder="1" applyAlignment="1">
      <alignment horizontal="right" vertical="center" shrinkToFit="1"/>
    </xf>
    <xf numFmtId="180" fontId="11" fillId="13" borderId="3" xfId="0" applyFont="1" applyFill="1" applyBorder="1" applyAlignment="1">
      <alignment horizontal="left" vertical="center" shrinkToFit="1"/>
    </xf>
    <xf numFmtId="180" fontId="9" fillId="16" borderId="3" xfId="0" applyFont="1" applyFill="1" applyBorder="1" applyAlignment="1">
      <alignment horizontal="center" vertical="center" shrinkToFit="1"/>
    </xf>
    <xf numFmtId="180" fontId="9" fillId="3" borderId="4" xfId="0" applyFont="1" applyFill="1" applyBorder="1" applyAlignment="1">
      <alignment horizontal="center" vertical="center" shrinkToFit="1"/>
    </xf>
    <xf numFmtId="180" fontId="9" fillId="3" borderId="5" xfId="0" applyFont="1" applyFill="1" applyBorder="1" applyAlignment="1">
      <alignment horizontal="center" vertical="center" shrinkToFit="1"/>
    </xf>
    <xf numFmtId="221" fontId="11" fillId="0" borderId="114" xfId="0" applyNumberFormat="1" applyFont="1" applyBorder="1" applyAlignment="1">
      <alignment horizontal="center" vertical="center" shrinkToFit="1"/>
    </xf>
    <xf numFmtId="221" fontId="11" fillId="0" borderId="2" xfId="0" applyNumberFormat="1" applyFont="1" applyBorder="1" applyAlignment="1">
      <alignment horizontal="center" vertical="center" shrinkToFit="1"/>
    </xf>
    <xf numFmtId="221" fontId="11" fillId="0" borderId="19" xfId="0" applyNumberFormat="1" applyFont="1" applyBorder="1" applyAlignment="1">
      <alignment horizontal="center" vertical="center" shrinkToFit="1"/>
    </xf>
    <xf numFmtId="221" fontId="11" fillId="0" borderId="58" xfId="0" applyNumberFormat="1" applyFont="1" applyBorder="1" applyAlignment="1">
      <alignment horizontal="center" vertical="center" shrinkToFit="1"/>
    </xf>
    <xf numFmtId="221" fontId="11" fillId="0" borderId="8" xfId="0" applyNumberFormat="1" applyFont="1" applyBorder="1" applyAlignment="1">
      <alignment horizontal="center" vertical="center" shrinkToFit="1"/>
    </xf>
    <xf numFmtId="221" fontId="11" fillId="0" borderId="24" xfId="0" applyNumberFormat="1" applyFont="1" applyBorder="1" applyAlignment="1">
      <alignment horizontal="center" vertical="center" shrinkToFit="1"/>
    </xf>
    <xf numFmtId="40" fontId="14" fillId="6" borderId="186" xfId="0" applyNumberFormat="1" applyFont="1" applyFill="1" applyBorder="1" applyAlignment="1">
      <alignment horizontal="center" vertical="center"/>
    </xf>
    <xf numFmtId="40" fontId="14" fillId="6" borderId="22" xfId="0" applyNumberFormat="1" applyFont="1" applyFill="1" applyBorder="1" applyAlignment="1">
      <alignment horizontal="center" vertical="center"/>
    </xf>
    <xf numFmtId="40" fontId="14" fillId="6" borderId="150" xfId="0" applyNumberFormat="1" applyFont="1" applyFill="1" applyBorder="1" applyAlignment="1">
      <alignment horizontal="center" vertical="center"/>
    </xf>
    <xf numFmtId="40" fontId="14" fillId="6" borderId="187" xfId="0" applyNumberFormat="1" applyFont="1" applyFill="1" applyBorder="1" applyAlignment="1">
      <alignment horizontal="center" vertical="center"/>
    </xf>
    <xf numFmtId="220" fontId="11" fillId="0" borderId="0" xfId="0" applyNumberFormat="1" applyFont="1" applyAlignment="1">
      <alignment horizontal="center" vertical="center" shrinkToFit="1"/>
    </xf>
    <xf numFmtId="220" fontId="11" fillId="0" borderId="8" xfId="0" applyNumberFormat="1" applyFont="1" applyBorder="1" applyAlignment="1">
      <alignment horizontal="center" vertical="center" shrinkToFit="1"/>
    </xf>
    <xf numFmtId="180" fontId="12" fillId="0" borderId="0" xfId="0" applyFont="1" applyAlignment="1">
      <alignment horizontal="center" vertical="center" shrinkToFit="1"/>
    </xf>
    <xf numFmtId="180" fontId="12" fillId="0" borderId="8" xfId="0" applyFont="1" applyBorder="1" applyAlignment="1">
      <alignment horizontal="center" vertical="center" shrinkToFit="1"/>
    </xf>
    <xf numFmtId="38" fontId="14" fillId="13" borderId="25" xfId="2" applyFont="1" applyFill="1" applyBorder="1" applyAlignment="1">
      <alignment vertical="center"/>
    </xf>
    <xf numFmtId="180" fontId="14" fillId="8" borderId="26" xfId="0" applyFont="1" applyFill="1" applyBorder="1">
      <alignment vertical="center"/>
    </xf>
    <xf numFmtId="180" fontId="14" fillId="8" borderId="27" xfId="0" applyFont="1" applyFill="1" applyBorder="1">
      <alignment vertical="center"/>
    </xf>
    <xf numFmtId="38" fontId="14" fillId="13" borderId="26" xfId="2" applyFont="1" applyFill="1" applyBorder="1" applyAlignment="1">
      <alignment horizontal="center" vertical="center" shrinkToFit="1"/>
    </xf>
    <xf numFmtId="38" fontId="14" fillId="8" borderId="26" xfId="2" applyFont="1" applyFill="1" applyBorder="1" applyAlignment="1">
      <alignment horizontal="center" vertical="center" shrinkToFit="1"/>
    </xf>
    <xf numFmtId="180" fontId="9" fillId="16" borderId="231" xfId="0" applyFont="1" applyFill="1" applyBorder="1" applyAlignment="1">
      <alignment horizontal="center" vertical="center"/>
    </xf>
    <xf numFmtId="180" fontId="59" fillId="0" borderId="173" xfId="0" applyFont="1" applyBorder="1">
      <alignment vertical="center"/>
    </xf>
    <xf numFmtId="180" fontId="59" fillId="0" borderId="174" xfId="0" applyFont="1" applyBorder="1">
      <alignment vertical="center"/>
    </xf>
    <xf numFmtId="180" fontId="59" fillId="0" borderId="175" xfId="0" applyFont="1" applyBorder="1">
      <alignment vertical="center"/>
    </xf>
    <xf numFmtId="180" fontId="14" fillId="6" borderId="25" xfId="0" applyFont="1" applyFill="1" applyBorder="1">
      <alignment vertical="center"/>
    </xf>
    <xf numFmtId="180" fontId="14" fillId="6" borderId="27" xfId="0" applyFont="1" applyFill="1" applyBorder="1">
      <alignment vertical="center"/>
    </xf>
    <xf numFmtId="180" fontId="9" fillId="16" borderId="83" xfId="0" applyFont="1" applyFill="1" applyBorder="1" applyAlignment="1">
      <alignment horizontal="center" vertical="center" wrapText="1"/>
    </xf>
    <xf numFmtId="180" fontId="9" fillId="3" borderId="83" xfId="0" applyFont="1" applyFill="1" applyBorder="1" applyAlignment="1">
      <alignment horizontal="center" vertical="center" wrapText="1"/>
    </xf>
    <xf numFmtId="180" fontId="9" fillId="3" borderId="172" xfId="0" applyFont="1" applyFill="1" applyBorder="1" applyAlignment="1">
      <alignment horizontal="center" vertical="center" wrapText="1"/>
    </xf>
    <xf numFmtId="180" fontId="9" fillId="16" borderId="171" xfId="0" applyFont="1" applyFill="1" applyBorder="1" applyAlignment="1">
      <alignment horizontal="center" vertical="center" wrapText="1"/>
    </xf>
    <xf numFmtId="180" fontId="9" fillId="3" borderId="52" xfId="0" applyFont="1" applyFill="1" applyBorder="1" applyAlignment="1">
      <alignment horizontal="center" vertical="center" wrapText="1"/>
    </xf>
    <xf numFmtId="180" fontId="14" fillId="6" borderId="26" xfId="0" applyFont="1" applyFill="1" applyBorder="1">
      <alignment vertical="center"/>
    </xf>
    <xf numFmtId="180" fontId="14" fillId="6" borderId="17" xfId="0" applyFont="1" applyFill="1" applyBorder="1">
      <alignment vertical="center"/>
    </xf>
    <xf numFmtId="180" fontId="14" fillId="6" borderId="16" xfId="0" applyFont="1" applyFill="1" applyBorder="1">
      <alignment vertical="center"/>
    </xf>
    <xf numFmtId="180" fontId="14" fillId="6" borderId="47" xfId="0" applyFont="1" applyFill="1" applyBorder="1">
      <alignment vertical="center"/>
    </xf>
    <xf numFmtId="180" fontId="14" fillId="6" borderId="48" xfId="0" applyFont="1" applyFill="1" applyBorder="1">
      <alignment vertical="center"/>
    </xf>
    <xf numFmtId="180" fontId="14" fillId="6" borderId="23" xfId="0" applyFont="1" applyFill="1" applyBorder="1">
      <alignment vertical="center"/>
    </xf>
    <xf numFmtId="180" fontId="14" fillId="6" borderId="49" xfId="0" applyFont="1" applyFill="1" applyBorder="1">
      <alignment vertical="center"/>
    </xf>
    <xf numFmtId="180" fontId="9" fillId="16" borderId="83" xfId="0" applyFont="1" applyFill="1" applyBorder="1" applyAlignment="1">
      <alignment horizontal="center" vertical="center"/>
    </xf>
    <xf numFmtId="180" fontId="9" fillId="3" borderId="83" xfId="0" applyFont="1" applyFill="1" applyBorder="1" applyAlignment="1">
      <alignment horizontal="center" vertical="center"/>
    </xf>
    <xf numFmtId="180" fontId="9" fillId="3" borderId="52" xfId="0" applyFont="1" applyFill="1" applyBorder="1" applyAlignment="1">
      <alignment horizontal="center" vertical="center"/>
    </xf>
    <xf numFmtId="180" fontId="61" fillId="5" borderId="173" xfId="1" applyNumberFormat="1" applyFont="1" applyFill="1" applyBorder="1" applyAlignment="1" applyProtection="1">
      <alignment horizontal="center" vertical="center"/>
    </xf>
    <xf numFmtId="180" fontId="61" fillId="5" borderId="174" xfId="1" applyNumberFormat="1" applyFont="1" applyFill="1" applyBorder="1" applyAlignment="1" applyProtection="1">
      <alignment horizontal="center" vertical="center"/>
    </xf>
    <xf numFmtId="180" fontId="14" fillId="6" borderId="7" xfId="0" applyFont="1" applyFill="1" applyBorder="1">
      <alignment vertical="center"/>
    </xf>
    <xf numFmtId="180" fontId="14" fillId="6" borderId="24" xfId="0" applyFont="1" applyFill="1" applyBorder="1">
      <alignment vertical="center"/>
    </xf>
    <xf numFmtId="180" fontId="9" fillId="16" borderId="28" xfId="0" applyFont="1" applyFill="1" applyBorder="1" applyAlignment="1">
      <alignment horizontal="center" vertical="center"/>
    </xf>
    <xf numFmtId="180" fontId="14" fillId="6" borderId="14" xfId="0" applyFont="1" applyFill="1" applyBorder="1">
      <alignment vertical="center"/>
    </xf>
    <xf numFmtId="180" fontId="14" fillId="6" borderId="15" xfId="0" applyFont="1" applyFill="1" applyBorder="1">
      <alignment vertical="center"/>
    </xf>
    <xf numFmtId="180" fontId="11" fillId="16" borderId="173" xfId="0" applyFont="1" applyFill="1" applyBorder="1" applyAlignment="1">
      <alignment horizontal="center" vertical="center"/>
    </xf>
    <xf numFmtId="180" fontId="11" fillId="3" borderId="5" xfId="0" applyFont="1" applyFill="1" applyBorder="1" applyAlignment="1">
      <alignment horizontal="center" vertical="center"/>
    </xf>
    <xf numFmtId="180" fontId="59" fillId="0" borderId="22" xfId="0" applyFont="1" applyBorder="1">
      <alignment vertical="center"/>
    </xf>
    <xf numFmtId="180" fontId="59" fillId="0" borderId="0" xfId="0" applyFont="1">
      <alignment vertical="center"/>
    </xf>
    <xf numFmtId="180" fontId="59" fillId="0" borderId="28" xfId="0" applyFont="1" applyBorder="1">
      <alignment vertical="center"/>
    </xf>
    <xf numFmtId="180" fontId="59" fillId="0" borderId="7" xfId="0" applyFont="1" applyBorder="1">
      <alignment vertical="center"/>
    </xf>
    <xf numFmtId="180" fontId="59" fillId="0" borderId="8" xfId="0" applyFont="1" applyBorder="1">
      <alignment vertical="center"/>
    </xf>
    <xf numFmtId="180" fontId="59" fillId="0" borderId="24" xfId="0" applyFont="1" applyBorder="1">
      <alignment vertical="center"/>
    </xf>
    <xf numFmtId="180" fontId="61" fillId="5" borderId="22" xfId="1" applyNumberFormat="1" applyFont="1" applyFill="1" applyBorder="1" applyAlignment="1" applyProtection="1">
      <alignment horizontal="center" vertical="center"/>
    </xf>
    <xf numFmtId="180" fontId="61" fillId="5" borderId="0" xfId="0" applyFont="1" applyFill="1" applyAlignment="1">
      <alignment horizontal="center" vertical="center"/>
    </xf>
    <xf numFmtId="180" fontId="61" fillId="5" borderId="28" xfId="0" applyFont="1" applyFill="1" applyBorder="1" applyAlignment="1">
      <alignment horizontal="center" vertical="center"/>
    </xf>
    <xf numFmtId="180" fontId="61" fillId="5" borderId="7" xfId="0" applyFont="1" applyFill="1" applyBorder="1" applyAlignment="1">
      <alignment horizontal="center" vertical="center"/>
    </xf>
    <xf numFmtId="180" fontId="61" fillId="5" borderId="8" xfId="0" applyFont="1" applyFill="1" applyBorder="1" applyAlignment="1">
      <alignment horizontal="center" vertical="center"/>
    </xf>
    <xf numFmtId="180" fontId="61" fillId="5" borderId="24" xfId="0" applyFont="1" applyFill="1" applyBorder="1" applyAlignment="1">
      <alignment horizontal="center" vertical="center"/>
    </xf>
    <xf numFmtId="0" fontId="14" fillId="6" borderId="17" xfId="7" applyFont="1" applyFill="1" applyBorder="1" applyAlignment="1">
      <alignment vertical="center" shrinkToFit="1"/>
    </xf>
    <xf numFmtId="0" fontId="14" fillId="6" borderId="16" xfId="7" applyFont="1" applyFill="1" applyBorder="1" applyAlignment="1">
      <alignment vertical="center" shrinkToFit="1"/>
    </xf>
    <xf numFmtId="0" fontId="14" fillId="6" borderId="23" xfId="7" applyFont="1" applyFill="1" applyBorder="1" applyAlignment="1">
      <alignment vertical="center" shrinkToFit="1"/>
    </xf>
    <xf numFmtId="0" fontId="14" fillId="6" borderId="14" xfId="7" applyFont="1" applyFill="1" applyBorder="1" applyAlignment="1">
      <alignment vertical="center" shrinkToFit="1"/>
    </xf>
    <xf numFmtId="0" fontId="14" fillId="6" borderId="13" xfId="7" applyFont="1" applyFill="1" applyBorder="1" applyAlignment="1">
      <alignment vertical="center" shrinkToFit="1"/>
    </xf>
    <xf numFmtId="0" fontId="14" fillId="6" borderId="15" xfId="7" applyFont="1" applyFill="1" applyBorder="1" applyAlignment="1">
      <alignment vertical="center" shrinkToFit="1"/>
    </xf>
    <xf numFmtId="40" fontId="14" fillId="13" borderId="174" xfId="0" applyNumberFormat="1" applyFont="1" applyFill="1" applyBorder="1">
      <alignment vertical="center"/>
    </xf>
    <xf numFmtId="40" fontId="14" fillId="8" borderId="175" xfId="0" applyNumberFormat="1" applyFont="1" applyFill="1" applyBorder="1">
      <alignment vertical="center"/>
    </xf>
    <xf numFmtId="40" fontId="14" fillId="13" borderId="173" xfId="0" applyNumberFormat="1" applyFont="1" applyFill="1" applyBorder="1">
      <alignment vertical="center"/>
    </xf>
    <xf numFmtId="40" fontId="14" fillId="8" borderId="174" xfId="0" applyNumberFormat="1" applyFont="1" applyFill="1" applyBorder="1">
      <alignment vertical="center"/>
    </xf>
    <xf numFmtId="40" fontId="14" fillId="0" borderId="175" xfId="0" applyNumberFormat="1" applyFont="1" applyBorder="1">
      <alignment vertical="center"/>
    </xf>
    <xf numFmtId="40" fontId="14" fillId="0" borderId="3" xfId="0" applyNumberFormat="1" applyFont="1" applyBorder="1">
      <alignment vertical="center"/>
    </xf>
    <xf numFmtId="40" fontId="14" fillId="0" borderId="4" xfId="0" applyNumberFormat="1" applyFont="1" applyBorder="1">
      <alignment vertical="center"/>
    </xf>
    <xf numFmtId="40" fontId="14" fillId="0" borderId="5" xfId="0" applyNumberFormat="1" applyFont="1" applyBorder="1">
      <alignment vertical="center"/>
    </xf>
    <xf numFmtId="40" fontId="14" fillId="13" borderId="3" xfId="0" applyNumberFormat="1" applyFont="1" applyFill="1" applyBorder="1">
      <alignment vertical="center"/>
    </xf>
    <xf numFmtId="40" fontId="14" fillId="4" borderId="4" xfId="0" applyNumberFormat="1" applyFont="1" applyFill="1" applyBorder="1">
      <alignment vertical="center"/>
    </xf>
    <xf numFmtId="40" fontId="14" fillId="4" borderId="5" xfId="0" applyNumberFormat="1" applyFont="1" applyFill="1" applyBorder="1">
      <alignment vertical="center"/>
    </xf>
    <xf numFmtId="0" fontId="14" fillId="6" borderId="3" xfId="7" applyFont="1" applyFill="1" applyBorder="1" applyAlignment="1">
      <alignment vertical="center" shrinkToFit="1"/>
    </xf>
    <xf numFmtId="0" fontId="14" fillId="6" borderId="4" xfId="7" applyFont="1" applyFill="1" applyBorder="1" applyAlignment="1">
      <alignment vertical="center" shrinkToFit="1"/>
    </xf>
    <xf numFmtId="0" fontId="14" fillId="6" borderId="5" xfId="7" applyFont="1" applyFill="1" applyBorder="1" applyAlignment="1">
      <alignment vertical="center" shrinkToFit="1"/>
    </xf>
    <xf numFmtId="177" fontId="14" fillId="13" borderId="17" xfId="0" applyNumberFormat="1" applyFont="1" applyFill="1" applyBorder="1">
      <alignment vertical="center"/>
    </xf>
    <xf numFmtId="177" fontId="14" fillId="4" borderId="33" xfId="0" applyNumberFormat="1" applyFont="1" applyFill="1" applyBorder="1">
      <alignment vertical="center"/>
    </xf>
    <xf numFmtId="177" fontId="14" fillId="13" borderId="34" xfId="0" applyNumberFormat="1" applyFont="1" applyFill="1" applyBorder="1">
      <alignment vertical="center"/>
    </xf>
    <xf numFmtId="177" fontId="14" fillId="4" borderId="23" xfId="0" applyNumberFormat="1" applyFont="1" applyFill="1" applyBorder="1">
      <alignment vertical="center"/>
    </xf>
    <xf numFmtId="177" fontId="14" fillId="13" borderId="37" xfId="0" applyNumberFormat="1" applyFont="1" applyFill="1" applyBorder="1">
      <alignment vertical="center"/>
    </xf>
    <xf numFmtId="177" fontId="14" fillId="4" borderId="38" xfId="0" applyNumberFormat="1" applyFont="1" applyFill="1" applyBorder="1">
      <alignment vertical="center"/>
    </xf>
    <xf numFmtId="177" fontId="14" fillId="13" borderId="26" xfId="0" applyNumberFormat="1" applyFont="1" applyFill="1" applyBorder="1">
      <alignment vertical="center"/>
    </xf>
    <xf numFmtId="177" fontId="14" fillId="4" borderId="31" xfId="0" applyNumberFormat="1" applyFont="1" applyFill="1" applyBorder="1">
      <alignment vertical="center"/>
    </xf>
    <xf numFmtId="177" fontId="14" fillId="13" borderId="32" xfId="0" applyNumberFormat="1" applyFont="1" applyFill="1" applyBorder="1">
      <alignment vertical="center"/>
    </xf>
    <xf numFmtId="177" fontId="14" fillId="4" borderId="27" xfId="0" applyNumberFormat="1" applyFont="1" applyFill="1" applyBorder="1">
      <alignment vertical="center"/>
    </xf>
    <xf numFmtId="177" fontId="14" fillId="13" borderId="25" xfId="0" applyNumberFormat="1" applyFont="1" applyFill="1" applyBorder="1">
      <alignment vertical="center"/>
    </xf>
    <xf numFmtId="177" fontId="14" fillId="4" borderId="26" xfId="0" applyNumberFormat="1" applyFont="1" applyFill="1" applyBorder="1">
      <alignment vertical="center"/>
    </xf>
    <xf numFmtId="177" fontId="14" fillId="4" borderId="16" xfId="0" applyNumberFormat="1" applyFont="1" applyFill="1" applyBorder="1">
      <alignment vertical="center"/>
    </xf>
    <xf numFmtId="177" fontId="14" fillId="13" borderId="16" xfId="0" applyNumberFormat="1" applyFont="1" applyFill="1" applyBorder="1">
      <alignment vertical="center"/>
    </xf>
    <xf numFmtId="177" fontId="14" fillId="13" borderId="39" xfId="0" applyNumberFormat="1" applyFont="1" applyFill="1" applyBorder="1">
      <alignment vertical="center"/>
    </xf>
    <xf numFmtId="177" fontId="14" fillId="4" borderId="124" xfId="0" applyNumberFormat="1" applyFont="1" applyFill="1" applyBorder="1">
      <alignment vertical="center"/>
    </xf>
    <xf numFmtId="180" fontId="0" fillId="16" borderId="35" xfId="0" applyFill="1" applyBorder="1" applyAlignment="1">
      <alignment horizontal="center" vertical="center" wrapText="1"/>
    </xf>
    <xf numFmtId="180" fontId="0" fillId="3" borderId="83" xfId="0" applyFill="1" applyBorder="1" applyAlignment="1">
      <alignment horizontal="center" vertical="center"/>
    </xf>
    <xf numFmtId="180" fontId="0" fillId="3" borderId="52" xfId="0" applyFill="1" applyBorder="1" applyAlignment="1">
      <alignment horizontal="center" vertical="center"/>
    </xf>
    <xf numFmtId="180" fontId="14" fillId="13" borderId="3" xfId="0" applyFont="1" applyFill="1" applyBorder="1" applyAlignment="1">
      <alignment horizontal="center" vertical="center"/>
    </xf>
    <xf numFmtId="180" fontId="14" fillId="4" borderId="4" xfId="0" applyFont="1" applyFill="1" applyBorder="1" applyAlignment="1">
      <alignment horizontal="center" vertical="center"/>
    </xf>
    <xf numFmtId="180" fontId="14" fillId="4" borderId="5" xfId="0" applyFont="1" applyFill="1" applyBorder="1" applyAlignment="1">
      <alignment horizontal="center" vertical="center"/>
    </xf>
    <xf numFmtId="177" fontId="14" fillId="13" borderId="13" xfId="0" applyNumberFormat="1" applyFont="1" applyFill="1" applyBorder="1">
      <alignment vertical="center"/>
    </xf>
    <xf numFmtId="177" fontId="14" fillId="4" borderId="29" xfId="0" applyNumberFormat="1" applyFont="1" applyFill="1" applyBorder="1">
      <alignment vertical="center"/>
    </xf>
    <xf numFmtId="177" fontId="14" fillId="13" borderId="30" xfId="0" applyNumberFormat="1" applyFont="1" applyFill="1" applyBorder="1">
      <alignment vertical="center"/>
    </xf>
    <xf numFmtId="177" fontId="14" fillId="4" borderId="15" xfId="0" applyNumberFormat="1" applyFont="1" applyFill="1" applyBorder="1">
      <alignment vertical="center"/>
    </xf>
    <xf numFmtId="40" fontId="14" fillId="0" borderId="47" xfId="0" applyNumberFormat="1" applyFont="1" applyBorder="1">
      <alignment vertical="center"/>
    </xf>
    <xf numFmtId="40" fontId="14" fillId="0" borderId="49" xfId="0" applyNumberFormat="1" applyFont="1" applyBorder="1">
      <alignment vertical="center"/>
    </xf>
    <xf numFmtId="177" fontId="14" fillId="13" borderId="14" xfId="0" applyNumberFormat="1" applyFont="1" applyFill="1" applyBorder="1">
      <alignment vertical="center"/>
    </xf>
    <xf numFmtId="177" fontId="14" fillId="4" borderId="13" xfId="0" applyNumberFormat="1" applyFont="1" applyFill="1" applyBorder="1">
      <alignment vertical="center"/>
    </xf>
    <xf numFmtId="180" fontId="0" fillId="16" borderId="35" xfId="0" applyFill="1" applyBorder="1" applyAlignment="1">
      <alignment horizontal="center" vertical="center"/>
    </xf>
    <xf numFmtId="40" fontId="14" fillId="0" borderId="189" xfId="0" applyNumberFormat="1" applyFont="1" applyBorder="1">
      <alignment vertical="center"/>
    </xf>
    <xf numFmtId="40" fontId="14" fillId="13" borderId="26" xfId="0" applyNumberFormat="1" applyFont="1" applyFill="1" applyBorder="1">
      <alignment vertical="center"/>
    </xf>
    <xf numFmtId="40" fontId="14" fillId="13" borderId="48" xfId="0" applyNumberFormat="1" applyFont="1" applyFill="1" applyBorder="1">
      <alignment vertical="center"/>
    </xf>
    <xf numFmtId="180" fontId="0" fillId="16" borderId="171" xfId="0" applyFill="1" applyBorder="1" applyAlignment="1">
      <alignment horizontal="center" vertical="center" wrapText="1"/>
    </xf>
    <xf numFmtId="180" fontId="0" fillId="16" borderId="83" xfId="0" applyFill="1" applyBorder="1" applyAlignment="1">
      <alignment horizontal="center" vertical="center" wrapText="1"/>
    </xf>
    <xf numFmtId="180" fontId="0" fillId="16" borderId="172" xfId="0" applyFill="1" applyBorder="1" applyAlignment="1">
      <alignment horizontal="center" vertical="center" wrapText="1"/>
    </xf>
    <xf numFmtId="180" fontId="14" fillId="13" borderId="4" xfId="0" applyFont="1" applyFill="1" applyBorder="1">
      <alignment vertical="center"/>
    </xf>
    <xf numFmtId="180" fontId="14" fillId="4" borderId="4" xfId="0" applyFont="1" applyFill="1" applyBorder="1">
      <alignment vertical="center"/>
    </xf>
    <xf numFmtId="180" fontId="14" fillId="13" borderId="3" xfId="0" applyFont="1" applyFill="1" applyBorder="1">
      <alignment vertical="center"/>
    </xf>
    <xf numFmtId="40" fontId="14" fillId="0" borderId="151" xfId="0" applyNumberFormat="1" applyFont="1" applyBorder="1">
      <alignment vertical="center"/>
    </xf>
    <xf numFmtId="40" fontId="14" fillId="0" borderId="152" xfId="0" applyNumberFormat="1" applyFont="1" applyBorder="1">
      <alignment vertical="center"/>
    </xf>
    <xf numFmtId="40" fontId="14" fillId="0" borderId="0" xfId="0" applyNumberFormat="1" applyFont="1" applyAlignment="1">
      <alignment horizontal="center" vertical="center"/>
    </xf>
    <xf numFmtId="40" fontId="14" fillId="0" borderId="183" xfId="0" applyNumberFormat="1" applyFont="1" applyBorder="1" applyAlignment="1">
      <alignment horizontal="center" vertical="center"/>
    </xf>
    <xf numFmtId="180" fontId="0" fillId="16" borderId="20" xfId="0" applyFill="1" applyBorder="1" applyAlignment="1">
      <alignment horizontal="center" vertical="center" wrapText="1"/>
    </xf>
    <xf numFmtId="180" fontId="0" fillId="3" borderId="20" xfId="0" applyFill="1" applyBorder="1" applyAlignment="1">
      <alignment horizontal="center" vertical="center"/>
    </xf>
    <xf numFmtId="40" fontId="14" fillId="0" borderId="8" xfId="0" applyNumberFormat="1" applyFont="1" applyBorder="1" applyAlignment="1">
      <alignment horizontal="center" vertical="center"/>
    </xf>
    <xf numFmtId="180" fontId="14" fillId="0" borderId="173" xfId="7" applyNumberFormat="1" applyFont="1" applyBorder="1" applyAlignment="1">
      <alignment horizontal="center" vertical="center" shrinkToFit="1"/>
    </xf>
    <xf numFmtId="180" fontId="14" fillId="0" borderId="174" xfId="7" applyNumberFormat="1" applyFont="1" applyBorder="1" applyAlignment="1">
      <alignment horizontal="center" vertical="center" shrinkToFit="1"/>
    </xf>
    <xf numFmtId="180" fontId="14" fillId="0" borderId="175" xfId="7" applyNumberFormat="1" applyFont="1" applyBorder="1" applyAlignment="1">
      <alignment horizontal="center" vertical="center" shrinkToFit="1"/>
    </xf>
    <xf numFmtId="0" fontId="14" fillId="10" borderId="78" xfId="7" applyFont="1" applyFill="1" applyBorder="1" applyAlignment="1">
      <alignment vertical="center" shrinkToFit="1"/>
    </xf>
    <xf numFmtId="0" fontId="14" fillId="10" borderId="76" xfId="7" applyFont="1" applyFill="1" applyBorder="1" applyAlignment="1">
      <alignment vertical="center" shrinkToFit="1"/>
    </xf>
    <xf numFmtId="0" fontId="14" fillId="10" borderId="79" xfId="7" applyFont="1" applyFill="1" applyBorder="1" applyAlignment="1">
      <alignment vertical="center" shrinkToFit="1"/>
    </xf>
    <xf numFmtId="0" fontId="14" fillId="0" borderId="20" xfId="7" applyFont="1" applyBorder="1" applyAlignment="1">
      <alignment horizontal="center" vertical="center" shrinkToFit="1"/>
    </xf>
    <xf numFmtId="40" fontId="14" fillId="0" borderId="78" xfId="2" applyNumberFormat="1" applyFont="1" applyBorder="1" applyAlignment="1">
      <alignment vertical="center" shrinkToFit="1"/>
    </xf>
    <xf numFmtId="40" fontId="14" fillId="0" borderId="76" xfId="2" applyNumberFormat="1" applyFont="1" applyBorder="1" applyAlignment="1">
      <alignment vertical="center" shrinkToFit="1"/>
    </xf>
    <xf numFmtId="40" fontId="14" fillId="0" borderId="79" xfId="2" applyNumberFormat="1" applyFont="1" applyBorder="1" applyAlignment="1">
      <alignment vertical="center" shrinkToFit="1"/>
    </xf>
    <xf numFmtId="40" fontId="14" fillId="0" borderId="20" xfId="2" applyNumberFormat="1" applyFont="1" applyBorder="1" applyAlignment="1">
      <alignment vertical="center" shrinkToFit="1"/>
    </xf>
    <xf numFmtId="0" fontId="14" fillId="0" borderId="173" xfId="7" applyFont="1" applyBorder="1" applyAlignment="1">
      <alignment horizontal="center" vertical="center" shrinkToFit="1"/>
    </xf>
    <xf numFmtId="0" fontId="14" fillId="0" borderId="175" xfId="7" applyFont="1" applyBorder="1" applyAlignment="1">
      <alignment horizontal="center" vertical="center" shrinkToFit="1"/>
    </xf>
    <xf numFmtId="40" fontId="14" fillId="0" borderId="78" xfId="0" applyNumberFormat="1" applyFont="1" applyBorder="1">
      <alignment vertical="center"/>
    </xf>
    <xf numFmtId="0" fontId="14" fillId="6" borderId="79" xfId="7" applyFont="1" applyFill="1" applyBorder="1" applyAlignment="1">
      <alignment vertical="center" shrinkToFit="1"/>
    </xf>
    <xf numFmtId="177" fontId="14" fillId="13" borderId="76" xfId="0" applyNumberFormat="1" applyFont="1" applyFill="1" applyBorder="1">
      <alignment vertical="center"/>
    </xf>
    <xf numFmtId="177" fontId="14" fillId="4" borderId="76" xfId="0" applyNumberFormat="1" applyFont="1" applyFill="1" applyBorder="1">
      <alignment vertical="center"/>
    </xf>
    <xf numFmtId="180" fontId="14" fillId="13" borderId="78" xfId="0" applyFont="1" applyFill="1" applyBorder="1">
      <alignment vertical="center"/>
    </xf>
    <xf numFmtId="180" fontId="14" fillId="4" borderId="78" xfId="0" applyFont="1" applyFill="1" applyBorder="1">
      <alignment vertical="center"/>
    </xf>
    <xf numFmtId="177" fontId="14" fillId="13" borderId="77" xfId="0" applyNumberFormat="1" applyFont="1" applyFill="1" applyBorder="1">
      <alignment vertical="center"/>
    </xf>
    <xf numFmtId="177" fontId="14" fillId="4" borderId="77" xfId="0" applyNumberFormat="1" applyFont="1" applyFill="1" applyBorder="1">
      <alignment vertical="center"/>
    </xf>
    <xf numFmtId="177" fontId="14" fillId="13" borderId="78" xfId="0" applyNumberFormat="1" applyFont="1" applyFill="1" applyBorder="1">
      <alignment vertical="center"/>
    </xf>
    <xf numFmtId="177" fontId="14" fillId="4" borderId="78" xfId="0" applyNumberFormat="1" applyFont="1" applyFill="1" applyBorder="1">
      <alignment vertical="center"/>
    </xf>
    <xf numFmtId="0" fontId="14" fillId="6" borderId="20" xfId="7" applyFont="1" applyFill="1" applyBorder="1" applyAlignment="1">
      <alignment vertical="center" shrinkToFit="1"/>
    </xf>
    <xf numFmtId="0" fontId="14" fillId="6" borderId="78" xfId="7" applyFont="1" applyFill="1" applyBorder="1" applyAlignment="1">
      <alignment vertical="center" shrinkToFit="1"/>
    </xf>
    <xf numFmtId="0" fontId="14" fillId="13" borderId="20" xfId="7" applyFont="1" applyFill="1" applyBorder="1">
      <alignment vertical="center"/>
    </xf>
    <xf numFmtId="0" fontId="14" fillId="4" borderId="20" xfId="7" applyFont="1" applyFill="1" applyBorder="1">
      <alignment vertical="center"/>
    </xf>
    <xf numFmtId="177" fontId="14" fillId="13" borderId="75" xfId="0" applyNumberFormat="1" applyFont="1" applyFill="1" applyBorder="1">
      <alignment vertical="center"/>
    </xf>
    <xf numFmtId="177" fontId="14" fillId="4" borderId="75" xfId="0" applyNumberFormat="1" applyFont="1" applyFill="1" applyBorder="1">
      <alignment vertical="center"/>
    </xf>
    <xf numFmtId="0" fontId="14" fillId="6" borderId="20" xfId="7" applyFont="1" applyFill="1" applyBorder="1" applyAlignment="1">
      <alignment horizontal="right" vertical="center" shrinkToFit="1"/>
    </xf>
    <xf numFmtId="40" fontId="14" fillId="0" borderId="20" xfId="0" applyNumberFormat="1" applyFont="1" applyBorder="1">
      <alignment vertical="center"/>
    </xf>
    <xf numFmtId="0" fontId="14" fillId="16" borderId="173" xfId="7" applyFont="1" applyFill="1" applyBorder="1" applyAlignment="1">
      <alignment horizontal="center" vertical="center" shrinkToFit="1"/>
    </xf>
    <xf numFmtId="0" fontId="14" fillId="16" borderId="175" xfId="7" applyFont="1" applyFill="1" applyBorder="1" applyAlignment="1">
      <alignment horizontal="center" vertical="center" shrinkToFit="1"/>
    </xf>
    <xf numFmtId="0" fontId="3" fillId="16" borderId="153" xfId="7" applyFont="1" applyFill="1" applyBorder="1" applyAlignment="1">
      <alignment horizontal="center" vertical="center"/>
    </xf>
    <xf numFmtId="0" fontId="3" fillId="16" borderId="136" xfId="7" applyFont="1" applyFill="1" applyBorder="1" applyAlignment="1">
      <alignment horizontal="center" vertical="center"/>
    </xf>
    <xf numFmtId="40" fontId="14" fillId="0" borderId="127" xfId="0" applyNumberFormat="1" applyFont="1" applyBorder="1">
      <alignment vertical="center"/>
    </xf>
    <xf numFmtId="180" fontId="14" fillId="13" borderId="20" xfId="0" applyFont="1" applyFill="1" applyBorder="1">
      <alignment vertical="center"/>
    </xf>
    <xf numFmtId="180" fontId="14" fillId="4" borderId="20" xfId="0" applyFont="1" applyFill="1" applyBorder="1">
      <alignment vertical="center"/>
    </xf>
    <xf numFmtId="0" fontId="0" fillId="13" borderId="3" xfId="7" applyFont="1" applyFill="1" applyBorder="1" applyAlignment="1">
      <alignment horizontal="center" vertical="center"/>
    </xf>
    <xf numFmtId="0" fontId="3" fillId="4" borderId="4" xfId="7" applyFont="1" applyFill="1" applyBorder="1" applyAlignment="1">
      <alignment horizontal="center" vertical="center"/>
    </xf>
    <xf numFmtId="0" fontId="3" fillId="4" borderId="5" xfId="7" applyFont="1" applyFill="1" applyBorder="1" applyAlignment="1">
      <alignment horizontal="center" vertical="center"/>
    </xf>
    <xf numFmtId="0" fontId="3" fillId="13" borderId="4" xfId="7" applyFont="1" applyFill="1" applyBorder="1" applyAlignment="1">
      <alignment horizontal="center" vertical="center"/>
    </xf>
    <xf numFmtId="0" fontId="3" fillId="13" borderId="5" xfId="7" applyFont="1" applyFill="1" applyBorder="1" applyAlignment="1">
      <alignment horizontal="center" vertical="center"/>
    </xf>
    <xf numFmtId="0" fontId="0" fillId="16" borderId="153" xfId="7" applyFont="1" applyFill="1" applyBorder="1" applyAlignment="1">
      <alignment horizontal="center" vertical="center"/>
    </xf>
    <xf numFmtId="0" fontId="3" fillId="3" borderId="136" xfId="7" applyFont="1" applyFill="1" applyBorder="1" applyAlignment="1">
      <alignment horizontal="center" vertical="center"/>
    </xf>
    <xf numFmtId="180" fontId="50" fillId="21" borderId="69" xfId="0" applyFont="1" applyFill="1" applyBorder="1" applyAlignment="1">
      <alignment horizontal="center" vertical="center"/>
    </xf>
    <xf numFmtId="40" fontId="0" fillId="16" borderId="14" xfId="0" applyNumberFormat="1" applyFill="1" applyBorder="1" applyAlignment="1">
      <alignment horizontal="center" vertical="center"/>
    </xf>
    <xf numFmtId="40" fontId="3" fillId="3" borderId="15" xfId="0" applyNumberFormat="1" applyFont="1" applyFill="1" applyBorder="1" applyAlignment="1">
      <alignment horizontal="center" vertical="center"/>
    </xf>
    <xf numFmtId="40" fontId="3" fillId="0" borderId="144" xfId="0" applyNumberFormat="1" applyFont="1" applyBorder="1">
      <alignment vertical="center"/>
    </xf>
    <xf numFmtId="40" fontId="3" fillId="0" borderId="90" xfId="0" applyNumberFormat="1" applyFont="1" applyBorder="1">
      <alignment vertical="center"/>
    </xf>
    <xf numFmtId="40" fontId="3" fillId="3" borderId="18" xfId="0" applyNumberFormat="1" applyFont="1" applyFill="1" applyBorder="1" applyAlignment="1">
      <alignment horizontal="center" vertical="center"/>
    </xf>
    <xf numFmtId="40" fontId="3" fillId="0" borderId="135" xfId="0" applyNumberFormat="1" applyFont="1" applyBorder="1">
      <alignment vertical="center"/>
    </xf>
    <xf numFmtId="40" fontId="3" fillId="16" borderId="259" xfId="0" applyNumberFormat="1" applyFont="1" applyFill="1" applyBorder="1" applyAlignment="1">
      <alignment horizontal="center" vertical="center" shrinkToFit="1"/>
    </xf>
    <xf numFmtId="40" fontId="3" fillId="3" borderId="100" xfId="0" applyNumberFormat="1" applyFont="1" applyFill="1" applyBorder="1" applyAlignment="1">
      <alignment horizontal="center" vertical="center" shrinkToFit="1"/>
    </xf>
    <xf numFmtId="0" fontId="3" fillId="16" borderId="98" xfId="7" applyFont="1" applyFill="1" applyBorder="1" applyAlignment="1">
      <alignment horizontal="center" vertical="center"/>
    </xf>
    <xf numFmtId="0" fontId="3" fillId="3" borderId="176" xfId="7" applyFont="1" applyFill="1" applyBorder="1" applyAlignment="1">
      <alignment horizontal="center" vertical="center"/>
    </xf>
    <xf numFmtId="0" fontId="3" fillId="16" borderId="35" xfId="7" applyFont="1" applyFill="1" applyBorder="1" applyAlignment="1">
      <alignment horizontal="center" vertical="center"/>
    </xf>
    <xf numFmtId="0" fontId="3" fillId="3" borderId="52" xfId="7" applyFont="1" applyFill="1" applyBorder="1" applyAlignment="1">
      <alignment horizontal="center" vertical="center"/>
    </xf>
    <xf numFmtId="0" fontId="3" fillId="16" borderId="52" xfId="7" applyFont="1" applyFill="1" applyBorder="1" applyAlignment="1">
      <alignment horizontal="center" vertical="center"/>
    </xf>
    <xf numFmtId="0" fontId="3" fillId="16" borderId="88" xfId="7" applyFont="1" applyFill="1" applyBorder="1" applyAlignment="1">
      <alignment horizontal="center" vertical="center"/>
    </xf>
    <xf numFmtId="0" fontId="3" fillId="3" borderId="82" xfId="7" applyFont="1" applyFill="1" applyBorder="1" applyAlignment="1">
      <alignment horizontal="center" vertical="center"/>
    </xf>
    <xf numFmtId="0" fontId="3" fillId="16" borderId="35" xfId="7" applyFont="1" applyFill="1" applyBorder="1" applyAlignment="1">
      <alignment horizontal="center" vertical="center" wrapText="1"/>
    </xf>
    <xf numFmtId="180" fontId="50" fillId="21" borderId="22" xfId="0" applyFont="1" applyFill="1" applyBorder="1" applyAlignment="1">
      <alignment horizontal="center" vertical="center"/>
    </xf>
    <xf numFmtId="180" fontId="24" fillId="14" borderId="168" xfId="0" applyFont="1" applyFill="1" applyBorder="1" applyAlignment="1">
      <alignment horizontal="right" vertical="center"/>
    </xf>
    <xf numFmtId="180" fontId="24" fillId="14" borderId="163" xfId="0" applyFont="1" applyFill="1" applyBorder="1" applyAlignment="1">
      <alignment horizontal="right" vertical="center"/>
    </xf>
    <xf numFmtId="180" fontId="24" fillId="14" borderId="170" xfId="0" applyFont="1" applyFill="1" applyBorder="1" applyAlignment="1">
      <alignment horizontal="right" vertical="center"/>
    </xf>
    <xf numFmtId="0" fontId="24" fillId="16" borderId="166" xfId="4" applyFont="1" applyFill="1" applyBorder="1" applyAlignment="1">
      <alignment horizontal="center" vertical="center"/>
    </xf>
    <xf numFmtId="0" fontId="24" fillId="9" borderId="166" xfId="4" applyFont="1" applyFill="1" applyBorder="1" applyAlignment="1">
      <alignment horizontal="center" vertical="center"/>
    </xf>
    <xf numFmtId="180" fontId="24" fillId="16" borderId="166" xfId="0" applyFont="1" applyFill="1" applyBorder="1" applyAlignment="1">
      <alignment horizontal="center" vertical="center"/>
    </xf>
    <xf numFmtId="180" fontId="24" fillId="9" borderId="166" xfId="0" applyFont="1" applyFill="1" applyBorder="1" applyAlignment="1">
      <alignment horizontal="center" vertical="center"/>
    </xf>
    <xf numFmtId="38" fontId="24" fillId="0" borderId="166" xfId="2" applyFont="1" applyBorder="1" applyAlignment="1">
      <alignment horizontal="right" vertical="center"/>
    </xf>
    <xf numFmtId="40" fontId="24" fillId="0" borderId="172" xfId="4" applyNumberFormat="1" applyFont="1" applyBorder="1" applyAlignment="1">
      <alignment horizontal="center" vertical="center"/>
    </xf>
    <xf numFmtId="40" fontId="24" fillId="0" borderId="166" xfId="4" applyNumberFormat="1" applyFont="1" applyBorder="1" applyAlignment="1">
      <alignment horizontal="center" vertical="center"/>
    </xf>
    <xf numFmtId="179" fontId="24" fillId="0" borderId="169" xfId="0" applyNumberFormat="1" applyFont="1" applyBorder="1" applyAlignment="1">
      <alignment horizontal="right" vertical="center"/>
    </xf>
    <xf numFmtId="179" fontId="24" fillId="0" borderId="173" xfId="0" applyNumberFormat="1" applyFont="1" applyBorder="1" applyAlignment="1">
      <alignment horizontal="right" vertical="center"/>
    </xf>
    <xf numFmtId="179" fontId="24" fillId="0" borderId="1" xfId="0" applyNumberFormat="1" applyFont="1" applyBorder="1" applyAlignment="1">
      <alignment horizontal="right" vertical="center"/>
    </xf>
    <xf numFmtId="179" fontId="24" fillId="0" borderId="22" xfId="0" applyNumberFormat="1" applyFont="1" applyBorder="1" applyAlignment="1">
      <alignment horizontal="right" vertical="center"/>
    </xf>
    <xf numFmtId="180" fontId="55" fillId="16" borderId="5" xfId="0" applyFont="1" applyFill="1" applyBorder="1" applyAlignment="1">
      <alignment horizontal="center" vertical="center" wrapText="1"/>
    </xf>
    <xf numFmtId="180" fontId="55" fillId="9" borderId="5" xfId="0" applyFont="1" applyFill="1" applyBorder="1" applyAlignment="1">
      <alignment horizontal="center" vertical="center" wrapText="1"/>
    </xf>
    <xf numFmtId="180" fontId="24" fillId="16" borderId="5" xfId="0" applyFont="1" applyFill="1" applyBorder="1" applyAlignment="1">
      <alignment horizontal="center" vertical="center"/>
    </xf>
    <xf numFmtId="180" fontId="24" fillId="9" borderId="172" xfId="0" applyFont="1" applyFill="1" applyBorder="1" applyAlignment="1">
      <alignment horizontal="center" vertical="center"/>
    </xf>
    <xf numFmtId="0" fontId="24" fillId="16" borderId="172" xfId="4" applyFont="1" applyFill="1" applyBorder="1" applyAlignment="1">
      <alignment horizontal="center" vertical="center"/>
    </xf>
    <xf numFmtId="0" fontId="24" fillId="9" borderId="172" xfId="4" applyFont="1" applyFill="1" applyBorder="1" applyAlignment="1">
      <alignment horizontal="center" vertical="center"/>
    </xf>
    <xf numFmtId="188" fontId="24" fillId="0" borderId="5" xfId="0" applyNumberFormat="1" applyFont="1" applyBorder="1" applyAlignment="1">
      <alignment horizontal="center" vertical="center"/>
    </xf>
    <xf numFmtId="188" fontId="24" fillId="0" borderId="166" xfId="0" applyNumberFormat="1" applyFont="1" applyBorder="1" applyAlignment="1">
      <alignment horizontal="center" vertical="center"/>
    </xf>
    <xf numFmtId="188" fontId="24" fillId="13" borderId="166" xfId="4" applyNumberFormat="1" applyFont="1" applyFill="1" applyBorder="1" applyAlignment="1">
      <alignment horizontal="center" vertical="center"/>
    </xf>
    <xf numFmtId="188" fontId="24" fillId="8" borderId="166" xfId="4" applyNumberFormat="1" applyFont="1" applyFill="1" applyBorder="1" applyAlignment="1">
      <alignment horizontal="center" vertical="center"/>
    </xf>
    <xf numFmtId="0" fontId="59" fillId="0" borderId="0" xfId="4" applyFont="1">
      <alignment vertical="center"/>
    </xf>
    <xf numFmtId="0" fontId="24" fillId="16" borderId="3" xfId="4" applyFont="1" applyFill="1" applyBorder="1" applyAlignment="1">
      <alignment horizontal="center" vertical="center"/>
    </xf>
    <xf numFmtId="0" fontId="24" fillId="3" borderId="4" xfId="4" applyFont="1" applyFill="1" applyBorder="1" applyAlignment="1">
      <alignment horizontal="center" vertical="center"/>
    </xf>
    <xf numFmtId="0" fontId="24" fillId="3" borderId="21" xfId="4" applyFont="1" applyFill="1" applyBorder="1" applyAlignment="1">
      <alignment horizontal="center" vertical="center"/>
    </xf>
    <xf numFmtId="180" fontId="13" fillId="16" borderId="87" xfId="0" applyFont="1" applyFill="1" applyBorder="1" applyAlignment="1">
      <alignment horizontal="center" vertical="center"/>
    </xf>
    <xf numFmtId="180" fontId="13" fillId="3" borderId="154" xfId="0" applyFont="1" applyFill="1" applyBorder="1" applyAlignment="1">
      <alignment horizontal="center" vertical="center"/>
    </xf>
    <xf numFmtId="180" fontId="13" fillId="16" borderId="1" xfId="0" applyFont="1" applyFill="1" applyBorder="1" applyAlignment="1">
      <alignment horizontal="center" vertical="center"/>
    </xf>
    <xf numFmtId="180" fontId="13" fillId="3" borderId="19" xfId="0" applyFont="1" applyFill="1" applyBorder="1" applyAlignment="1">
      <alignment horizontal="center" vertical="center"/>
    </xf>
    <xf numFmtId="180" fontId="13" fillId="3" borderId="7" xfId="0" applyFont="1" applyFill="1" applyBorder="1" applyAlignment="1">
      <alignment horizontal="center" vertical="center"/>
    </xf>
    <xf numFmtId="180" fontId="13" fillId="3" borderId="24" xfId="0" applyFont="1" applyFill="1" applyBorder="1" applyAlignment="1">
      <alignment horizontal="center" vertical="center"/>
    </xf>
    <xf numFmtId="180" fontId="42" fillId="16" borderId="3" xfId="0" applyFont="1" applyFill="1" applyBorder="1" applyAlignment="1">
      <alignment horizontal="center" vertical="center" shrinkToFit="1"/>
    </xf>
    <xf numFmtId="180" fontId="42" fillId="3" borderId="4" xfId="0" applyFont="1" applyFill="1" applyBorder="1" applyAlignment="1">
      <alignment horizontal="center" vertical="center" shrinkToFit="1"/>
    </xf>
    <xf numFmtId="180" fontId="42" fillId="3" borderId="5" xfId="0" applyFont="1" applyFill="1" applyBorder="1" applyAlignment="1">
      <alignment horizontal="center" vertical="center" shrinkToFit="1"/>
    </xf>
    <xf numFmtId="0" fontId="13" fillId="16" borderId="35" xfId="4" applyFont="1" applyFill="1" applyBorder="1" applyAlignment="1">
      <alignment horizontal="center" vertical="center"/>
    </xf>
    <xf numFmtId="0" fontId="13" fillId="3" borderId="75" xfId="4" applyFont="1" applyFill="1" applyBorder="1" applyAlignment="1">
      <alignment horizontal="center" vertical="center"/>
    </xf>
    <xf numFmtId="180" fontId="76" fillId="16" borderId="35" xfId="0" applyFont="1" applyFill="1" applyBorder="1" applyAlignment="1">
      <alignment horizontal="right" vertical="center" textRotation="180" shrinkToFit="1"/>
    </xf>
    <xf numFmtId="180" fontId="76" fillId="3" borderId="52" xfId="0" applyFont="1" applyFill="1" applyBorder="1" applyAlignment="1">
      <alignment horizontal="right" vertical="center" textRotation="180" shrinkToFit="1"/>
    </xf>
    <xf numFmtId="180" fontId="13" fillId="16" borderId="35" xfId="0" applyFont="1" applyFill="1" applyBorder="1" applyAlignment="1">
      <alignment horizontal="center" vertical="center" shrinkToFit="1"/>
    </xf>
    <xf numFmtId="180" fontId="13" fillId="3" borderId="52" xfId="0" applyFont="1" applyFill="1" applyBorder="1" applyAlignment="1">
      <alignment horizontal="center" vertical="center" shrinkToFit="1"/>
    </xf>
    <xf numFmtId="180" fontId="13" fillId="16" borderId="35" xfId="0" applyFont="1" applyFill="1" applyBorder="1" applyAlignment="1">
      <alignment horizontal="center" vertical="center"/>
    </xf>
    <xf numFmtId="180" fontId="13" fillId="3" borderId="52" xfId="0" applyFont="1" applyFill="1" applyBorder="1" applyAlignment="1">
      <alignment horizontal="center" vertical="center"/>
    </xf>
    <xf numFmtId="180" fontId="13" fillId="16" borderId="88" xfId="0" applyFont="1" applyFill="1" applyBorder="1" applyAlignment="1">
      <alignment horizontal="center" vertical="center"/>
    </xf>
    <xf numFmtId="180" fontId="13" fillId="3" borderId="82" xfId="0" applyFont="1" applyFill="1" applyBorder="1" applyAlignment="1">
      <alignment horizontal="center" vertical="center"/>
    </xf>
    <xf numFmtId="180" fontId="13" fillId="16" borderId="160" xfId="0" applyFont="1" applyFill="1" applyBorder="1" applyAlignment="1">
      <alignment horizontal="center" vertical="center" shrinkToFit="1"/>
    </xf>
    <xf numFmtId="180" fontId="13" fillId="3" borderId="161" xfId="0" applyFont="1" applyFill="1" applyBorder="1" applyAlignment="1">
      <alignment horizontal="center" vertical="center" shrinkToFit="1"/>
    </xf>
    <xf numFmtId="180" fontId="24" fillId="16" borderId="170" xfId="0" applyFont="1" applyFill="1" applyBorder="1" applyAlignment="1">
      <alignment horizontal="center" vertical="center" wrapText="1"/>
    </xf>
    <xf numFmtId="180" fontId="24" fillId="9" borderId="5" xfId="0" applyFont="1" applyFill="1" applyBorder="1" applyAlignment="1">
      <alignment horizontal="center" vertical="center" wrapText="1"/>
    </xf>
    <xf numFmtId="180" fontId="24" fillId="16" borderId="5" xfId="0" applyFont="1" applyFill="1" applyBorder="1" applyAlignment="1">
      <alignment horizontal="center" vertical="center" wrapText="1"/>
    </xf>
    <xf numFmtId="0" fontId="24" fillId="10" borderId="166" xfId="4" applyFont="1" applyFill="1" applyBorder="1" applyAlignment="1">
      <alignment horizontal="center" vertical="center"/>
    </xf>
    <xf numFmtId="180" fontId="24" fillId="0" borderId="168" xfId="0" applyFont="1" applyBorder="1" applyAlignment="1">
      <alignment horizontal="left" vertical="center"/>
    </xf>
    <xf numFmtId="180" fontId="24" fillId="0" borderId="163" xfId="0" applyFont="1" applyBorder="1" applyAlignment="1">
      <alignment horizontal="left" vertical="center"/>
    </xf>
    <xf numFmtId="180" fontId="24" fillId="0" borderId="170" xfId="0" applyFont="1" applyBorder="1" applyAlignment="1">
      <alignment horizontal="left" vertical="center"/>
    </xf>
    <xf numFmtId="180" fontId="30" fillId="0" borderId="1" xfId="0" applyFont="1" applyBorder="1" applyAlignment="1">
      <alignment horizontal="center" vertical="center" shrinkToFit="1"/>
    </xf>
    <xf numFmtId="180" fontId="30" fillId="0" borderId="7" xfId="0" applyFont="1" applyBorder="1" applyAlignment="1">
      <alignment horizontal="center" vertical="center" shrinkToFit="1"/>
    </xf>
    <xf numFmtId="180" fontId="24" fillId="13" borderId="14" xfId="0" applyFont="1" applyFill="1" applyBorder="1" applyAlignment="1">
      <alignment vertical="center" shrinkToFit="1"/>
    </xf>
    <xf numFmtId="180" fontId="24" fillId="4" borderId="15" xfId="0" applyFont="1" applyFill="1" applyBorder="1" applyAlignment="1">
      <alignment vertical="center" shrinkToFit="1"/>
    </xf>
    <xf numFmtId="180" fontId="24" fillId="13" borderId="25" xfId="0" applyFont="1" applyFill="1" applyBorder="1" applyAlignment="1">
      <alignment vertical="center" shrinkToFit="1"/>
    </xf>
    <xf numFmtId="180" fontId="24" fillId="4" borderId="27" xfId="0" applyFont="1" applyFill="1" applyBorder="1" applyAlignment="1">
      <alignment vertical="center" shrinkToFit="1"/>
    </xf>
    <xf numFmtId="0" fontId="13" fillId="16" borderId="3" xfId="6" applyFont="1" applyFill="1" applyBorder="1" applyAlignment="1">
      <alignment horizontal="center" vertical="center" shrinkToFit="1"/>
    </xf>
    <xf numFmtId="0" fontId="13" fillId="3" borderId="5" xfId="6" applyFont="1" applyFill="1" applyBorder="1" applyAlignment="1">
      <alignment horizontal="center" vertical="center" shrinkToFit="1"/>
    </xf>
    <xf numFmtId="180" fontId="29" fillId="0" borderId="0" xfId="0" applyFont="1" applyAlignment="1">
      <alignment horizontal="center" vertical="center"/>
    </xf>
    <xf numFmtId="0" fontId="13" fillId="16" borderId="35" xfId="6" applyFont="1" applyFill="1" applyBorder="1" applyAlignment="1">
      <alignment horizontal="center" shrinkToFit="1"/>
    </xf>
    <xf numFmtId="0" fontId="13" fillId="3" borderId="35" xfId="6" applyFont="1" applyFill="1" applyBorder="1" applyAlignment="1">
      <alignment horizontal="center" shrinkToFit="1"/>
    </xf>
    <xf numFmtId="180" fontId="24" fillId="6" borderId="14" xfId="0" applyFont="1" applyFill="1" applyBorder="1" applyAlignment="1">
      <alignment vertical="center" shrinkToFit="1"/>
    </xf>
    <xf numFmtId="180" fontId="24" fillId="6" borderId="13" xfId="0" applyFont="1" applyFill="1" applyBorder="1" applyAlignment="1">
      <alignment vertical="center" shrinkToFit="1"/>
    </xf>
    <xf numFmtId="180" fontId="24" fillId="6" borderId="15" xfId="0" applyFont="1" applyFill="1" applyBorder="1" applyAlignment="1">
      <alignment vertical="center" shrinkToFit="1"/>
    </xf>
    <xf numFmtId="180" fontId="24" fillId="6" borderId="25" xfId="0" applyFont="1" applyFill="1" applyBorder="1" applyAlignment="1">
      <alignment vertical="center" shrinkToFit="1"/>
    </xf>
    <xf numFmtId="180" fontId="24" fillId="6" borderId="26" xfId="0" applyFont="1" applyFill="1" applyBorder="1" applyAlignment="1">
      <alignment vertical="center" shrinkToFit="1"/>
    </xf>
    <xf numFmtId="180" fontId="24" fillId="6" borderId="27" xfId="0" applyFont="1" applyFill="1" applyBorder="1" applyAlignment="1">
      <alignment vertical="center" shrinkToFit="1"/>
    </xf>
    <xf numFmtId="0" fontId="13" fillId="3" borderId="4" xfId="6" applyFont="1" applyFill="1" applyBorder="1" applyAlignment="1">
      <alignment horizontal="center" vertical="center" shrinkToFit="1"/>
    </xf>
    <xf numFmtId="180" fontId="24" fillId="13" borderId="17" xfId="0" applyFont="1" applyFill="1" applyBorder="1" applyAlignment="1">
      <alignment vertical="center" shrinkToFit="1"/>
    </xf>
    <xf numFmtId="180" fontId="24" fillId="4" borderId="23" xfId="0" applyFont="1" applyFill="1" applyBorder="1" applyAlignment="1">
      <alignment vertical="center" shrinkToFit="1"/>
    </xf>
    <xf numFmtId="40" fontId="24" fillId="0" borderId="76" xfId="0" applyNumberFormat="1" applyFont="1" applyBorder="1" applyAlignment="1">
      <alignment vertical="center" shrinkToFit="1"/>
    </xf>
    <xf numFmtId="40" fontId="24" fillId="0" borderId="77" xfId="0" applyNumberFormat="1" applyFont="1" applyBorder="1" applyAlignment="1">
      <alignment vertical="center" shrinkToFit="1"/>
    </xf>
    <xf numFmtId="40" fontId="24" fillId="16" borderId="128" xfId="0" applyNumberFormat="1" applyFont="1" applyFill="1" applyBorder="1" applyAlignment="1">
      <alignment vertical="center" shrinkToFit="1"/>
    </xf>
    <xf numFmtId="40" fontId="24" fillId="3" borderId="127" xfId="0" applyNumberFormat="1" applyFont="1" applyFill="1" applyBorder="1" applyAlignment="1">
      <alignment vertical="center" shrinkToFit="1"/>
    </xf>
    <xf numFmtId="180" fontId="24" fillId="6" borderId="17" xfId="0" applyFont="1" applyFill="1" applyBorder="1" applyAlignment="1">
      <alignment vertical="center" shrinkToFit="1"/>
    </xf>
    <xf numFmtId="180" fontId="24" fillId="6" borderId="16" xfId="0" applyFont="1" applyFill="1" applyBorder="1" applyAlignment="1">
      <alignment vertical="center" shrinkToFit="1"/>
    </xf>
    <xf numFmtId="180" fontId="24" fillId="6" borderId="23" xfId="0" applyFont="1" applyFill="1" applyBorder="1" applyAlignment="1">
      <alignment vertical="center" shrinkToFit="1"/>
    </xf>
    <xf numFmtId="0" fontId="13" fillId="16" borderId="20" xfId="6" applyFont="1" applyFill="1" applyBorder="1" applyAlignment="1">
      <alignment horizontal="center" vertical="center" shrinkToFit="1"/>
    </xf>
    <xf numFmtId="0" fontId="13" fillId="3" borderId="20" xfId="6" applyFont="1" applyFill="1" applyBorder="1" applyAlignment="1">
      <alignment horizontal="center" vertical="center" shrinkToFit="1"/>
    </xf>
    <xf numFmtId="40" fontId="24" fillId="0" borderId="75" xfId="0" applyNumberFormat="1" applyFont="1" applyBorder="1" applyAlignment="1">
      <alignment vertical="center" shrinkToFit="1"/>
    </xf>
    <xf numFmtId="180" fontId="23" fillId="16" borderId="0" xfId="0" applyFont="1" applyFill="1" applyAlignment="1">
      <alignment horizontal="center" vertical="center"/>
    </xf>
    <xf numFmtId="180" fontId="23" fillId="9" borderId="0" xfId="0" applyFont="1" applyFill="1" applyAlignment="1">
      <alignment horizontal="center" vertical="center"/>
    </xf>
    <xf numFmtId="180" fontId="14" fillId="0" borderId="35" xfId="0" applyFont="1" applyBorder="1">
      <alignment vertical="center"/>
    </xf>
    <xf numFmtId="180" fontId="14" fillId="0" borderId="83" xfId="0" applyFont="1" applyBorder="1">
      <alignment vertical="center"/>
    </xf>
    <xf numFmtId="180" fontId="14" fillId="0" borderId="52" xfId="0" applyFont="1" applyBorder="1">
      <alignment vertical="center"/>
    </xf>
    <xf numFmtId="40" fontId="14" fillId="0" borderId="35" xfId="0" applyNumberFormat="1" applyFont="1" applyBorder="1">
      <alignment vertical="center"/>
    </xf>
    <xf numFmtId="40" fontId="14" fillId="0" borderId="83" xfId="0" applyNumberFormat="1" applyFont="1" applyBorder="1">
      <alignment vertical="center"/>
    </xf>
    <xf numFmtId="40" fontId="14" fillId="0" borderId="52" xfId="0" applyNumberFormat="1" applyFont="1" applyBorder="1">
      <alignment vertical="center"/>
    </xf>
    <xf numFmtId="38" fontId="14" fillId="0" borderId="28" xfId="2" applyFont="1" applyBorder="1" applyAlignment="1">
      <alignment vertical="center"/>
    </xf>
    <xf numFmtId="180" fontId="14" fillId="13" borderId="2" xfId="0" applyFont="1" applyFill="1" applyBorder="1">
      <alignment vertical="center"/>
    </xf>
    <xf numFmtId="180" fontId="0" fillId="16" borderId="3" xfId="0" applyFill="1" applyBorder="1" applyAlignment="1">
      <alignment horizontal="center" vertical="center"/>
    </xf>
    <xf numFmtId="180" fontId="0" fillId="3" borderId="5" xfId="0" applyFill="1" applyBorder="1" applyAlignment="1">
      <alignment horizontal="center" vertical="center"/>
    </xf>
    <xf numFmtId="180" fontId="14" fillId="0" borderId="20" xfId="0" applyFont="1" applyBorder="1" applyAlignment="1">
      <alignment horizontal="center" vertical="center"/>
    </xf>
    <xf numFmtId="180" fontId="14" fillId="0" borderId="35" xfId="0" applyFont="1" applyBorder="1" applyAlignment="1">
      <alignment horizontal="right" vertical="center"/>
    </xf>
    <xf numFmtId="180" fontId="14" fillId="0" borderId="83" xfId="0" applyFont="1" applyBorder="1" applyAlignment="1">
      <alignment horizontal="right" vertical="center"/>
    </xf>
    <xf numFmtId="180" fontId="14" fillId="0" borderId="172" xfId="0" applyFont="1" applyBorder="1" applyAlignment="1">
      <alignment horizontal="right" vertical="center"/>
    </xf>
    <xf numFmtId="38" fontId="14" fillId="0" borderId="22" xfId="2" applyFont="1" applyBorder="1">
      <alignment vertical="center"/>
    </xf>
    <xf numFmtId="38" fontId="14" fillId="0" borderId="28" xfId="2" applyFont="1" applyBorder="1">
      <alignment vertical="center"/>
    </xf>
    <xf numFmtId="38" fontId="14" fillId="0" borderId="7" xfId="2" applyFont="1" applyBorder="1">
      <alignment vertical="center"/>
    </xf>
    <xf numFmtId="38" fontId="14" fillId="0" borderId="24" xfId="2" applyFont="1" applyBorder="1">
      <alignment vertical="center"/>
    </xf>
    <xf numFmtId="180" fontId="0" fillId="3" borderId="83" xfId="0" applyFill="1" applyBorder="1" applyAlignment="1">
      <alignment horizontal="center" vertical="center" wrapText="1"/>
    </xf>
    <xf numFmtId="180" fontId="0" fillId="3" borderId="52" xfId="0" applyFill="1" applyBorder="1" applyAlignment="1">
      <alignment horizontal="center" vertical="center" wrapText="1"/>
    </xf>
    <xf numFmtId="38" fontId="14" fillId="0" borderId="167" xfId="2" applyFont="1" applyBorder="1">
      <alignment vertical="center"/>
    </xf>
    <xf numFmtId="38" fontId="14" fillId="0" borderId="194" xfId="2" applyFont="1" applyBorder="1">
      <alignment vertical="center"/>
    </xf>
    <xf numFmtId="38" fontId="14" fillId="0" borderId="0" xfId="2" applyFont="1" applyBorder="1">
      <alignment vertical="center"/>
    </xf>
    <xf numFmtId="38" fontId="14" fillId="0" borderId="169" xfId="2" applyFont="1" applyBorder="1">
      <alignment vertical="center"/>
    </xf>
    <xf numFmtId="38" fontId="14" fillId="0" borderId="183" xfId="2" applyFont="1" applyBorder="1">
      <alignment vertical="center"/>
    </xf>
    <xf numFmtId="180" fontId="14" fillId="0" borderId="1" xfId="0" applyFont="1" applyBorder="1" applyAlignment="1">
      <alignment horizontal="right" vertical="center"/>
    </xf>
    <xf numFmtId="180" fontId="0" fillId="16" borderId="167" xfId="0" applyFill="1" applyBorder="1" applyAlignment="1">
      <alignment horizontal="center" vertical="center" wrapText="1"/>
    </xf>
    <xf numFmtId="180" fontId="0" fillId="16" borderId="22" xfId="0" applyFill="1" applyBorder="1" applyAlignment="1">
      <alignment horizontal="center" vertical="center" wrapText="1"/>
    </xf>
    <xf numFmtId="180" fontId="0" fillId="3" borderId="22" xfId="0" applyFill="1" applyBorder="1" applyAlignment="1">
      <alignment horizontal="center" vertical="center" wrapText="1"/>
    </xf>
    <xf numFmtId="180" fontId="0" fillId="3" borderId="235" xfId="0" applyFill="1" applyBorder="1" applyAlignment="1">
      <alignment horizontal="center" vertical="center" wrapText="1"/>
    </xf>
    <xf numFmtId="40" fontId="48" fillId="0" borderId="168" xfId="0" applyNumberFormat="1" applyFont="1" applyBorder="1" applyAlignment="1">
      <alignment horizontal="left" vertical="center" wrapText="1"/>
    </xf>
    <xf numFmtId="40" fontId="48" fillId="0" borderId="163" xfId="0" applyNumberFormat="1" applyFont="1" applyBorder="1" applyAlignment="1">
      <alignment horizontal="left" vertical="center"/>
    </xf>
    <xf numFmtId="40" fontId="48" fillId="0" borderId="170" xfId="0" applyNumberFormat="1" applyFont="1" applyBorder="1" applyAlignment="1">
      <alignment horizontal="left" vertical="center"/>
    </xf>
    <xf numFmtId="40" fontId="14" fillId="13" borderId="1" xfId="0" applyNumberFormat="1" applyFont="1" applyFill="1" applyBorder="1" applyAlignment="1">
      <alignment horizontal="center" vertical="center"/>
    </xf>
    <xf numFmtId="40" fontId="14" fillId="13" borderId="22" xfId="0" applyNumberFormat="1" applyFont="1" applyFill="1" applyBorder="1" applyAlignment="1">
      <alignment horizontal="center" vertical="center"/>
    </xf>
    <xf numFmtId="40" fontId="14" fillId="13" borderId="169" xfId="0" applyNumberFormat="1" applyFont="1" applyFill="1" applyBorder="1" applyAlignment="1">
      <alignment horizontal="center" vertical="center"/>
    </xf>
    <xf numFmtId="180" fontId="14" fillId="13" borderId="1" xfId="0" applyFont="1" applyFill="1" applyBorder="1">
      <alignment vertical="center"/>
    </xf>
    <xf numFmtId="180" fontId="14" fillId="4" borderId="22" xfId="0" applyFont="1" applyFill="1" applyBorder="1">
      <alignment vertical="center"/>
    </xf>
    <xf numFmtId="180" fontId="0" fillId="3" borderId="20" xfId="0" applyFill="1" applyBorder="1" applyAlignment="1">
      <alignment horizontal="center" vertical="center" wrapText="1"/>
    </xf>
    <xf numFmtId="180" fontId="3" fillId="16" borderId="20" xfId="0" applyFont="1" applyFill="1" applyBorder="1" applyAlignment="1">
      <alignment horizontal="center" vertical="center"/>
    </xf>
    <xf numFmtId="180" fontId="3" fillId="3" borderId="20" xfId="0" applyFont="1" applyFill="1" applyBorder="1" applyAlignment="1">
      <alignment horizontal="center" vertical="center"/>
    </xf>
    <xf numFmtId="180" fontId="0" fillId="16" borderId="171" xfId="0" applyFill="1" applyBorder="1" applyAlignment="1">
      <alignment horizontal="center" vertical="center"/>
    </xf>
    <xf numFmtId="180" fontId="0" fillId="3" borderId="172" xfId="0" applyFill="1" applyBorder="1" applyAlignment="1">
      <alignment horizontal="center" vertical="center"/>
    </xf>
    <xf numFmtId="180" fontId="3" fillId="3" borderId="52" xfId="0" applyFont="1" applyFill="1" applyBorder="1" applyAlignment="1">
      <alignment horizontal="center" vertical="center"/>
    </xf>
    <xf numFmtId="180" fontId="3" fillId="16" borderId="35" xfId="0" applyFont="1" applyFill="1" applyBorder="1" applyAlignment="1">
      <alignment horizontal="center" vertical="center"/>
    </xf>
    <xf numFmtId="180" fontId="3" fillId="3" borderId="3" xfId="0" applyFont="1" applyFill="1" applyBorder="1" applyAlignment="1">
      <alignment horizontal="center" vertical="center"/>
    </xf>
    <xf numFmtId="180" fontId="3" fillId="3" borderId="7" xfId="0" applyFont="1" applyFill="1" applyBorder="1" applyAlignment="1">
      <alignment horizontal="center" vertical="center"/>
    </xf>
    <xf numFmtId="40" fontId="14" fillId="0" borderId="35" xfId="0" applyNumberFormat="1" applyFont="1" applyBorder="1" applyAlignment="1">
      <alignment horizontal="right" vertical="center"/>
    </xf>
    <xf numFmtId="40" fontId="14" fillId="0" borderId="172" xfId="0" applyNumberFormat="1" applyFont="1" applyBorder="1" applyAlignment="1">
      <alignment horizontal="right" vertical="center"/>
    </xf>
    <xf numFmtId="180" fontId="0" fillId="9" borderId="172" xfId="0" applyFill="1" applyBorder="1" applyAlignment="1">
      <alignment horizontal="center" vertical="center"/>
    </xf>
    <xf numFmtId="38" fontId="14" fillId="11" borderId="1" xfId="0" applyNumberFormat="1" applyFont="1" applyFill="1" applyBorder="1" applyAlignment="1">
      <alignment horizontal="right" vertical="center"/>
    </xf>
    <xf numFmtId="38" fontId="14" fillId="11" borderId="169" xfId="0" applyNumberFormat="1" applyFont="1" applyFill="1" applyBorder="1" applyAlignment="1">
      <alignment horizontal="right" vertical="center"/>
    </xf>
    <xf numFmtId="180" fontId="14" fillId="13" borderId="1" xfId="0" applyFont="1" applyFill="1" applyBorder="1" applyAlignment="1">
      <alignment horizontal="right" vertical="center"/>
    </xf>
    <xf numFmtId="180" fontId="14" fillId="4" borderId="22" xfId="0" applyFont="1" applyFill="1" applyBorder="1" applyAlignment="1">
      <alignment horizontal="right" vertical="center"/>
    </xf>
    <xf numFmtId="180" fontId="14" fillId="4" borderId="7" xfId="0" applyFont="1" applyFill="1" applyBorder="1" applyAlignment="1">
      <alignment horizontal="right" vertical="center"/>
    </xf>
    <xf numFmtId="180" fontId="14" fillId="4" borderId="7" xfId="0" applyFont="1" applyFill="1" applyBorder="1">
      <alignment vertical="center"/>
    </xf>
    <xf numFmtId="40" fontId="14" fillId="0" borderId="168" xfId="0" applyNumberFormat="1" applyFont="1" applyBorder="1" applyAlignment="1">
      <alignment horizontal="left" vertical="center"/>
    </xf>
    <xf numFmtId="40" fontId="14" fillId="0" borderId="170" xfId="0" applyNumberFormat="1" applyFont="1" applyBorder="1" applyAlignment="1">
      <alignment horizontal="left" vertical="center"/>
    </xf>
    <xf numFmtId="40" fontId="14" fillId="0" borderId="163" xfId="0" applyNumberFormat="1" applyFont="1" applyBorder="1" applyAlignment="1">
      <alignment horizontal="left" vertical="center"/>
    </xf>
    <xf numFmtId="180" fontId="14" fillId="8" borderId="22" xfId="0" applyFont="1" applyFill="1" applyBorder="1">
      <alignment vertical="center"/>
    </xf>
    <xf numFmtId="180" fontId="14" fillId="8" borderId="7" xfId="0" applyFont="1" applyFill="1" applyBorder="1">
      <alignment vertical="center"/>
    </xf>
    <xf numFmtId="40" fontId="14" fillId="0" borderId="83" xfId="0" applyNumberFormat="1" applyFont="1" applyBorder="1" applyAlignment="1">
      <alignment horizontal="right" vertical="center"/>
    </xf>
    <xf numFmtId="38" fontId="14" fillId="13" borderId="1" xfId="2" applyFont="1" applyFill="1" applyBorder="1" applyAlignment="1">
      <alignment horizontal="right" vertical="center"/>
    </xf>
    <xf numFmtId="38" fontId="14" fillId="8" borderId="169" xfId="2" applyFont="1" applyFill="1" applyBorder="1" applyAlignment="1">
      <alignment horizontal="right" vertical="center"/>
    </xf>
    <xf numFmtId="38" fontId="14" fillId="13" borderId="1" xfId="0" applyNumberFormat="1" applyFont="1" applyFill="1" applyBorder="1" applyAlignment="1">
      <alignment horizontal="right" vertical="center"/>
    </xf>
    <xf numFmtId="38" fontId="14" fillId="8" borderId="22" xfId="0" applyNumberFormat="1" applyFont="1" applyFill="1" applyBorder="1" applyAlignment="1">
      <alignment horizontal="right" vertical="center"/>
    </xf>
    <xf numFmtId="38" fontId="14" fillId="8" borderId="169" xfId="0" applyNumberFormat="1" applyFont="1" applyFill="1" applyBorder="1" applyAlignment="1">
      <alignment horizontal="right" vertical="center"/>
    </xf>
    <xf numFmtId="40" fontId="14" fillId="0" borderId="1" xfId="2" applyNumberFormat="1" applyFont="1" applyFill="1" applyBorder="1">
      <alignment vertical="center"/>
    </xf>
    <xf numFmtId="40" fontId="14" fillId="0" borderId="22" xfId="2" applyNumberFormat="1" applyFont="1" applyFill="1" applyBorder="1">
      <alignment vertical="center"/>
    </xf>
    <xf numFmtId="40" fontId="14" fillId="0" borderId="19" xfId="2" applyNumberFormat="1" applyFont="1" applyBorder="1" applyAlignment="1">
      <alignment vertical="center" wrapText="1"/>
    </xf>
    <xf numFmtId="40" fontId="14" fillId="0" borderId="28" xfId="2" applyNumberFormat="1" applyFont="1" applyBorder="1">
      <alignment vertical="center"/>
    </xf>
    <xf numFmtId="40" fontId="14" fillId="0" borderId="19" xfId="0" applyNumberFormat="1" applyFont="1" applyBorder="1" applyAlignment="1">
      <alignment vertical="center" wrapText="1"/>
    </xf>
    <xf numFmtId="38" fontId="14" fillId="0" borderId="1" xfId="2" applyFont="1" applyBorder="1">
      <alignment vertical="center"/>
    </xf>
    <xf numFmtId="38" fontId="14" fillId="0" borderId="19" xfId="2" applyFont="1" applyBorder="1">
      <alignment vertical="center"/>
    </xf>
    <xf numFmtId="40" fontId="14" fillId="0" borderId="24" xfId="0" applyNumberFormat="1" applyFont="1" applyBorder="1" applyAlignment="1">
      <alignment vertical="center" wrapText="1"/>
    </xf>
    <xf numFmtId="40" fontId="14" fillId="13" borderId="1" xfId="0" applyNumberFormat="1" applyFont="1" applyFill="1" applyBorder="1">
      <alignment vertical="center"/>
    </xf>
    <xf numFmtId="40" fontId="14" fillId="4" borderId="7" xfId="0" applyNumberFormat="1" applyFont="1" applyFill="1" applyBorder="1">
      <alignment vertical="center"/>
    </xf>
    <xf numFmtId="180" fontId="14" fillId="0" borderId="171" xfId="0" applyFont="1" applyBorder="1">
      <alignment vertical="center"/>
    </xf>
    <xf numFmtId="180" fontId="14" fillId="0" borderId="172" xfId="0" applyFont="1" applyBorder="1">
      <alignment vertical="center"/>
    </xf>
    <xf numFmtId="40" fontId="14" fillId="0" borderId="171" xfId="0" applyNumberFormat="1" applyFont="1" applyBorder="1">
      <alignment vertical="center"/>
    </xf>
    <xf numFmtId="40" fontId="14" fillId="0" borderId="172" xfId="0" applyNumberFormat="1" applyFont="1" applyBorder="1">
      <alignment vertical="center"/>
    </xf>
    <xf numFmtId="40" fontId="14" fillId="0" borderId="233" xfId="0" applyNumberFormat="1" applyFont="1" applyBorder="1">
      <alignment vertical="center"/>
    </xf>
    <xf numFmtId="180" fontId="14" fillId="13" borderId="167" xfId="0" applyFont="1" applyFill="1" applyBorder="1">
      <alignment vertical="center"/>
    </xf>
    <xf numFmtId="180" fontId="14" fillId="4" borderId="169" xfId="0" applyFont="1" applyFill="1" applyBorder="1">
      <alignment vertical="center"/>
    </xf>
    <xf numFmtId="40" fontId="14" fillId="0" borderId="163" xfId="0" applyNumberFormat="1" applyFont="1" applyBorder="1" applyAlignment="1">
      <alignment vertical="center" wrapText="1"/>
    </xf>
    <xf numFmtId="180" fontId="14" fillId="4" borderId="0" xfId="0" applyFont="1" applyFill="1">
      <alignment vertical="center"/>
    </xf>
    <xf numFmtId="180" fontId="14" fillId="4" borderId="8" xfId="0" applyFont="1" applyFill="1" applyBorder="1">
      <alignment vertical="center"/>
    </xf>
    <xf numFmtId="40" fontId="14" fillId="0" borderId="28" xfId="0" applyNumberFormat="1" applyFont="1" applyBorder="1" applyAlignment="1">
      <alignment vertical="center" wrapText="1"/>
    </xf>
    <xf numFmtId="40" fontId="14" fillId="8" borderId="22" xfId="0" applyNumberFormat="1" applyFont="1" applyFill="1" applyBorder="1">
      <alignment vertical="center"/>
    </xf>
    <xf numFmtId="40" fontId="14" fillId="8" borderId="7" xfId="0" applyNumberFormat="1" applyFont="1" applyFill="1" applyBorder="1">
      <alignment vertical="center"/>
    </xf>
    <xf numFmtId="38" fontId="14" fillId="0" borderId="35" xfId="2" applyFont="1" applyBorder="1">
      <alignment vertical="center"/>
    </xf>
    <xf numFmtId="38" fontId="14" fillId="0" borderId="83" xfId="2" applyFont="1" applyBorder="1">
      <alignment vertical="center"/>
    </xf>
    <xf numFmtId="180" fontId="3" fillId="16" borderId="20" xfId="0" applyFont="1" applyFill="1" applyBorder="1" applyAlignment="1">
      <alignment horizontal="center" vertical="center" wrapText="1"/>
    </xf>
    <xf numFmtId="180" fontId="9" fillId="0" borderId="117" xfId="0" applyFont="1" applyBorder="1">
      <alignment vertical="center"/>
    </xf>
    <xf numFmtId="180" fontId="9" fillId="0" borderId="118" xfId="0" applyFont="1" applyBorder="1">
      <alignment vertical="center"/>
    </xf>
    <xf numFmtId="180" fontId="3" fillId="3" borderId="35" xfId="0" applyFont="1" applyFill="1" applyBorder="1" applyAlignment="1">
      <alignment horizontal="center" vertical="center"/>
    </xf>
    <xf numFmtId="180" fontId="0" fillId="3" borderId="35" xfId="0" applyFill="1" applyBorder="1" applyAlignment="1">
      <alignment horizontal="center" vertical="center"/>
    </xf>
    <xf numFmtId="180" fontId="0" fillId="16" borderId="1" xfId="0" applyFill="1" applyBorder="1" applyAlignment="1">
      <alignment horizontal="center" vertical="center"/>
    </xf>
    <xf numFmtId="180" fontId="0" fillId="3" borderId="19" xfId="0" applyFill="1" applyBorder="1" applyAlignment="1">
      <alignment horizontal="center" vertical="center"/>
    </xf>
    <xf numFmtId="40" fontId="0" fillId="0" borderId="120" xfId="0" applyNumberFormat="1" applyBorder="1">
      <alignment vertical="center"/>
    </xf>
    <xf numFmtId="40" fontId="0" fillId="0" borderId="62" xfId="0" applyNumberFormat="1" applyBorder="1">
      <alignment vertical="center"/>
    </xf>
    <xf numFmtId="40" fontId="0" fillId="0" borderId="148" xfId="0" applyNumberFormat="1" applyBorder="1">
      <alignment vertical="center"/>
    </xf>
    <xf numFmtId="40" fontId="0" fillId="0" borderId="97" xfId="0" applyNumberFormat="1" applyBorder="1">
      <alignment vertical="center"/>
    </xf>
    <xf numFmtId="180" fontId="9" fillId="16" borderId="119" xfId="0" applyFont="1" applyFill="1" applyBorder="1" applyAlignment="1">
      <alignment horizontal="center" vertical="center"/>
    </xf>
    <xf numFmtId="180" fontId="9" fillId="3" borderId="157" xfId="0" applyFont="1" applyFill="1" applyBorder="1" applyAlignment="1">
      <alignment horizontal="center" vertical="center"/>
    </xf>
    <xf numFmtId="180" fontId="0" fillId="0" borderId="120" xfId="0" applyBorder="1" applyAlignment="1">
      <alignment horizontal="center" vertical="center"/>
    </xf>
    <xf numFmtId="180" fontId="0" fillId="0" borderId="62" xfId="0" applyBorder="1" applyAlignment="1">
      <alignment horizontal="center" vertical="center"/>
    </xf>
    <xf numFmtId="180" fontId="0" fillId="0" borderId="46" xfId="0" applyBorder="1" applyAlignment="1">
      <alignment horizontal="center" vertical="center"/>
    </xf>
    <xf numFmtId="180" fontId="0" fillId="0" borderId="148" xfId="0" applyBorder="1" applyAlignment="1">
      <alignment horizontal="center" vertical="center"/>
    </xf>
    <xf numFmtId="180" fontId="0" fillId="0" borderId="97" xfId="0" applyBorder="1" applyAlignment="1">
      <alignment horizontal="center" vertical="center"/>
    </xf>
    <xf numFmtId="180" fontId="0" fillId="0" borderId="147" xfId="0" applyBorder="1" applyAlignment="1">
      <alignment horizontal="center" vertical="center"/>
    </xf>
    <xf numFmtId="180" fontId="0" fillId="16" borderId="7" xfId="0" applyFill="1" applyBorder="1" applyAlignment="1">
      <alignment horizontal="center" vertical="center"/>
    </xf>
    <xf numFmtId="180" fontId="0" fillId="3" borderId="24" xfId="0" applyFill="1" applyBorder="1" applyAlignment="1">
      <alignment horizontal="center" vertical="center"/>
    </xf>
    <xf numFmtId="180" fontId="9" fillId="16" borderId="98" xfId="0" applyFont="1" applyFill="1" applyBorder="1" applyAlignment="1">
      <alignment horizontal="center" vertical="center"/>
    </xf>
    <xf numFmtId="180" fontId="9" fillId="3" borderId="46" xfId="0" applyFont="1" applyFill="1" applyBorder="1" applyAlignment="1">
      <alignment horizontal="center" vertical="center"/>
    </xf>
    <xf numFmtId="180" fontId="9" fillId="3" borderId="100" xfId="0" applyFont="1" applyFill="1" applyBorder="1" applyAlignment="1">
      <alignment horizontal="center" vertical="center"/>
    </xf>
    <xf numFmtId="180" fontId="9" fillId="3" borderId="147" xfId="0" applyFont="1" applyFill="1" applyBorder="1" applyAlignment="1">
      <alignment horizontal="center" vertical="center"/>
    </xf>
    <xf numFmtId="180" fontId="3" fillId="16" borderId="52" xfId="0" applyFont="1" applyFill="1" applyBorder="1" applyAlignment="1">
      <alignment horizontal="center" vertical="center"/>
    </xf>
    <xf numFmtId="180" fontId="0" fillId="0" borderId="2" xfId="0" applyBorder="1">
      <alignment vertical="center"/>
    </xf>
    <xf numFmtId="180" fontId="0" fillId="0" borderId="36" xfId="0" applyBorder="1">
      <alignment vertical="center"/>
    </xf>
    <xf numFmtId="180" fontId="0" fillId="0" borderId="7" xfId="0" applyBorder="1">
      <alignment vertical="center"/>
    </xf>
    <xf numFmtId="180" fontId="0" fillId="0" borderId="8" xfId="0" applyBorder="1">
      <alignment vertical="center"/>
    </xf>
    <xf numFmtId="180" fontId="0" fillId="0" borderId="54" xfId="0" applyBorder="1">
      <alignment vertical="center"/>
    </xf>
    <xf numFmtId="180" fontId="9" fillId="9" borderId="28" xfId="0" applyFont="1" applyFill="1" applyBorder="1" applyAlignment="1">
      <alignment horizontal="center" vertical="center" wrapText="1"/>
    </xf>
    <xf numFmtId="180" fontId="9" fillId="9" borderId="22" xfId="0" applyFont="1" applyFill="1" applyBorder="1" applyAlignment="1">
      <alignment horizontal="center" vertical="center" wrapText="1"/>
    </xf>
    <xf numFmtId="180" fontId="9" fillId="9" borderId="7" xfId="0" applyFont="1" applyFill="1" applyBorder="1" applyAlignment="1">
      <alignment horizontal="center" vertical="center" wrapText="1"/>
    </xf>
    <xf numFmtId="180" fontId="9" fillId="9" borderId="24" xfId="0" applyFont="1" applyFill="1" applyBorder="1" applyAlignment="1">
      <alignment horizontal="center" vertical="center" wrapText="1"/>
    </xf>
    <xf numFmtId="180" fontId="9" fillId="9" borderId="168" xfId="0" applyFont="1" applyFill="1" applyBorder="1" applyAlignment="1">
      <alignment horizontal="center" vertical="center" wrapText="1"/>
    </xf>
    <xf numFmtId="180" fontId="9" fillId="9" borderId="163" xfId="0" applyFont="1" applyFill="1" applyBorder="1" applyAlignment="1">
      <alignment horizontal="center" vertical="center" wrapText="1"/>
    </xf>
    <xf numFmtId="180" fontId="9" fillId="9" borderId="169" xfId="0" applyFont="1" applyFill="1" applyBorder="1" applyAlignment="1">
      <alignment horizontal="center" vertical="center" wrapText="1"/>
    </xf>
    <xf numFmtId="180" fontId="9" fillId="9" borderId="170" xfId="0" applyFont="1" applyFill="1" applyBorder="1" applyAlignment="1">
      <alignment horizontal="center" vertical="center" wrapText="1"/>
    </xf>
    <xf numFmtId="180" fontId="9" fillId="16" borderId="35" xfId="0" applyFont="1" applyFill="1" applyBorder="1" applyAlignment="1">
      <alignment vertical="center" textRotation="255"/>
    </xf>
    <xf numFmtId="180" fontId="9" fillId="3" borderId="83" xfId="0" applyFont="1" applyFill="1" applyBorder="1" applyAlignment="1">
      <alignment vertical="center" textRotation="255"/>
    </xf>
    <xf numFmtId="180" fontId="3" fillId="3" borderId="172" xfId="0" applyFont="1" applyFill="1" applyBorder="1" applyAlignment="1">
      <alignment horizontal="center" vertical="center"/>
    </xf>
    <xf numFmtId="180" fontId="9" fillId="16" borderId="83" xfId="0" applyFont="1" applyFill="1" applyBorder="1" applyAlignment="1">
      <alignment vertical="center" textRotation="255"/>
    </xf>
    <xf numFmtId="180" fontId="3" fillId="3" borderId="83" xfId="0" applyFont="1" applyFill="1" applyBorder="1" applyAlignment="1">
      <alignment horizontal="center" vertical="center"/>
    </xf>
    <xf numFmtId="180" fontId="9" fillId="3" borderId="52" xfId="0" applyFont="1" applyFill="1" applyBorder="1" applyAlignment="1">
      <alignment horizontal="center" vertical="center" textRotation="255" wrapText="1"/>
    </xf>
    <xf numFmtId="180" fontId="14" fillId="0" borderId="1" xfId="0" applyFont="1" applyBorder="1" applyAlignment="1">
      <alignment vertical="center" wrapText="1"/>
    </xf>
    <xf numFmtId="180" fontId="14" fillId="0" borderId="19" xfId="0" applyFont="1" applyBorder="1" applyAlignment="1">
      <alignment vertical="center" wrapText="1"/>
    </xf>
    <xf numFmtId="180" fontId="14" fillId="0" borderId="22" xfId="0" applyFont="1" applyBorder="1" applyAlignment="1">
      <alignment vertical="center" wrapText="1"/>
    </xf>
    <xf numFmtId="180" fontId="14" fillId="0" borderId="163" xfId="0" applyFont="1" applyBorder="1" applyAlignment="1">
      <alignment vertical="center" wrapText="1"/>
    </xf>
    <xf numFmtId="180" fontId="14" fillId="0" borderId="7" xfId="0" applyFont="1" applyBorder="1" applyAlignment="1">
      <alignment vertical="center" wrapText="1"/>
    </xf>
    <xf numFmtId="180" fontId="14" fillId="0" borderId="24" xfId="0" applyFont="1" applyBorder="1" applyAlignment="1">
      <alignment vertical="center" wrapText="1"/>
    </xf>
    <xf numFmtId="180" fontId="64" fillId="16" borderId="35" xfId="0" applyFont="1" applyFill="1" applyBorder="1" applyAlignment="1">
      <alignment horizontal="left" vertical="center" textRotation="180" wrapText="1" shrinkToFit="1"/>
    </xf>
    <xf numFmtId="180" fontId="64" fillId="9" borderId="83" xfId="0" applyFont="1" applyFill="1" applyBorder="1" applyAlignment="1">
      <alignment horizontal="left" vertical="center" textRotation="180" wrapText="1" shrinkToFit="1"/>
    </xf>
    <xf numFmtId="180" fontId="64" fillId="9" borderId="172" xfId="0" applyFont="1" applyFill="1" applyBorder="1" applyAlignment="1">
      <alignment horizontal="left" vertical="center" textRotation="180" wrapText="1" shrinkToFit="1"/>
    </xf>
    <xf numFmtId="38" fontId="14" fillId="0" borderId="1" xfId="2" applyFont="1" applyBorder="1" applyAlignment="1">
      <alignment horizontal="right" vertical="center" shrinkToFit="1"/>
    </xf>
    <xf numFmtId="38" fontId="14" fillId="0" borderId="168" xfId="2" applyFont="1" applyBorder="1" applyAlignment="1">
      <alignment horizontal="right" vertical="center" shrinkToFit="1"/>
    </xf>
    <xf numFmtId="38" fontId="14" fillId="0" borderId="22" xfId="2" applyFont="1" applyBorder="1" applyAlignment="1">
      <alignment horizontal="right" vertical="center" shrinkToFit="1"/>
    </xf>
    <xf numFmtId="38" fontId="14" fillId="0" borderId="163" xfId="2" applyFont="1" applyBorder="1" applyAlignment="1">
      <alignment horizontal="right" vertical="center" shrinkToFit="1"/>
    </xf>
    <xf numFmtId="38" fontId="14" fillId="0" borderId="169" xfId="2" applyFont="1" applyBorder="1" applyAlignment="1">
      <alignment horizontal="right" vertical="center" shrinkToFit="1"/>
    </xf>
    <xf numFmtId="38" fontId="14" fillId="0" borderId="170" xfId="2" applyFont="1" applyBorder="1" applyAlignment="1">
      <alignment horizontal="right" vertical="center" shrinkToFit="1"/>
    </xf>
    <xf numFmtId="180" fontId="9" fillId="16" borderId="83" xfId="0" applyFont="1" applyFill="1" applyBorder="1" applyAlignment="1">
      <alignment vertical="center" textRotation="255" wrapText="1"/>
    </xf>
    <xf numFmtId="180" fontId="9" fillId="3" borderId="83" xfId="0" applyFont="1" applyFill="1" applyBorder="1" applyAlignment="1">
      <alignment vertical="center" textRotation="255" wrapText="1"/>
    </xf>
    <xf numFmtId="180" fontId="9" fillId="3" borderId="52" xfId="0" applyFont="1" applyFill="1" applyBorder="1" applyAlignment="1">
      <alignment vertical="center" textRotation="255" wrapText="1"/>
    </xf>
    <xf numFmtId="180" fontId="0" fillId="16" borderId="173" xfId="0" applyFill="1" applyBorder="1" applyAlignment="1">
      <alignment horizontal="center" vertical="center" wrapText="1"/>
    </xf>
    <xf numFmtId="180" fontId="0" fillId="3" borderId="175" xfId="0" applyFill="1" applyBorder="1" applyAlignment="1">
      <alignment horizontal="center" vertical="center" wrapText="1"/>
    </xf>
    <xf numFmtId="180" fontId="9" fillId="3" borderId="52" xfId="0" applyFont="1" applyFill="1" applyBorder="1" applyAlignment="1">
      <alignment vertical="center" textRotation="255"/>
    </xf>
    <xf numFmtId="180" fontId="9" fillId="16" borderId="35" xfId="0" applyFont="1" applyFill="1" applyBorder="1" applyAlignment="1">
      <alignment horizontal="center" vertical="center" wrapText="1"/>
    </xf>
    <xf numFmtId="180" fontId="9" fillId="16" borderId="83" xfId="0" applyFont="1" applyFill="1" applyBorder="1" applyAlignment="1">
      <alignment horizontal="center" vertical="center" textRotation="255"/>
    </xf>
    <xf numFmtId="180" fontId="31" fillId="16" borderId="83" xfId="0" applyFont="1" applyFill="1" applyBorder="1" applyAlignment="1">
      <alignment horizontal="center" vertical="center" wrapText="1"/>
    </xf>
    <xf numFmtId="180" fontId="31" fillId="3" borderId="83" xfId="0" applyFont="1" applyFill="1" applyBorder="1" applyAlignment="1">
      <alignment horizontal="center" vertical="center" wrapText="1"/>
    </xf>
    <xf numFmtId="180" fontId="31" fillId="3" borderId="52" xfId="0" applyFont="1" applyFill="1" applyBorder="1" applyAlignment="1">
      <alignment horizontal="center" vertical="center" wrapText="1"/>
    </xf>
    <xf numFmtId="180" fontId="32" fillId="0" borderId="52" xfId="0" applyFont="1" applyBorder="1">
      <alignment vertical="center"/>
    </xf>
    <xf numFmtId="40" fontId="14" fillId="0" borderId="35" xfId="0" applyNumberFormat="1" applyFont="1" applyBorder="1" applyAlignment="1">
      <alignment horizontal="center" vertical="center"/>
    </xf>
    <xf numFmtId="40" fontId="14" fillId="0" borderId="172" xfId="0" applyNumberFormat="1" applyFont="1" applyBorder="1" applyAlignment="1">
      <alignment horizontal="center" vertical="center"/>
    </xf>
    <xf numFmtId="180" fontId="14" fillId="0" borderId="35" xfId="0" applyFont="1" applyBorder="1" applyAlignment="1">
      <alignment horizontal="center" vertical="center"/>
    </xf>
    <xf numFmtId="180" fontId="14" fillId="0" borderId="172" xfId="0" applyFont="1" applyBorder="1" applyAlignment="1">
      <alignment horizontal="center" vertical="center"/>
    </xf>
    <xf numFmtId="180" fontId="0" fillId="0" borderId="62" xfId="0" applyBorder="1">
      <alignment vertical="center"/>
    </xf>
    <xf numFmtId="180" fontId="0" fillId="0" borderId="155" xfId="0" applyBorder="1">
      <alignment vertical="center"/>
    </xf>
    <xf numFmtId="180" fontId="0" fillId="0" borderId="97" xfId="0" applyBorder="1">
      <alignment vertical="center"/>
    </xf>
    <xf numFmtId="180" fontId="0" fillId="0" borderId="156" xfId="0" applyBorder="1">
      <alignment vertical="center"/>
    </xf>
    <xf numFmtId="180" fontId="14" fillId="13" borderId="167" xfId="0" applyFont="1" applyFill="1" applyBorder="1" applyAlignment="1">
      <alignment horizontal="right" vertical="center"/>
    </xf>
    <xf numFmtId="180" fontId="14" fillId="8" borderId="169" xfId="0" applyFont="1" applyFill="1" applyBorder="1" applyAlignment="1">
      <alignment horizontal="right" vertical="center"/>
    </xf>
    <xf numFmtId="180" fontId="0" fillId="16" borderId="52" xfId="0" applyFill="1" applyBorder="1" applyAlignment="1">
      <alignment horizontal="center" vertical="center"/>
    </xf>
    <xf numFmtId="38" fontId="14" fillId="13" borderId="1" xfId="2" applyFont="1" applyFill="1" applyBorder="1">
      <alignment vertical="center"/>
    </xf>
    <xf numFmtId="38" fontId="14" fillId="4" borderId="7" xfId="2" applyFont="1" applyFill="1" applyBorder="1">
      <alignment vertical="center"/>
    </xf>
    <xf numFmtId="180" fontId="14" fillId="0" borderId="3" xfId="0" applyFont="1" applyBorder="1">
      <alignment vertical="center"/>
    </xf>
    <xf numFmtId="180" fontId="14" fillId="0" borderId="5" xfId="0" applyFont="1" applyBorder="1">
      <alignment vertical="center"/>
    </xf>
    <xf numFmtId="40" fontId="14" fillId="0" borderId="20" xfId="0" applyNumberFormat="1" applyFont="1" applyBorder="1" applyAlignment="1">
      <alignment horizontal="center" vertical="center"/>
    </xf>
    <xf numFmtId="180" fontId="14" fillId="4" borderId="3" xfId="0" applyFont="1" applyFill="1" applyBorder="1">
      <alignment vertical="center"/>
    </xf>
    <xf numFmtId="180" fontId="14" fillId="13" borderId="22" xfId="0" applyFont="1" applyFill="1" applyBorder="1">
      <alignment vertical="center"/>
    </xf>
    <xf numFmtId="180" fontId="0" fillId="3" borderId="7" xfId="0" applyFill="1" applyBorder="1" applyAlignment="1">
      <alignment horizontal="center" vertical="center"/>
    </xf>
    <xf numFmtId="40" fontId="14" fillId="0" borderId="1" xfId="0" applyNumberFormat="1" applyFont="1" applyBorder="1" applyAlignment="1">
      <alignment horizontal="right" vertical="center"/>
    </xf>
    <xf numFmtId="40" fontId="14" fillId="0" borderId="35" xfId="2" applyNumberFormat="1" applyFont="1" applyBorder="1">
      <alignment vertical="center"/>
    </xf>
    <xf numFmtId="40" fontId="14" fillId="0" borderId="83" xfId="2" applyNumberFormat="1" applyFont="1" applyBorder="1">
      <alignment vertical="center"/>
    </xf>
    <xf numFmtId="40" fontId="14" fillId="4" borderId="22" xfId="0" applyNumberFormat="1" applyFont="1" applyFill="1" applyBorder="1">
      <alignment vertical="center"/>
    </xf>
    <xf numFmtId="183" fontId="14" fillId="0" borderId="35" xfId="0" applyNumberFormat="1" applyFont="1" applyBorder="1">
      <alignment vertical="center"/>
    </xf>
    <xf numFmtId="183" fontId="14" fillId="0" borderId="52" xfId="0" applyNumberFormat="1" applyFont="1" applyBorder="1">
      <alignment vertical="center"/>
    </xf>
    <xf numFmtId="180" fontId="0" fillId="16" borderId="160" xfId="0" applyFill="1" applyBorder="1" applyAlignment="1">
      <alignment horizontal="center" vertical="center" wrapText="1"/>
    </xf>
    <xf numFmtId="180" fontId="0" fillId="16" borderId="151" xfId="0" applyFill="1" applyBorder="1" applyAlignment="1">
      <alignment horizontal="center" vertical="center"/>
    </xf>
    <xf numFmtId="180" fontId="0" fillId="16" borderId="247" xfId="0" applyFill="1" applyBorder="1" applyAlignment="1">
      <alignment horizontal="center" vertical="center"/>
    </xf>
    <xf numFmtId="183" fontId="14" fillId="0" borderId="248" xfId="0" applyNumberFormat="1" applyFont="1" applyBorder="1">
      <alignment vertical="center"/>
    </xf>
    <xf numFmtId="183" fontId="14" fillId="0" borderId="151" xfId="0" applyNumberFormat="1" applyFont="1" applyBorder="1">
      <alignment vertical="center"/>
    </xf>
    <xf numFmtId="183" fontId="14" fillId="0" borderId="152" xfId="0" applyNumberFormat="1" applyFont="1" applyBorder="1">
      <alignment vertical="center"/>
    </xf>
    <xf numFmtId="40" fontId="14" fillId="16" borderId="171" xfId="0" applyNumberFormat="1" applyFont="1" applyFill="1" applyBorder="1" applyAlignment="1">
      <alignment horizontal="center" vertical="center" shrinkToFit="1"/>
    </xf>
    <xf numFmtId="40" fontId="14" fillId="16" borderId="83" xfId="0" applyNumberFormat="1" applyFont="1" applyFill="1" applyBorder="1" applyAlignment="1">
      <alignment horizontal="center" vertical="center" shrinkToFit="1"/>
    </xf>
    <xf numFmtId="180" fontId="14" fillId="0" borderId="20" xfId="0" applyFont="1" applyBorder="1">
      <alignment vertical="center"/>
    </xf>
    <xf numFmtId="38" fontId="14" fillId="0" borderId="20" xfId="2" applyFont="1" applyBorder="1" applyAlignment="1">
      <alignment vertical="center"/>
    </xf>
    <xf numFmtId="180" fontId="14" fillId="16" borderId="232" xfId="0" applyFont="1" applyFill="1" applyBorder="1" applyAlignment="1">
      <alignment horizontal="center" vertical="center"/>
    </xf>
    <xf numFmtId="9" fontId="14" fillId="0" borderId="171" xfId="15" applyFont="1" applyFill="1" applyBorder="1" applyAlignment="1">
      <alignment horizontal="center" vertical="center"/>
    </xf>
    <xf numFmtId="0" fontId="14" fillId="16" borderId="169" xfId="5" applyFont="1" applyFill="1" applyBorder="1" applyAlignment="1">
      <alignment horizontal="center" vertical="center"/>
    </xf>
    <xf numFmtId="0" fontId="14" fillId="9" borderId="170" xfId="5" applyFont="1" applyFill="1" applyBorder="1" applyAlignment="1">
      <alignment horizontal="center" vertical="center"/>
    </xf>
    <xf numFmtId="222" fontId="14" fillId="0" borderId="35" xfId="0" applyNumberFormat="1" applyFont="1" applyBorder="1">
      <alignment vertical="center"/>
    </xf>
    <xf numFmtId="222" fontId="14" fillId="0" borderId="52" xfId="0" applyNumberFormat="1" applyFont="1" applyBorder="1">
      <alignment vertical="center"/>
    </xf>
    <xf numFmtId="40" fontId="14" fillId="0" borderId="17" xfId="0" applyNumberFormat="1" applyFont="1" applyBorder="1" applyAlignment="1">
      <alignment horizontal="center" vertical="center" shrinkToFit="1"/>
    </xf>
    <xf numFmtId="40" fontId="14" fillId="0" borderId="16" xfId="0" applyNumberFormat="1" applyFont="1" applyBorder="1" applyAlignment="1">
      <alignment horizontal="center" vertical="center" shrinkToFit="1"/>
    </xf>
    <xf numFmtId="40" fontId="14" fillId="0" borderId="23" xfId="0" applyNumberFormat="1" applyFont="1" applyBorder="1" applyAlignment="1">
      <alignment horizontal="center" vertical="center" shrinkToFit="1"/>
    </xf>
    <xf numFmtId="0" fontId="0" fillId="16" borderId="35" xfId="5" applyFont="1" applyFill="1" applyBorder="1" applyAlignment="1">
      <alignment horizontal="center" vertical="center"/>
    </xf>
    <xf numFmtId="0" fontId="0" fillId="3" borderId="52" xfId="5" applyFont="1" applyFill="1" applyBorder="1" applyAlignment="1">
      <alignment horizontal="center" vertical="center"/>
    </xf>
    <xf numFmtId="0" fontId="14" fillId="0" borderId="19" xfId="5" applyFont="1" applyBorder="1">
      <alignment vertical="center"/>
    </xf>
    <xf numFmtId="0" fontId="14" fillId="0" borderId="28" xfId="5" applyFont="1" applyBorder="1">
      <alignment vertical="center"/>
    </xf>
    <xf numFmtId="222" fontId="14" fillId="0" borderId="83" xfId="0" applyNumberFormat="1" applyFont="1" applyBorder="1">
      <alignment vertical="center"/>
    </xf>
    <xf numFmtId="0" fontId="14" fillId="6" borderId="14" xfId="5" applyFont="1" applyFill="1" applyBorder="1" applyAlignment="1">
      <alignment horizontal="center" vertical="center" shrinkToFit="1"/>
    </xf>
    <xf numFmtId="0" fontId="14" fillId="6" borderId="13" xfId="5" applyFont="1" applyFill="1" applyBorder="1" applyAlignment="1">
      <alignment horizontal="center" vertical="center" shrinkToFit="1"/>
    </xf>
    <xf numFmtId="0" fontId="14" fillId="6" borderId="15" xfId="5" applyFont="1" applyFill="1" applyBorder="1" applyAlignment="1">
      <alignment horizontal="center" vertical="center" shrinkToFit="1"/>
    </xf>
    <xf numFmtId="0" fontId="0" fillId="3" borderId="83" xfId="5" applyFont="1" applyFill="1" applyBorder="1" applyAlignment="1">
      <alignment horizontal="center" vertical="center"/>
    </xf>
    <xf numFmtId="40" fontId="14" fillId="0" borderId="39" xfId="0" applyNumberFormat="1" applyFont="1" applyBorder="1" applyAlignment="1">
      <alignment horizontal="center" vertical="center" shrinkToFit="1"/>
    </xf>
    <xf numFmtId="40" fontId="14" fillId="0" borderId="37" xfId="0" applyNumberFormat="1" applyFont="1" applyBorder="1" applyAlignment="1">
      <alignment horizontal="center" vertical="center" shrinkToFit="1"/>
    </xf>
    <xf numFmtId="40" fontId="14" fillId="0" borderId="38" xfId="0" applyNumberFormat="1" applyFont="1" applyBorder="1" applyAlignment="1">
      <alignment horizontal="center" vertical="center" shrinkToFit="1"/>
    </xf>
    <xf numFmtId="0" fontId="14" fillId="0" borderId="19" xfId="5" applyFont="1" applyBorder="1" applyAlignment="1">
      <alignment vertical="center" wrapText="1"/>
    </xf>
    <xf numFmtId="0" fontId="14" fillId="0" borderId="28" xfId="5" applyFont="1" applyBorder="1" applyAlignment="1">
      <alignment vertical="center" wrapText="1"/>
    </xf>
    <xf numFmtId="0" fontId="14" fillId="0" borderId="24" xfId="5" applyFont="1" applyBorder="1" applyAlignment="1">
      <alignment vertical="center" wrapText="1"/>
    </xf>
    <xf numFmtId="0" fontId="14" fillId="13" borderId="1" xfId="5" applyFont="1" applyFill="1" applyBorder="1">
      <alignment vertical="center"/>
    </xf>
    <xf numFmtId="0" fontId="14" fillId="4" borderId="7" xfId="5" applyFont="1" applyFill="1" applyBorder="1">
      <alignment vertical="center"/>
    </xf>
    <xf numFmtId="0" fontId="14" fillId="0" borderId="24" xfId="5" applyFont="1" applyBorder="1">
      <alignment vertical="center"/>
    </xf>
    <xf numFmtId="40" fontId="14" fillId="0" borderId="83" xfId="0" applyNumberFormat="1" applyFont="1" applyBorder="1" applyAlignment="1">
      <alignment horizontal="center" vertical="center"/>
    </xf>
    <xf numFmtId="0" fontId="14" fillId="4" borderId="22" xfId="5" applyFont="1" applyFill="1" applyBorder="1">
      <alignment vertical="center"/>
    </xf>
    <xf numFmtId="40" fontId="14" fillId="0" borderId="52" xfId="0" applyNumberFormat="1" applyFont="1" applyBorder="1" applyAlignment="1">
      <alignment horizontal="center" vertical="center"/>
    </xf>
    <xf numFmtId="0" fontId="14" fillId="0" borderId="19" xfId="5" applyFont="1" applyBorder="1" applyAlignment="1">
      <alignment vertical="center" wrapText="1" shrinkToFit="1"/>
    </xf>
    <xf numFmtId="0" fontId="14" fillId="0" borderId="24" xfId="5" applyFont="1" applyBorder="1" applyAlignment="1">
      <alignment vertical="center" wrapText="1" shrinkToFit="1"/>
    </xf>
    <xf numFmtId="0" fontId="12" fillId="16" borderId="1" xfId="5" applyFont="1" applyFill="1" applyBorder="1">
      <alignment vertical="center"/>
    </xf>
    <xf numFmtId="0" fontId="12" fillId="3" borderId="2" xfId="5" applyFont="1" applyFill="1" applyBorder="1">
      <alignment vertical="center"/>
    </xf>
    <xf numFmtId="0" fontId="12" fillId="3" borderId="19" xfId="5" applyFont="1" applyFill="1" applyBorder="1">
      <alignment vertical="center"/>
    </xf>
    <xf numFmtId="0" fontId="12" fillId="3" borderId="22" xfId="5" applyFont="1" applyFill="1" applyBorder="1">
      <alignment vertical="center"/>
    </xf>
    <xf numFmtId="0" fontId="12" fillId="3" borderId="0" xfId="5" applyFont="1" applyFill="1">
      <alignment vertical="center"/>
    </xf>
    <xf numFmtId="0" fontId="12" fillId="3" borderId="28" xfId="5" applyFont="1" applyFill="1" applyBorder="1">
      <alignment vertical="center"/>
    </xf>
    <xf numFmtId="0" fontId="12" fillId="3" borderId="7" xfId="5" applyFont="1" applyFill="1" applyBorder="1">
      <alignment vertical="center"/>
    </xf>
    <xf numFmtId="0" fontId="12" fillId="3" borderId="8" xfId="5" applyFont="1" applyFill="1" applyBorder="1">
      <alignment vertical="center"/>
    </xf>
    <xf numFmtId="0" fontId="12" fillId="3" borderId="24" xfId="5" applyFont="1" applyFill="1" applyBorder="1">
      <alignment vertical="center"/>
    </xf>
    <xf numFmtId="0" fontId="0" fillId="16" borderId="20" xfId="5" applyFont="1" applyFill="1" applyBorder="1" applyAlignment="1">
      <alignment horizontal="center" vertical="center" wrapText="1"/>
    </xf>
    <xf numFmtId="0" fontId="0" fillId="3" borderId="20" xfId="5" applyFont="1" applyFill="1" applyBorder="1" applyAlignment="1">
      <alignment horizontal="center" vertical="center" wrapText="1"/>
    </xf>
    <xf numFmtId="0" fontId="14" fillId="0" borderId="25" xfId="5" applyFont="1" applyBorder="1" applyAlignment="1">
      <alignment horizontal="center" vertical="center" shrinkToFit="1"/>
    </xf>
    <xf numFmtId="0" fontId="14" fillId="0" borderId="26" xfId="5" applyFont="1" applyBorder="1" applyAlignment="1">
      <alignment horizontal="center" vertical="center" shrinkToFit="1"/>
    </xf>
    <xf numFmtId="0" fontId="14" fillId="0" borderId="27" xfId="5" applyFont="1" applyBorder="1" applyAlignment="1">
      <alignment horizontal="center" vertical="center" shrinkToFit="1"/>
    </xf>
    <xf numFmtId="0" fontId="12" fillId="16" borderId="35" xfId="5" applyFont="1" applyFill="1" applyBorder="1">
      <alignment vertical="center"/>
    </xf>
    <xf numFmtId="0" fontId="12" fillId="3" borderId="83" xfId="5" applyFont="1" applyFill="1" applyBorder="1">
      <alignment vertical="center"/>
    </xf>
    <xf numFmtId="0" fontId="12" fillId="3" borderId="52" xfId="5" applyFont="1" applyFill="1" applyBorder="1">
      <alignment vertical="center"/>
    </xf>
    <xf numFmtId="0" fontId="12" fillId="16" borderId="1" xfId="5" applyFont="1" applyFill="1" applyBorder="1" applyAlignment="1">
      <alignment horizontal="center" vertical="center"/>
    </xf>
    <xf numFmtId="180" fontId="0" fillId="3" borderId="22" xfId="0" applyFill="1" applyBorder="1" applyAlignment="1">
      <alignment horizontal="center" vertical="center"/>
    </xf>
    <xf numFmtId="180" fontId="0" fillId="3" borderId="28" xfId="0" applyFill="1" applyBorder="1" applyAlignment="1">
      <alignment horizontal="center" vertical="center"/>
    </xf>
    <xf numFmtId="0" fontId="12" fillId="16" borderId="1" xfId="5" applyFont="1" applyFill="1" applyBorder="1" applyAlignment="1">
      <alignment horizontal="left" vertical="center"/>
    </xf>
    <xf numFmtId="0" fontId="12" fillId="3" borderId="194" xfId="5" applyFont="1" applyFill="1" applyBorder="1" applyAlignment="1">
      <alignment horizontal="left" vertical="center"/>
    </xf>
    <xf numFmtId="0" fontId="12" fillId="3" borderId="168" xfId="5" applyFont="1" applyFill="1" applyBorder="1" applyAlignment="1">
      <alignment horizontal="left" vertical="center"/>
    </xf>
    <xf numFmtId="0" fontId="12" fillId="3" borderId="22" xfId="5" applyFont="1" applyFill="1" applyBorder="1" applyAlignment="1">
      <alignment horizontal="left" vertical="center"/>
    </xf>
    <xf numFmtId="0" fontId="12" fillId="3" borderId="0" xfId="5" applyFont="1" applyFill="1" applyAlignment="1">
      <alignment horizontal="left" vertical="center"/>
    </xf>
    <xf numFmtId="0" fontId="12" fillId="3" borderId="163" xfId="5" applyFont="1" applyFill="1" applyBorder="1" applyAlignment="1">
      <alignment horizontal="left" vertical="center"/>
    </xf>
    <xf numFmtId="0" fontId="12" fillId="3" borderId="169" xfId="5" applyFont="1" applyFill="1" applyBorder="1" applyAlignment="1">
      <alignment horizontal="left" vertical="center"/>
    </xf>
    <xf numFmtId="0" fontId="12" fillId="3" borderId="183" xfId="5" applyFont="1" applyFill="1" applyBorder="1" applyAlignment="1">
      <alignment horizontal="left" vertical="center"/>
    </xf>
    <xf numFmtId="0" fontId="12" fillId="3" borderId="170" xfId="5" applyFont="1" applyFill="1" applyBorder="1" applyAlignment="1">
      <alignment horizontal="left" vertical="center"/>
    </xf>
    <xf numFmtId="180" fontId="0" fillId="3" borderId="2" xfId="0" applyFill="1" applyBorder="1">
      <alignment vertical="center"/>
    </xf>
    <xf numFmtId="180" fontId="0" fillId="3" borderId="19" xfId="0" applyFill="1" applyBorder="1">
      <alignment vertical="center"/>
    </xf>
    <xf numFmtId="180" fontId="0" fillId="3" borderId="22" xfId="0" applyFill="1" applyBorder="1">
      <alignment vertical="center"/>
    </xf>
    <xf numFmtId="180" fontId="0" fillId="3" borderId="0" xfId="0" applyFill="1">
      <alignment vertical="center"/>
    </xf>
    <xf numFmtId="180" fontId="0" fillId="3" borderId="28" xfId="0" applyFill="1" applyBorder="1">
      <alignment vertical="center"/>
    </xf>
    <xf numFmtId="180" fontId="0" fillId="3" borderId="7" xfId="0" applyFill="1" applyBorder="1">
      <alignment vertical="center"/>
    </xf>
    <xf numFmtId="180" fontId="0" fillId="3" borderId="8" xfId="0" applyFill="1" applyBorder="1">
      <alignment vertical="center"/>
    </xf>
    <xf numFmtId="180" fontId="0" fillId="3" borderId="24" xfId="0" applyFill="1" applyBorder="1">
      <alignment vertical="center"/>
    </xf>
    <xf numFmtId="0" fontId="10" fillId="16" borderId="35" xfId="5" applyFont="1" applyFill="1" applyBorder="1" applyAlignment="1">
      <alignment horizontal="center" vertical="center" textRotation="255" shrinkToFit="1"/>
    </xf>
    <xf numFmtId="0" fontId="10" fillId="9" borderId="83" xfId="5" applyFont="1" applyFill="1" applyBorder="1" applyAlignment="1">
      <alignment horizontal="center" vertical="center" textRotation="255" shrinkToFit="1"/>
    </xf>
    <xf numFmtId="0" fontId="10" fillId="9" borderId="52" xfId="5" applyFont="1" applyFill="1" applyBorder="1" applyAlignment="1">
      <alignment horizontal="center" vertical="center" textRotation="255" shrinkToFit="1"/>
    </xf>
    <xf numFmtId="0" fontId="12" fillId="3" borderId="2" xfId="5" applyFont="1" applyFill="1" applyBorder="1" applyAlignment="1">
      <alignment horizontal="left" vertical="center"/>
    </xf>
    <xf numFmtId="0" fontId="12" fillId="3" borderId="19" xfId="5" applyFont="1" applyFill="1" applyBorder="1" applyAlignment="1">
      <alignment horizontal="left" vertical="center"/>
    </xf>
    <xf numFmtId="0" fontId="43" fillId="0" borderId="22" xfId="8" applyBorder="1" applyAlignment="1">
      <alignment horizontal="left" vertical="center"/>
    </xf>
    <xf numFmtId="0" fontId="43" fillId="0" borderId="0" xfId="8" applyAlignment="1">
      <alignment horizontal="left" vertical="center"/>
    </xf>
    <xf numFmtId="0" fontId="43" fillId="0" borderId="163" xfId="8" applyBorder="1" applyAlignment="1">
      <alignment horizontal="left" vertical="center"/>
    </xf>
    <xf numFmtId="0" fontId="12" fillId="16" borderId="1" xfId="5" applyFont="1" applyFill="1" applyBorder="1" applyAlignment="1">
      <alignment horizontal="left" vertical="center" wrapText="1"/>
    </xf>
    <xf numFmtId="0" fontId="12" fillId="3" borderId="2" xfId="5" applyFont="1" applyFill="1" applyBorder="1" applyAlignment="1">
      <alignment horizontal="left" vertical="center" wrapText="1"/>
    </xf>
    <xf numFmtId="0" fontId="12" fillId="3" borderId="19" xfId="5" applyFont="1" applyFill="1" applyBorder="1" applyAlignment="1">
      <alignment horizontal="left" vertical="center" wrapText="1"/>
    </xf>
    <xf numFmtId="0" fontId="12" fillId="3" borderId="22" xfId="5" applyFont="1" applyFill="1" applyBorder="1" applyAlignment="1">
      <alignment horizontal="left" vertical="center" wrapText="1"/>
    </xf>
    <xf numFmtId="0" fontId="12" fillId="3" borderId="0" xfId="5" applyFont="1" applyFill="1" applyAlignment="1">
      <alignment horizontal="left" vertical="center" wrapText="1"/>
    </xf>
    <xf numFmtId="0" fontId="12" fillId="3" borderId="163" xfId="5" applyFont="1" applyFill="1" applyBorder="1" applyAlignment="1">
      <alignment horizontal="left" vertical="center" wrapText="1"/>
    </xf>
    <xf numFmtId="0" fontId="12" fillId="3" borderId="7" xfId="5" applyFont="1" applyFill="1" applyBorder="1" applyAlignment="1">
      <alignment horizontal="left" vertical="center" wrapText="1"/>
    </xf>
    <xf numFmtId="0" fontId="12" fillId="3" borderId="8" xfId="5" applyFont="1" applyFill="1" applyBorder="1" applyAlignment="1">
      <alignment horizontal="left" vertical="center" wrapText="1"/>
    </xf>
    <xf numFmtId="0" fontId="12" fillId="3" borderId="24" xfId="5" applyFont="1" applyFill="1" applyBorder="1" applyAlignment="1">
      <alignment horizontal="left" vertical="center" wrapText="1"/>
    </xf>
    <xf numFmtId="0" fontId="12" fillId="3" borderId="7" xfId="5" applyFont="1" applyFill="1" applyBorder="1" applyAlignment="1">
      <alignment horizontal="left" vertical="center"/>
    </xf>
    <xf numFmtId="0" fontId="12" fillId="3" borderId="8" xfId="5" applyFont="1" applyFill="1" applyBorder="1" applyAlignment="1">
      <alignment horizontal="left" vertical="center"/>
    </xf>
    <xf numFmtId="0" fontId="12" fillId="3" borderId="24" xfId="5" applyFont="1" applyFill="1" applyBorder="1" applyAlignment="1">
      <alignment horizontal="left" vertical="center"/>
    </xf>
    <xf numFmtId="0" fontId="12" fillId="16" borderId="1" xfId="5" applyFont="1" applyFill="1" applyBorder="1" applyAlignment="1">
      <alignment vertical="center" wrapText="1"/>
    </xf>
    <xf numFmtId="0" fontId="12" fillId="3" borderId="19" xfId="5" applyFont="1" applyFill="1" applyBorder="1" applyAlignment="1">
      <alignment vertical="center" wrapText="1"/>
    </xf>
    <xf numFmtId="0" fontId="12" fillId="3" borderId="22" xfId="5" applyFont="1" applyFill="1" applyBorder="1" applyAlignment="1">
      <alignment vertical="center" wrapText="1"/>
    </xf>
    <xf numFmtId="0" fontId="12" fillId="3" borderId="163" xfId="5" applyFont="1" applyFill="1" applyBorder="1" applyAlignment="1">
      <alignment vertical="center" wrapText="1"/>
    </xf>
    <xf numFmtId="0" fontId="12" fillId="3" borderId="7" xfId="5" applyFont="1" applyFill="1" applyBorder="1" applyAlignment="1">
      <alignment vertical="center" wrapText="1"/>
    </xf>
    <xf numFmtId="0" fontId="12" fillId="3" borderId="24" xfId="5" applyFont="1" applyFill="1" applyBorder="1" applyAlignment="1">
      <alignment vertical="center" wrapText="1"/>
    </xf>
    <xf numFmtId="0" fontId="12" fillId="16" borderId="1" xfId="5" applyFont="1" applyFill="1" applyBorder="1" applyAlignment="1">
      <alignment horizontal="center" vertical="center" wrapText="1"/>
    </xf>
    <xf numFmtId="0" fontId="12" fillId="3" borderId="2" xfId="5" applyFont="1" applyFill="1" applyBorder="1" applyAlignment="1">
      <alignment horizontal="center" vertical="center" wrapText="1"/>
    </xf>
    <xf numFmtId="0" fontId="12" fillId="3" borderId="22" xfId="5" applyFont="1" applyFill="1" applyBorder="1" applyAlignment="1">
      <alignment horizontal="center" vertical="center" wrapText="1"/>
    </xf>
    <xf numFmtId="0" fontId="12" fillId="3" borderId="0" xfId="5" applyFont="1" applyFill="1" applyAlignment="1">
      <alignment horizontal="center" vertical="center" wrapText="1"/>
    </xf>
    <xf numFmtId="0" fontId="12" fillId="3" borderId="7" xfId="5" applyFont="1" applyFill="1" applyBorder="1" applyAlignment="1">
      <alignment horizontal="center" vertical="center" wrapText="1"/>
    </xf>
    <xf numFmtId="0" fontId="12" fillId="3" borderId="8" xfId="5" applyFont="1" applyFill="1" applyBorder="1" applyAlignment="1">
      <alignment horizontal="center" vertical="center" wrapText="1"/>
    </xf>
    <xf numFmtId="38" fontId="14" fillId="13" borderId="110" xfId="2" applyFont="1" applyFill="1" applyBorder="1" applyAlignment="1">
      <alignment horizontal="center" vertical="center"/>
    </xf>
    <xf numFmtId="38" fontId="14" fillId="8" borderId="164" xfId="2" applyFont="1" applyFill="1" applyBorder="1" applyAlignment="1">
      <alignment horizontal="center" vertical="center"/>
    </xf>
    <xf numFmtId="0" fontId="12" fillId="3" borderId="163" xfId="5" applyFont="1" applyFill="1" applyBorder="1">
      <alignment vertical="center"/>
    </xf>
    <xf numFmtId="0" fontId="12" fillId="16" borderId="3" xfId="5" applyFont="1" applyFill="1" applyBorder="1">
      <alignment vertical="center"/>
    </xf>
    <xf numFmtId="0" fontId="12" fillId="3" borderId="4" xfId="5" applyFont="1" applyFill="1" applyBorder="1">
      <alignment vertical="center"/>
    </xf>
    <xf numFmtId="0" fontId="12" fillId="3" borderId="5" xfId="5" applyFont="1" applyFill="1" applyBorder="1">
      <alignment vertical="center"/>
    </xf>
    <xf numFmtId="0" fontId="12" fillId="3" borderId="3" xfId="5" applyFont="1" applyFill="1" applyBorder="1">
      <alignment vertical="center"/>
    </xf>
    <xf numFmtId="0" fontId="12" fillId="3" borderId="194" xfId="5" applyFont="1" applyFill="1" applyBorder="1" applyAlignment="1">
      <alignment horizontal="left" vertical="center" wrapText="1"/>
    </xf>
    <xf numFmtId="0" fontId="12" fillId="3" borderId="168" xfId="5" applyFont="1" applyFill="1" applyBorder="1" applyAlignment="1">
      <alignment horizontal="left" vertical="center" wrapText="1"/>
    </xf>
    <xf numFmtId="0" fontId="12" fillId="3" borderId="169" xfId="5" applyFont="1" applyFill="1" applyBorder="1" applyAlignment="1">
      <alignment horizontal="left" vertical="center" wrapText="1"/>
    </xf>
    <xf numFmtId="0" fontId="12" fillId="3" borderId="183" xfId="5" applyFont="1" applyFill="1" applyBorder="1" applyAlignment="1">
      <alignment horizontal="left" vertical="center" wrapText="1"/>
    </xf>
    <xf numFmtId="0" fontId="12" fillId="3" borderId="170" xfId="5" applyFont="1" applyFill="1" applyBorder="1" applyAlignment="1">
      <alignment horizontal="left" vertical="center" wrapText="1"/>
    </xf>
    <xf numFmtId="0" fontId="10" fillId="3" borderId="83" xfId="5" applyFont="1" applyFill="1" applyBorder="1" applyAlignment="1">
      <alignment horizontal="center" vertical="center" textRotation="255" shrinkToFit="1"/>
    </xf>
    <xf numFmtId="0" fontId="10" fillId="3" borderId="165" xfId="5" applyFont="1" applyFill="1" applyBorder="1" applyAlignment="1">
      <alignment horizontal="center" vertical="center" textRotation="255" shrinkToFit="1"/>
    </xf>
    <xf numFmtId="0" fontId="12" fillId="16" borderId="22" xfId="5" applyFont="1" applyFill="1" applyBorder="1" applyAlignment="1">
      <alignment horizontal="left" vertical="center"/>
    </xf>
    <xf numFmtId="0" fontId="0" fillId="16" borderId="83" xfId="5" applyFont="1" applyFill="1" applyBorder="1" applyAlignment="1">
      <alignment horizontal="center" vertical="center"/>
    </xf>
    <xf numFmtId="230" fontId="14" fillId="13" borderId="14" xfId="5" applyNumberFormat="1" applyFont="1" applyFill="1" applyBorder="1" applyAlignment="1">
      <alignment horizontal="center" vertical="center" shrinkToFit="1"/>
    </xf>
    <xf numFmtId="230" fontId="14" fillId="8" borderId="13" xfId="5" applyNumberFormat="1" applyFont="1" applyFill="1" applyBorder="1" applyAlignment="1">
      <alignment horizontal="center" vertical="center" shrinkToFit="1"/>
    </xf>
    <xf numFmtId="230" fontId="14" fillId="8" borderId="15" xfId="5" applyNumberFormat="1" applyFont="1" applyFill="1" applyBorder="1" applyAlignment="1">
      <alignment horizontal="center" vertical="center" shrinkToFit="1"/>
    </xf>
    <xf numFmtId="0" fontId="14" fillId="0" borderId="163" xfId="5" applyFont="1" applyBorder="1">
      <alignment vertical="center"/>
    </xf>
    <xf numFmtId="0" fontId="14" fillId="13" borderId="7" xfId="5" applyFont="1" applyFill="1" applyBorder="1">
      <alignment vertical="center"/>
    </xf>
    <xf numFmtId="40" fontId="14" fillId="0" borderId="35" xfId="8" applyNumberFormat="1" applyFont="1" applyBorder="1" applyAlignment="1">
      <alignment horizontal="center" vertical="center"/>
    </xf>
    <xf numFmtId="40" fontId="14" fillId="0" borderId="52" xfId="8" applyNumberFormat="1" applyFont="1" applyBorder="1" applyAlignment="1">
      <alignment horizontal="center" vertical="center"/>
    </xf>
    <xf numFmtId="0" fontId="10" fillId="16" borderId="35" xfId="5" applyFont="1" applyFill="1" applyBorder="1" applyAlignment="1">
      <alignment horizontal="center" vertical="center" wrapText="1"/>
    </xf>
    <xf numFmtId="0" fontId="10" fillId="3" borderId="83" xfId="5" applyFont="1" applyFill="1" applyBorder="1" applyAlignment="1">
      <alignment horizontal="center" vertical="center"/>
    </xf>
    <xf numFmtId="0" fontId="10" fillId="16" borderId="35" xfId="5" applyFont="1" applyFill="1" applyBorder="1" applyAlignment="1">
      <alignment horizontal="center" vertical="center"/>
    </xf>
    <xf numFmtId="0" fontId="10" fillId="16" borderId="2" xfId="5" applyFont="1" applyFill="1" applyBorder="1" applyAlignment="1">
      <alignment horizontal="center" vertical="center"/>
    </xf>
    <xf numFmtId="0" fontId="10" fillId="3" borderId="2" xfId="5" applyFont="1" applyFill="1" applyBorder="1" applyAlignment="1">
      <alignment horizontal="center" vertical="center"/>
    </xf>
    <xf numFmtId="0" fontId="10" fillId="3" borderId="0" xfId="5" applyFont="1" applyFill="1" applyAlignment="1">
      <alignment horizontal="center" vertical="center"/>
    </xf>
    <xf numFmtId="0" fontId="10" fillId="16" borderId="1" xfId="5" applyFont="1" applyFill="1" applyBorder="1" applyAlignment="1">
      <alignment horizontal="center" vertical="center"/>
    </xf>
    <xf numFmtId="0" fontId="10" fillId="3" borderId="19" xfId="5" applyFont="1" applyFill="1" applyBorder="1" applyAlignment="1">
      <alignment horizontal="center" vertical="center"/>
    </xf>
    <xf numFmtId="0" fontId="10" fillId="3" borderId="22" xfId="5" applyFont="1" applyFill="1" applyBorder="1" applyAlignment="1">
      <alignment horizontal="center" vertical="center"/>
    </xf>
    <xf numFmtId="0" fontId="10" fillId="3" borderId="28" xfId="5" applyFont="1" applyFill="1" applyBorder="1" applyAlignment="1">
      <alignment horizontal="center" vertical="center"/>
    </xf>
    <xf numFmtId="40" fontId="14" fillId="0" borderId="138" xfId="0" applyNumberFormat="1" applyFont="1" applyBorder="1" applyAlignment="1">
      <alignment horizontal="center" vertical="center" shrinkToFit="1"/>
    </xf>
    <xf numFmtId="40" fontId="14" fillId="0" borderId="139" xfId="0" applyNumberFormat="1" applyFont="1" applyBorder="1" applyAlignment="1">
      <alignment horizontal="center" vertical="center" shrinkToFit="1"/>
    </xf>
    <xf numFmtId="40" fontId="14" fillId="0" borderId="140" xfId="0" applyNumberFormat="1" applyFont="1" applyBorder="1" applyAlignment="1">
      <alignment horizontal="center" vertical="center" shrinkToFit="1"/>
    </xf>
    <xf numFmtId="0" fontId="14" fillId="6" borderId="47" xfId="5" applyFont="1" applyFill="1" applyBorder="1" applyAlignment="1">
      <alignment horizontal="center" vertical="center" shrinkToFit="1"/>
    </xf>
    <xf numFmtId="0" fontId="14" fillId="6" borderId="48" xfId="5" applyFont="1" applyFill="1" applyBorder="1" applyAlignment="1">
      <alignment horizontal="center" vertical="center" shrinkToFit="1"/>
    </xf>
    <xf numFmtId="0" fontId="14" fillId="6" borderId="49" xfId="5" applyFont="1" applyFill="1" applyBorder="1" applyAlignment="1">
      <alignment horizontal="center" vertical="center" shrinkToFit="1"/>
    </xf>
    <xf numFmtId="0" fontId="14" fillId="13" borderId="22" xfId="5" applyFont="1" applyFill="1" applyBorder="1">
      <alignment vertical="center"/>
    </xf>
    <xf numFmtId="205" fontId="14" fillId="13" borderId="14" xfId="5" applyNumberFormat="1" applyFont="1" applyFill="1" applyBorder="1" applyAlignment="1">
      <alignment horizontal="center" vertical="center" shrinkToFit="1"/>
    </xf>
    <xf numFmtId="205" fontId="14" fillId="4" borderId="13" xfId="5" applyNumberFormat="1" applyFont="1" applyFill="1" applyBorder="1" applyAlignment="1">
      <alignment horizontal="center" vertical="center" shrinkToFit="1"/>
    </xf>
    <xf numFmtId="205" fontId="14" fillId="4" borderId="15" xfId="5" applyNumberFormat="1" applyFont="1" applyFill="1" applyBorder="1" applyAlignment="1">
      <alignment horizontal="center" vertical="center" shrinkToFit="1"/>
    </xf>
    <xf numFmtId="0" fontId="0" fillId="9" borderId="52" xfId="5" applyFont="1" applyFill="1" applyBorder="1" applyAlignment="1">
      <alignment horizontal="center" vertical="center"/>
    </xf>
    <xf numFmtId="186" fontId="14" fillId="13" borderId="14" xfId="5" applyNumberFormat="1" applyFont="1" applyFill="1" applyBorder="1" applyAlignment="1">
      <alignment horizontal="center" vertical="center" shrinkToFit="1"/>
    </xf>
    <xf numFmtId="186" fontId="14" fillId="4" borderId="13" xfId="5" applyNumberFormat="1" applyFont="1" applyFill="1" applyBorder="1" applyAlignment="1">
      <alignment horizontal="center" vertical="center" shrinkToFit="1"/>
    </xf>
    <xf numFmtId="186" fontId="14" fillId="4" borderId="15" xfId="5" applyNumberFormat="1" applyFont="1" applyFill="1" applyBorder="1" applyAlignment="1">
      <alignment horizontal="center" vertical="center" shrinkToFit="1"/>
    </xf>
    <xf numFmtId="222" fontId="14" fillId="0" borderId="35" xfId="8" applyNumberFormat="1" applyFont="1" applyBorder="1">
      <alignment vertical="center"/>
    </xf>
    <xf numFmtId="222" fontId="14" fillId="0" borderId="83" xfId="8" applyNumberFormat="1" applyFont="1" applyBorder="1">
      <alignment vertical="center"/>
    </xf>
    <xf numFmtId="222" fontId="57" fillId="0" borderId="83" xfId="8" applyNumberFormat="1" applyFont="1" applyBorder="1">
      <alignment vertical="center"/>
    </xf>
    <xf numFmtId="222" fontId="14" fillId="0" borderId="52" xfId="8" applyNumberFormat="1" applyFont="1" applyBorder="1">
      <alignment vertical="center"/>
    </xf>
    <xf numFmtId="0" fontId="14" fillId="8" borderId="7" xfId="5" applyFont="1" applyFill="1" applyBorder="1">
      <alignment vertical="center"/>
    </xf>
    <xf numFmtId="0" fontId="14" fillId="0" borderId="19" xfId="5" applyFont="1" applyBorder="1" applyAlignment="1">
      <alignment vertical="center" shrinkToFit="1"/>
    </xf>
    <xf numFmtId="0" fontId="14" fillId="0" borderId="24" xfId="5" applyFont="1" applyBorder="1" applyAlignment="1">
      <alignment vertical="center" shrinkToFit="1"/>
    </xf>
    <xf numFmtId="40" fontId="14" fillId="0" borderId="17" xfId="8" applyNumberFormat="1" applyFont="1" applyBorder="1" applyAlignment="1">
      <alignment horizontal="center" vertical="center" shrinkToFit="1"/>
    </xf>
    <xf numFmtId="40" fontId="14" fillId="0" borderId="16" xfId="8" applyNumberFormat="1" applyFont="1" applyBorder="1" applyAlignment="1">
      <alignment horizontal="center" vertical="center" shrinkToFit="1"/>
    </xf>
    <xf numFmtId="40" fontId="14" fillId="0" borderId="23" xfId="8" applyNumberFormat="1" applyFont="1" applyBorder="1" applyAlignment="1">
      <alignment horizontal="center" vertical="center" shrinkToFit="1"/>
    </xf>
    <xf numFmtId="0" fontId="57" fillId="0" borderId="163" xfId="8" applyFont="1" applyBorder="1">
      <alignment vertical="center"/>
    </xf>
    <xf numFmtId="40" fontId="14" fillId="0" borderId="83" xfId="8" applyNumberFormat="1" applyFont="1" applyBorder="1" applyAlignment="1">
      <alignment horizontal="center" vertical="center"/>
    </xf>
    <xf numFmtId="0" fontId="57" fillId="0" borderId="83" xfId="8" applyFont="1" applyBorder="1">
      <alignment vertical="center"/>
    </xf>
    <xf numFmtId="0" fontId="12" fillId="16" borderId="22" xfId="5" applyFont="1" applyFill="1" applyBorder="1">
      <alignment vertical="center"/>
    </xf>
    <xf numFmtId="184" fontId="14" fillId="0" borderId="19" xfId="2" applyNumberFormat="1" applyFont="1" applyFill="1" applyBorder="1" applyAlignment="1">
      <alignment vertical="center"/>
    </xf>
    <xf numFmtId="184" fontId="14" fillId="0" borderId="24" xfId="2" applyNumberFormat="1" applyFont="1" applyFill="1" applyBorder="1" applyAlignment="1">
      <alignment vertical="center"/>
    </xf>
    <xf numFmtId="0" fontId="32" fillId="0" borderId="1" xfId="5" applyFont="1" applyBorder="1" applyAlignment="1">
      <alignment vertical="center" wrapText="1"/>
    </xf>
    <xf numFmtId="0" fontId="32" fillId="0" borderId="2" xfId="5" applyFont="1" applyBorder="1" applyAlignment="1">
      <alignment vertical="center" wrapText="1"/>
    </xf>
    <xf numFmtId="0" fontId="32" fillId="0" borderId="19" xfId="5" applyFont="1" applyBorder="1" applyAlignment="1">
      <alignment vertical="center" wrapText="1"/>
    </xf>
    <xf numFmtId="0" fontId="32" fillId="0" borderId="7" xfId="5" applyFont="1" applyBorder="1" applyAlignment="1">
      <alignment vertical="center" wrapText="1"/>
    </xf>
    <xf numFmtId="0" fontId="32" fillId="0" borderId="8" xfId="5" applyFont="1" applyBorder="1" applyAlignment="1">
      <alignment vertical="center" wrapText="1"/>
    </xf>
    <xf numFmtId="0" fontId="32" fillId="0" borderId="24" xfId="5" applyFont="1" applyBorder="1" applyAlignment="1">
      <alignment vertical="center" wrapText="1"/>
    </xf>
    <xf numFmtId="0" fontId="0" fillId="16" borderId="78" xfId="5" applyFont="1" applyFill="1" applyBorder="1" applyAlignment="1">
      <alignment horizontal="center" vertical="center"/>
    </xf>
    <xf numFmtId="0" fontId="0" fillId="3" borderId="79" xfId="5" applyFont="1" applyFill="1" applyBorder="1" applyAlignment="1">
      <alignment horizontal="center" vertical="center"/>
    </xf>
    <xf numFmtId="184" fontId="14" fillId="0" borderId="35" xfId="2" applyNumberFormat="1" applyFont="1" applyFill="1" applyBorder="1">
      <alignment vertical="center"/>
    </xf>
    <xf numFmtId="184" fontId="14" fillId="0" borderId="52" xfId="2" applyNumberFormat="1" applyFont="1" applyFill="1" applyBorder="1">
      <alignment vertical="center"/>
    </xf>
    <xf numFmtId="0" fontId="60" fillId="0" borderId="0" xfId="5" applyFont="1" applyAlignment="1">
      <alignment vertical="center" wrapText="1"/>
    </xf>
    <xf numFmtId="0" fontId="10" fillId="16" borderId="22" xfId="5" applyFont="1" applyFill="1" applyBorder="1" applyAlignment="1">
      <alignment horizontal="center" vertical="center" textRotation="255" shrinkToFit="1"/>
    </xf>
    <xf numFmtId="0" fontId="10" fillId="3" borderId="22" xfId="5" applyFont="1" applyFill="1" applyBorder="1" applyAlignment="1">
      <alignment horizontal="center" vertical="center" textRotation="255" shrinkToFit="1"/>
    </xf>
    <xf numFmtId="0" fontId="10" fillId="3" borderId="7" xfId="5" applyFont="1" applyFill="1" applyBorder="1" applyAlignment="1">
      <alignment horizontal="center" vertical="center" textRotation="255" shrinkToFit="1"/>
    </xf>
    <xf numFmtId="0" fontId="12" fillId="16" borderId="75" xfId="5" applyFont="1" applyFill="1" applyBorder="1" applyAlignment="1">
      <alignment horizontal="center" vertical="center" textRotation="255"/>
    </xf>
    <xf numFmtId="0" fontId="12" fillId="3" borderId="76" xfId="5" applyFont="1" applyFill="1" applyBorder="1" applyAlignment="1">
      <alignment horizontal="center" vertical="center" textRotation="255"/>
    </xf>
    <xf numFmtId="0" fontId="12" fillId="3" borderId="79" xfId="5" applyFont="1" applyFill="1" applyBorder="1" applyAlignment="1">
      <alignment horizontal="center" vertical="center" textRotation="255"/>
    </xf>
    <xf numFmtId="0" fontId="12" fillId="16" borderId="78" xfId="5" applyFont="1" applyFill="1" applyBorder="1" applyAlignment="1">
      <alignment horizontal="center" vertical="center" textRotation="255"/>
    </xf>
    <xf numFmtId="0" fontId="10" fillId="16" borderId="167" xfId="5" applyFont="1" applyFill="1" applyBorder="1" applyAlignment="1">
      <alignment horizontal="center" vertical="center"/>
    </xf>
    <xf numFmtId="0" fontId="10" fillId="16" borderId="182" xfId="5" applyFont="1" applyFill="1" applyBorder="1" applyAlignment="1">
      <alignment horizontal="center" vertical="center"/>
    </xf>
    <xf numFmtId="0" fontId="10" fillId="16" borderId="168" xfId="5" applyFont="1" applyFill="1" applyBorder="1" applyAlignment="1">
      <alignment horizontal="center" vertical="center"/>
    </xf>
    <xf numFmtId="0" fontId="10" fillId="16" borderId="169" xfId="5" applyFont="1" applyFill="1" applyBorder="1" applyAlignment="1">
      <alignment horizontal="center" vertical="center"/>
    </xf>
    <xf numFmtId="0" fontId="10" fillId="16" borderId="183" xfId="5" applyFont="1" applyFill="1" applyBorder="1" applyAlignment="1">
      <alignment horizontal="center" vertical="center"/>
    </xf>
    <xf numFmtId="0" fontId="10" fillId="16" borderId="170" xfId="5" applyFont="1" applyFill="1" applyBorder="1" applyAlignment="1">
      <alignment horizontal="center" vertical="center"/>
    </xf>
    <xf numFmtId="0" fontId="57" fillId="0" borderId="22" xfId="8" applyFont="1" applyBorder="1">
      <alignment vertical="center"/>
    </xf>
    <xf numFmtId="0" fontId="12" fillId="16" borderId="167" xfId="5" applyFont="1" applyFill="1" applyBorder="1" applyAlignment="1">
      <alignment horizontal="left" vertical="center"/>
    </xf>
    <xf numFmtId="180" fontId="22" fillId="16" borderId="1" xfId="0" applyFont="1" applyFill="1" applyBorder="1" applyAlignment="1">
      <alignment horizontal="center" vertical="center"/>
    </xf>
    <xf numFmtId="180" fontId="22" fillId="3" borderId="19" xfId="0" applyFont="1" applyFill="1" applyBorder="1" applyAlignment="1">
      <alignment horizontal="center" vertical="center"/>
    </xf>
    <xf numFmtId="180" fontId="22" fillId="3" borderId="22" xfId="0" applyFont="1" applyFill="1" applyBorder="1" applyAlignment="1">
      <alignment horizontal="center" vertical="center"/>
    </xf>
    <xf numFmtId="180" fontId="22" fillId="3" borderId="28" xfId="0" applyFont="1" applyFill="1" applyBorder="1" applyAlignment="1">
      <alignment horizontal="center" vertical="center"/>
    </xf>
    <xf numFmtId="180" fontId="22" fillId="16" borderId="35" xfId="0" applyFont="1" applyFill="1" applyBorder="1" applyAlignment="1">
      <alignment horizontal="center" vertical="center"/>
    </xf>
    <xf numFmtId="180" fontId="22" fillId="3" borderId="83" xfId="0" applyFont="1" applyFill="1" applyBorder="1" applyAlignment="1">
      <alignment horizontal="center" vertical="center"/>
    </xf>
    <xf numFmtId="180" fontId="22" fillId="3" borderId="52" xfId="0" applyFont="1" applyFill="1" applyBorder="1" applyAlignment="1">
      <alignment horizontal="center" vertical="center"/>
    </xf>
    <xf numFmtId="180" fontId="0" fillId="0" borderId="25" xfId="0" applyBorder="1" applyAlignment="1">
      <alignment horizontal="right" vertical="center"/>
    </xf>
    <xf numFmtId="180" fontId="0" fillId="0" borderId="27" xfId="0" applyBorder="1" applyAlignment="1">
      <alignment horizontal="right" vertical="center"/>
    </xf>
    <xf numFmtId="178" fontId="3" fillId="16" borderId="14" xfId="3" applyNumberFormat="1" applyFont="1" applyFill="1" applyBorder="1" applyAlignment="1">
      <alignment horizontal="center" vertical="center"/>
    </xf>
    <xf numFmtId="178" fontId="3" fillId="3" borderId="13" xfId="3" applyNumberFormat="1" applyFont="1" applyFill="1" applyBorder="1" applyAlignment="1">
      <alignment horizontal="center" vertical="center"/>
    </xf>
    <xf numFmtId="178" fontId="3" fillId="3" borderId="15" xfId="3" applyNumberFormat="1" applyFont="1" applyFill="1" applyBorder="1" applyAlignment="1">
      <alignment horizontal="center" vertical="center"/>
    </xf>
    <xf numFmtId="178" fontId="3" fillId="16" borderId="34" xfId="3" applyNumberFormat="1" applyFont="1" applyFill="1" applyBorder="1" applyAlignment="1">
      <alignment horizontal="center" vertical="center"/>
    </xf>
    <xf numFmtId="178" fontId="3" fillId="3" borderId="23" xfId="3" applyNumberFormat="1" applyFont="1" applyFill="1" applyBorder="1" applyAlignment="1">
      <alignment horizontal="center" vertical="center"/>
    </xf>
    <xf numFmtId="178" fontId="0" fillId="16" borderId="14" xfId="3" applyNumberFormat="1" applyFont="1" applyFill="1" applyBorder="1" applyAlignment="1">
      <alignment horizontal="center" vertical="center"/>
    </xf>
    <xf numFmtId="178" fontId="0" fillId="16" borderId="34" xfId="3" applyNumberFormat="1" applyFont="1" applyFill="1" applyBorder="1" applyAlignment="1">
      <alignment horizontal="center" vertical="center"/>
    </xf>
    <xf numFmtId="178" fontId="0" fillId="3" borderId="23" xfId="3" applyNumberFormat="1" applyFont="1" applyFill="1" applyBorder="1" applyAlignment="1">
      <alignment horizontal="center" vertical="center"/>
    </xf>
    <xf numFmtId="178" fontId="0" fillId="3" borderId="13" xfId="3" applyNumberFormat="1" applyFont="1" applyFill="1" applyBorder="1" applyAlignment="1">
      <alignment horizontal="center" vertical="center"/>
    </xf>
    <xf numFmtId="178" fontId="0" fillId="3" borderId="15" xfId="3" applyNumberFormat="1" applyFont="1" applyFill="1" applyBorder="1" applyAlignment="1">
      <alignment horizontal="center" vertical="center"/>
    </xf>
    <xf numFmtId="178" fontId="3" fillId="3" borderId="16" xfId="3" applyNumberFormat="1" applyFont="1" applyFill="1" applyBorder="1" applyAlignment="1">
      <alignment horizontal="center" vertical="center"/>
    </xf>
    <xf numFmtId="178" fontId="3" fillId="3" borderId="33" xfId="3" applyNumberFormat="1" applyFont="1" applyFill="1" applyBorder="1" applyAlignment="1">
      <alignment horizontal="center" vertical="center"/>
    </xf>
    <xf numFmtId="178" fontId="3" fillId="16" borderId="17" xfId="3" applyNumberFormat="1" applyFont="1" applyFill="1" applyBorder="1" applyAlignment="1">
      <alignment horizontal="center" vertical="center"/>
    </xf>
    <xf numFmtId="180" fontId="0" fillId="16" borderId="52" xfId="0" applyFill="1" applyBorder="1" applyAlignment="1">
      <alignment vertical="center" textRotation="255"/>
    </xf>
    <xf numFmtId="180" fontId="0" fillId="3" borderId="20" xfId="0" applyFill="1" applyBorder="1" applyAlignment="1">
      <alignment vertical="center" textRotation="255"/>
    </xf>
    <xf numFmtId="180" fontId="34" fillId="0" borderId="19" xfId="0" applyFont="1" applyBorder="1">
      <alignment vertical="center"/>
    </xf>
    <xf numFmtId="180" fontId="34" fillId="0" borderId="7" xfId="0" applyFont="1" applyBorder="1">
      <alignment vertical="center"/>
    </xf>
    <xf numFmtId="180" fontId="34" fillId="0" borderId="24" xfId="0" applyFont="1" applyBorder="1">
      <alignment vertical="center"/>
    </xf>
    <xf numFmtId="180" fontId="0" fillId="9" borderId="4" xfId="0" applyFill="1" applyBorder="1" applyAlignment="1">
      <alignment horizontal="center" vertical="center"/>
    </xf>
    <xf numFmtId="180" fontId="0" fillId="9" borderId="5" xfId="0" applyFill="1" applyBorder="1" applyAlignment="1">
      <alignment horizontal="center" vertical="center"/>
    </xf>
    <xf numFmtId="180" fontId="0" fillId="3" borderId="4" xfId="0" applyFill="1" applyBorder="1" applyAlignment="1">
      <alignment horizontal="center" vertical="center"/>
    </xf>
    <xf numFmtId="180" fontId="0" fillId="16" borderId="20" xfId="0" applyFill="1" applyBorder="1" applyAlignment="1">
      <alignment vertical="center" textRotation="255"/>
    </xf>
    <xf numFmtId="180" fontId="0" fillId="0" borderId="47" xfId="0" applyBorder="1" applyAlignment="1">
      <alignment horizontal="center" vertical="center"/>
    </xf>
    <xf numFmtId="180" fontId="0" fillId="0" borderId="49" xfId="0" applyBorder="1" applyAlignment="1">
      <alignment horizontal="center" vertical="center"/>
    </xf>
    <xf numFmtId="180" fontId="22" fillId="16" borderId="171" xfId="0" applyFont="1" applyFill="1" applyBorder="1" applyAlignment="1">
      <alignment horizontal="center" vertical="center"/>
    </xf>
    <xf numFmtId="180" fontId="22" fillId="3" borderId="172" xfId="0" applyFont="1" applyFill="1" applyBorder="1" applyAlignment="1">
      <alignment horizontal="center" vertical="center"/>
    </xf>
    <xf numFmtId="180" fontId="22" fillId="16" borderId="167" xfId="0" applyFont="1" applyFill="1" applyBorder="1" applyAlignment="1">
      <alignment horizontal="center" vertical="center"/>
    </xf>
    <xf numFmtId="180" fontId="22" fillId="3" borderId="168" xfId="0" applyFont="1" applyFill="1" applyBorder="1" applyAlignment="1">
      <alignment horizontal="center" vertical="center"/>
    </xf>
    <xf numFmtId="180" fontId="22" fillId="3" borderId="163" xfId="0" applyFont="1" applyFill="1" applyBorder="1" applyAlignment="1">
      <alignment horizontal="center" vertical="center"/>
    </xf>
    <xf numFmtId="180" fontId="0" fillId="16" borderId="173" xfId="0" applyFill="1" applyBorder="1" applyAlignment="1">
      <alignment horizontal="center" vertical="center"/>
    </xf>
    <xf numFmtId="180" fontId="0" fillId="9" borderId="174" xfId="0" applyFill="1" applyBorder="1" applyAlignment="1">
      <alignment horizontal="center" vertical="center"/>
    </xf>
    <xf numFmtId="180" fontId="0" fillId="9" borderId="175" xfId="0" applyFill="1" applyBorder="1" applyAlignment="1">
      <alignment horizontal="center" vertical="center"/>
    </xf>
    <xf numFmtId="180" fontId="0" fillId="16" borderId="169" xfId="0" applyFill="1" applyBorder="1" applyAlignment="1">
      <alignment horizontal="center" vertical="center"/>
    </xf>
    <xf numFmtId="180" fontId="0" fillId="3" borderId="170" xfId="0" applyFill="1" applyBorder="1" applyAlignment="1">
      <alignment horizontal="center" vertical="center"/>
    </xf>
    <xf numFmtId="180" fontId="0" fillId="3" borderId="174" xfId="0" applyFill="1" applyBorder="1" applyAlignment="1">
      <alignment horizontal="center" vertical="center"/>
    </xf>
    <xf numFmtId="180" fontId="0" fillId="3" borderId="175" xfId="0" applyFill="1" applyBorder="1" applyAlignment="1">
      <alignment horizontal="center" vertical="center"/>
    </xf>
    <xf numFmtId="0" fontId="0" fillId="16" borderId="47" xfId="3" applyFont="1" applyFill="1" applyBorder="1" applyAlignment="1">
      <alignment horizontal="center" vertical="center"/>
    </xf>
    <xf numFmtId="0" fontId="0" fillId="3" borderId="48" xfId="3" applyFont="1" applyFill="1" applyBorder="1" applyAlignment="1">
      <alignment horizontal="center" vertical="center"/>
    </xf>
    <xf numFmtId="0" fontId="0" fillId="3" borderId="49" xfId="3" applyFont="1" applyFill="1" applyBorder="1" applyAlignment="1">
      <alignment horizontal="center" vertical="center"/>
    </xf>
    <xf numFmtId="178" fontId="46" fillId="16" borderId="14" xfId="3" applyNumberFormat="1" applyFont="1" applyFill="1" applyBorder="1" applyAlignment="1">
      <alignment horizontal="center" vertical="center"/>
    </xf>
    <xf numFmtId="178" fontId="46" fillId="3" borderId="13" xfId="3" applyNumberFormat="1" applyFont="1" applyFill="1" applyBorder="1" applyAlignment="1">
      <alignment horizontal="center" vertical="center"/>
    </xf>
    <xf numFmtId="178" fontId="46" fillId="3" borderId="15" xfId="3" applyNumberFormat="1" applyFont="1" applyFill="1" applyBorder="1" applyAlignment="1">
      <alignment horizontal="center" vertical="center"/>
    </xf>
    <xf numFmtId="178" fontId="0" fillId="16" borderId="16" xfId="3" applyNumberFormat="1" applyFont="1" applyFill="1" applyBorder="1" applyAlignment="1">
      <alignment horizontal="center" vertical="center"/>
    </xf>
    <xf numFmtId="178" fontId="0" fillId="3" borderId="16" xfId="3" applyNumberFormat="1" applyFont="1" applyFill="1" applyBorder="1" applyAlignment="1">
      <alignment horizontal="center" vertical="center"/>
    </xf>
    <xf numFmtId="178" fontId="3" fillId="16" borderId="65" xfId="3" applyNumberFormat="1" applyFont="1" applyFill="1" applyBorder="1" applyAlignment="1">
      <alignment horizontal="center" vertical="center"/>
    </xf>
    <xf numFmtId="178" fontId="3" fillId="3" borderId="65" xfId="3" applyNumberFormat="1" applyFont="1" applyFill="1" applyBorder="1" applyAlignment="1">
      <alignment horizontal="center" vertical="center"/>
    </xf>
    <xf numFmtId="178" fontId="3" fillId="3" borderId="67" xfId="3" applyNumberFormat="1" applyFont="1" applyFill="1" applyBorder="1" applyAlignment="1">
      <alignment horizontal="center" vertical="center"/>
    </xf>
    <xf numFmtId="180" fontId="54" fillId="0" borderId="17" xfId="0" applyFont="1" applyBorder="1" applyAlignment="1">
      <alignment horizontal="center" vertical="center"/>
    </xf>
    <xf numFmtId="180" fontId="54" fillId="0" borderId="23" xfId="0" applyFont="1" applyBorder="1" applyAlignment="1">
      <alignment horizontal="center" vertical="center"/>
    </xf>
    <xf numFmtId="180" fontId="54" fillId="0" borderId="25" xfId="0" applyFont="1" applyBorder="1" applyAlignment="1">
      <alignment horizontal="center" vertical="center"/>
    </xf>
    <xf numFmtId="180" fontId="54" fillId="0" borderId="27" xfId="0" applyFont="1" applyBorder="1" applyAlignment="1">
      <alignment horizontal="center" vertical="center"/>
    </xf>
  </cellXfs>
  <cellStyles count="17">
    <cellStyle name="パーセント" xfId="15" builtinId="5"/>
    <cellStyle name="ハイパーリンク" xfId="1" builtinId="8"/>
    <cellStyle name="桁区切り" xfId="2" builtinId="6"/>
    <cellStyle name="桁区切り 2" xfId="9" xr:uid="{00000000-0005-0000-0000-000003000000}"/>
    <cellStyle name="桁区切り 2 2" xfId="10" xr:uid="{00000000-0005-0000-0000-000004000000}"/>
    <cellStyle name="標準" xfId="0" builtinId="0"/>
    <cellStyle name="標準 2" xfId="8" xr:uid="{00000000-0005-0000-0000-000006000000}"/>
    <cellStyle name="標準 3" xfId="11" xr:uid="{00000000-0005-0000-0000-000007000000}"/>
    <cellStyle name="標準 4" xfId="12" xr:uid="{00000000-0005-0000-0000-000008000000}"/>
    <cellStyle name="標準 5" xfId="13" xr:uid="{00000000-0005-0000-0000-000009000000}"/>
    <cellStyle name="標準 6" xfId="14" xr:uid="{00000000-0005-0000-0000-00000A000000}"/>
    <cellStyle name="標準 7" xfId="16" xr:uid="{00000000-0005-0000-0000-00000B000000}"/>
    <cellStyle name="標準_★★★設備ＤＢ" xfId="3" xr:uid="{00000000-0005-0000-0000-00000C000000}"/>
    <cellStyle name="標準_①21基準一般（試用版0-6.3） " xfId="4" xr:uid="{00000000-0005-0000-0000-00000D000000}"/>
    <cellStyle name="標準_③　設備" xfId="5" xr:uid="{00000000-0005-0000-0000-00000E000000}"/>
    <cellStyle name="標準_評価調書案（建具）" xfId="6" xr:uid="{00000000-0005-0000-0000-000010000000}"/>
    <cellStyle name="標準_不明確補助票" xfId="7" xr:uid="{00000000-0005-0000-0000-000011000000}"/>
  </cellStyles>
  <dxfs count="119">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indexed="10"/>
        </patternFill>
      </fill>
    </dxf>
    <dxf>
      <fill>
        <patternFill>
          <bgColor rgb="FFFFFF00"/>
        </patternFill>
      </fill>
    </dxf>
    <dxf>
      <font>
        <condense val="0"/>
        <extend val="0"/>
        <color indexed="9"/>
      </font>
      <fill>
        <patternFill>
          <bgColor indexed="10"/>
        </patternFill>
      </fill>
    </dxf>
    <dxf>
      <fill>
        <patternFill>
          <bgColor rgb="FFFFFF00"/>
        </patternFill>
      </fill>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FFCC"/>
      <color rgb="FFCCFFFF"/>
      <color rgb="FFFFFFA3"/>
      <color rgb="FFFFFF99"/>
      <color rgb="FFFFCC99"/>
      <color rgb="FFFFCCFF"/>
      <color rgb="FFCCFFCC"/>
      <color rgb="FFFF99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81\data\masui\02_&#40165;&#21462;&#30476;\00_&#35413;&#20385;&#35519;&#26360;&#26356;&#26032;&#20316;&#26989;\&#30476;&#21332;&#35696;&#24460;&#20462;&#27491;&#29256;240531\R6&#22522;&#28310;&#35519;&#26360;&#65288;&#36605;&#37444;&#20303;&#23429;&#65289;v060419&#65288;240410&#21332;&#35696;&#21453;&#26144;&#29256;&#65289;0529&#30476;&#12481;&#12455;&#12483;&#12463;&#28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URAKA~1\AppData\Local\Temp\notesC7A056\&#9670;H24&#22522;&#28310;&#35519;&#26360;&#31777;&#26131;&#29256;Ver.20121225_&#12486;&#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協議・報告事項"/>
      <sheetName val="変更メモ"/>
      <sheetName val="仮設工事補正検証"/>
      <sheetName val="変更点(案)について"/>
      <sheetName val="決議書"/>
      <sheetName val="決議書 "/>
      <sheetName val="コード表"/>
      <sheetName val="住所コードＤＢ"/>
      <sheetName val="調書"/>
      <sheetName val="基礎・屋根・外壁"/>
      <sheetName val="内壁・間仕切"/>
      <sheetName val="床・天井"/>
      <sheetName val="建具"/>
      <sheetName val="設備(個別)"/>
      <sheetName val="DB"/>
      <sheetName val="資料①R6 "/>
      <sheetName val="資料①R3"/>
      <sheetName val="資料①30"/>
      <sheetName val="資料①27"/>
      <sheetName val="資料①24"/>
      <sheetName val="資料②"/>
      <sheetName val="資料②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8">
          <cell r="AD8">
            <v>200</v>
          </cell>
        </row>
        <row r="9">
          <cell r="AC9">
            <v>3</v>
          </cell>
        </row>
        <row r="22">
          <cell r="N22" t="str">
            <v>階　　高</v>
          </cell>
          <cell r="W22" t="str">
            <v>施工の程度</v>
          </cell>
        </row>
        <row r="23">
          <cell r="E23" t="str">
            <v>ﾊﾟﾅｿﾆｯｸﾎｰﾑｽﾞ(ﾌｨｶｰｻ)「共住」天高2.388</v>
          </cell>
          <cell r="N23">
            <v>2.85</v>
          </cell>
          <cell r="P23">
            <v>1.05</v>
          </cell>
          <cell r="Q23" t="str">
            <v>－</v>
          </cell>
          <cell r="T23" t="str">
            <v>－</v>
          </cell>
          <cell r="W23" t="str">
            <v>普通</v>
          </cell>
          <cell r="Y23">
            <v>1</v>
          </cell>
        </row>
        <row r="24">
          <cell r="E24" t="str">
            <v>ﾊﾟﾅﾎｰﾑ(ｶｻｰﾄS・ｶｻｰﾄX)「戸建」天高2.488</v>
          </cell>
          <cell r="N24">
            <v>3</v>
          </cell>
          <cell r="P24">
            <v>1.1000000000000001</v>
          </cell>
          <cell r="Q24" t="str">
            <v>－</v>
          </cell>
          <cell r="T24" t="str">
            <v>－</v>
          </cell>
          <cell r="W24" t="str">
            <v>普通</v>
          </cell>
          <cell r="Y24">
            <v>1</v>
          </cell>
        </row>
        <row r="25">
          <cell r="E25" t="str">
            <v>ﾊﾟﾅﾎｰﾑ(ｶｻｰﾄS・ｶｻｰﾄX)「戸建」天高2.388</v>
          </cell>
          <cell r="N25">
            <v>2.85</v>
          </cell>
          <cell r="P25">
            <v>1.05</v>
          </cell>
          <cell r="Q25" t="str">
            <v>－</v>
          </cell>
          <cell r="T25" t="str">
            <v>－</v>
          </cell>
          <cell r="W25" t="str">
            <v>普通</v>
          </cell>
          <cell r="Y25">
            <v>1</v>
          </cell>
        </row>
        <row r="26">
          <cell r="E26" t="str">
            <v>ﾊﾟﾅﾎｰﾑ(ｶｻｰﾄS・ｶｻｰﾄX)「戸建」天高2.688</v>
          </cell>
          <cell r="N26">
            <v>3.2</v>
          </cell>
          <cell r="P26">
            <v>1.1599999999999999</v>
          </cell>
          <cell r="Q26" t="str">
            <v>－</v>
          </cell>
          <cell r="T26" t="str">
            <v>－</v>
          </cell>
          <cell r="W26" t="str">
            <v>普通</v>
          </cell>
          <cell r="Y26">
            <v>1</v>
          </cell>
        </row>
        <row r="27">
          <cell r="E27" t="str">
            <v>ﾊﾟﾅﾎｰﾑ(ﾌｫﾙﾃｨﾅX)「戸建」天高2.388</v>
          </cell>
          <cell r="N27">
            <v>2.94</v>
          </cell>
          <cell r="P27">
            <v>1.08</v>
          </cell>
          <cell r="Q27" t="str">
            <v>－</v>
          </cell>
          <cell r="T27" t="str">
            <v>－</v>
          </cell>
          <cell r="W27" t="str">
            <v>普通</v>
          </cell>
          <cell r="Y27">
            <v>1</v>
          </cell>
        </row>
        <row r="28">
          <cell r="E28" t="str">
            <v>ﾊﾟﾅﾎｰﾑ(ﾌｫﾙﾃｨﾅS)「戸建」天高2.445</v>
          </cell>
          <cell r="N28">
            <v>2.94</v>
          </cell>
          <cell r="P28">
            <v>1.08</v>
          </cell>
          <cell r="Q28" t="str">
            <v>－</v>
          </cell>
          <cell r="T28" t="str">
            <v>－</v>
          </cell>
          <cell r="W28" t="str">
            <v>普通</v>
          </cell>
          <cell r="Y28">
            <v>1</v>
          </cell>
        </row>
        <row r="29">
          <cell r="E29" t="str">
            <v>積水ﾊｳｽ(ｲｽﾞ)「戸建」天高2.47</v>
          </cell>
          <cell r="N29">
            <v>2.9620000000000002</v>
          </cell>
          <cell r="P29">
            <v>1.08</v>
          </cell>
          <cell r="Q29" t="str">
            <v>－</v>
          </cell>
          <cell r="T29" t="str">
            <v>－</v>
          </cell>
          <cell r="W29" t="str">
            <v>普通</v>
          </cell>
          <cell r="Y29">
            <v>1</v>
          </cell>
        </row>
        <row r="30">
          <cell r="E30" t="str">
            <v>積水ﾊｳｽ(ﾍﾞﾚｵC3)｢共住｣天高2.38</v>
          </cell>
          <cell r="N30">
            <v>2.9</v>
          </cell>
          <cell r="P30">
            <v>1.06</v>
          </cell>
          <cell r="Q30" t="str">
            <v>－</v>
          </cell>
          <cell r="T30" t="str">
            <v>－</v>
          </cell>
          <cell r="W30" t="str">
            <v>普通</v>
          </cell>
          <cell r="Y30">
            <v>1</v>
          </cell>
        </row>
        <row r="31">
          <cell r="E31" t="str">
            <v>ｾｷｽｲﾊｲﾑ(ﾊﾟﾙﾌｪ)「戸建」天高2.55</v>
          </cell>
          <cell r="N31">
            <v>2.98</v>
          </cell>
          <cell r="P31">
            <v>1.0900000000000001</v>
          </cell>
          <cell r="Q31" t="str">
            <v>－</v>
          </cell>
          <cell r="T31" t="str">
            <v>－</v>
          </cell>
          <cell r="W31" t="str">
            <v>普通</v>
          </cell>
          <cell r="Y31">
            <v>1</v>
          </cell>
        </row>
        <row r="32">
          <cell r="E32" t="str">
            <v>ｾｷｽｲﾊｲﾑ(ﾊﾟﾙﾌｪ)「戸建」天高2.40</v>
          </cell>
          <cell r="N32">
            <v>2.83</v>
          </cell>
          <cell r="P32">
            <v>1.04</v>
          </cell>
          <cell r="Q32" t="str">
            <v>－</v>
          </cell>
          <cell r="T32" t="str">
            <v>－</v>
          </cell>
          <cell r="W32" t="str">
            <v>普通</v>
          </cell>
          <cell r="Y32">
            <v>1</v>
          </cell>
        </row>
        <row r="33">
          <cell r="E33" t="str">
            <v>ﾀﾞｲﾜﾊｳｽ(Lifegenic)「戸建」天高2.4</v>
          </cell>
          <cell r="N33">
            <v>2.88</v>
          </cell>
          <cell r="P33">
            <v>1.06</v>
          </cell>
          <cell r="Q33" t="str">
            <v>－</v>
          </cell>
          <cell r="T33" t="str">
            <v>－</v>
          </cell>
          <cell r="W33" t="str">
            <v>普通</v>
          </cell>
          <cell r="Y33">
            <v>1</v>
          </cell>
        </row>
        <row r="34">
          <cell r="E34" t="str">
            <v>ﾀﾞｲﾜﾊｳｽ(Σ SC)「戸建」天高2.40</v>
          </cell>
          <cell r="N34">
            <v>2.88</v>
          </cell>
          <cell r="P34">
            <v>1.06</v>
          </cell>
          <cell r="Q34" t="str">
            <v>－</v>
          </cell>
          <cell r="T34" t="str">
            <v>－</v>
          </cell>
          <cell r="W34" t="str">
            <v>普通</v>
          </cell>
          <cell r="Y34">
            <v>1</v>
          </cell>
        </row>
        <row r="35">
          <cell r="E35" t="str">
            <v>ﾀﾞｲﾜﾊｳｽ(XevoΣ)「戸建」天高2.72</v>
          </cell>
          <cell r="N35">
            <v>3.2</v>
          </cell>
          <cell r="P35">
            <v>1.1599999999999999</v>
          </cell>
          <cell r="Q35" t="str">
            <v>－</v>
          </cell>
          <cell r="T35" t="str">
            <v>－</v>
          </cell>
          <cell r="W35" t="str">
            <v>普通</v>
          </cell>
          <cell r="Y35">
            <v>1</v>
          </cell>
        </row>
        <row r="36">
          <cell r="E36" t="str">
            <v>ﾀﾞｲﾜﾊｳｽ(skye3)「戸建」天高2.40</v>
          </cell>
          <cell r="N36">
            <v>2.88</v>
          </cell>
          <cell r="P36">
            <v>1.06</v>
          </cell>
          <cell r="Q36" t="str">
            <v>－</v>
          </cell>
          <cell r="T36" t="str">
            <v>－</v>
          </cell>
          <cell r="W36" t="str">
            <v>普通</v>
          </cell>
          <cell r="Y36">
            <v>1</v>
          </cell>
        </row>
        <row r="37">
          <cell r="E37" t="str">
            <v>ﾀﾞｲﾜﾊｳｽ(skye3)「戸建」天高2.72</v>
          </cell>
          <cell r="N37">
            <v>3.2</v>
          </cell>
          <cell r="P37">
            <v>1.1599999999999999</v>
          </cell>
          <cell r="Q37" t="str">
            <v>－</v>
          </cell>
          <cell r="T37" t="str">
            <v>－</v>
          </cell>
          <cell r="W37" t="str">
            <v>普通</v>
          </cell>
          <cell r="Y37">
            <v>1</v>
          </cell>
        </row>
        <row r="38">
          <cell r="E38" t="str">
            <v>ﾀﾞｲﾜﾊｳｽ(skye3)「戸建」天高2.24</v>
          </cell>
          <cell r="N38">
            <v>2.72</v>
          </cell>
          <cell r="P38">
            <v>1</v>
          </cell>
          <cell r="Q38" t="str">
            <v>－</v>
          </cell>
          <cell r="T38" t="str">
            <v>－</v>
          </cell>
          <cell r="W38" t="str">
            <v>普通</v>
          </cell>
          <cell r="Y38">
            <v>1</v>
          </cell>
        </row>
        <row r="39">
          <cell r="E39" t="str">
            <v>ﾀﾞｲﾜﾊｳｽ(skye)「戸建」天高2.40</v>
          </cell>
          <cell r="N39">
            <v>2.88</v>
          </cell>
          <cell r="P39">
            <v>1.06</v>
          </cell>
          <cell r="Q39" t="str">
            <v>－</v>
          </cell>
          <cell r="T39" t="str">
            <v>－</v>
          </cell>
          <cell r="W39" t="str">
            <v>普通</v>
          </cell>
          <cell r="Y39">
            <v>1</v>
          </cell>
        </row>
        <row r="40">
          <cell r="E40" t="str">
            <v>ﾀﾞｲﾜﾊｳｽ(skye)「戸建」天高2.72</v>
          </cell>
          <cell r="N40">
            <v>3.2</v>
          </cell>
          <cell r="P40">
            <v>1.1599999999999999</v>
          </cell>
          <cell r="Q40" t="str">
            <v>－</v>
          </cell>
          <cell r="T40" t="str">
            <v>－</v>
          </cell>
          <cell r="W40" t="str">
            <v>普通</v>
          </cell>
          <cell r="Y40">
            <v>1</v>
          </cell>
        </row>
        <row r="41">
          <cell r="E41" t="str">
            <v>ﾀﾞｲﾜﾊｳｽ(ﾄﾘｼｱ 2F 防火45)「共住」天高2.40</v>
          </cell>
          <cell r="N41">
            <v>2.85</v>
          </cell>
          <cell r="P41">
            <v>1.05</v>
          </cell>
          <cell r="Q41" t="str">
            <v>－</v>
          </cell>
          <cell r="T41" t="str">
            <v>－</v>
          </cell>
          <cell r="W41" t="str">
            <v>普通</v>
          </cell>
          <cell r="Y41">
            <v>1</v>
          </cell>
        </row>
        <row r="42">
          <cell r="E42" t="str">
            <v>ﾀﾞｲﾜﾊｳｽ(ﾄﾘｼｱ 2F 準耐45)「共住」天高2.40</v>
          </cell>
          <cell r="N42">
            <v>2.85</v>
          </cell>
          <cell r="P42">
            <v>1.05</v>
          </cell>
          <cell r="Q42" t="str">
            <v>－</v>
          </cell>
          <cell r="T42" t="str">
            <v>－</v>
          </cell>
          <cell r="W42" t="str">
            <v>普通</v>
          </cell>
          <cell r="Y42">
            <v>1</v>
          </cell>
        </row>
        <row r="43">
          <cell r="E43" t="str">
            <v>ﾀﾞｲﾜﾊｳｽ(ﾄﾘｼｱ 3F 準耐60)「共住」天高2.35</v>
          </cell>
          <cell r="N43">
            <v>2.8</v>
          </cell>
          <cell r="P43">
            <v>1.03</v>
          </cell>
          <cell r="Q43" t="str">
            <v>－</v>
          </cell>
          <cell r="T43" t="str">
            <v>－</v>
          </cell>
          <cell r="W43" t="str">
            <v>普通</v>
          </cell>
          <cell r="Y43">
            <v>1</v>
          </cell>
        </row>
        <row r="44">
          <cell r="E44" t="str">
            <v>ﾀﾞｲﾜﾊｳｽ(ﾄﾘｼｱ 3F 準耐60)「共住」天高2.40</v>
          </cell>
          <cell r="N44">
            <v>2.85</v>
          </cell>
          <cell r="P44">
            <v>1.05</v>
          </cell>
          <cell r="Q44" t="str">
            <v>－</v>
          </cell>
          <cell r="T44" t="str">
            <v>－</v>
          </cell>
          <cell r="W44" t="str">
            <v>普通</v>
          </cell>
          <cell r="Y44">
            <v>1</v>
          </cell>
        </row>
        <row r="45">
          <cell r="E45" t="str">
            <v>ﾀﾞｲﾜﾊｳｽ(ﾄﾘｼｱ 3F 耐火1h)「共住」天高2.35</v>
          </cell>
          <cell r="N45">
            <v>2.8</v>
          </cell>
          <cell r="P45">
            <v>1.03</v>
          </cell>
          <cell r="Q45" t="str">
            <v>－</v>
          </cell>
          <cell r="T45" t="str">
            <v>－</v>
          </cell>
          <cell r="W45" t="str">
            <v>普通</v>
          </cell>
          <cell r="Y45">
            <v>1</v>
          </cell>
        </row>
        <row r="46">
          <cell r="E46" t="str">
            <v>ﾀﾞｲﾜﾊｳｽ(ﾄﾘｼｱ 3F 耐火1h)「共住」天高2.40</v>
          </cell>
          <cell r="N46">
            <v>2.85</v>
          </cell>
          <cell r="P46">
            <v>1.05</v>
          </cell>
          <cell r="Q46" t="str">
            <v>－</v>
          </cell>
          <cell r="T46" t="str">
            <v>－</v>
          </cell>
          <cell r="W46" t="str">
            <v>普通</v>
          </cell>
          <cell r="Y46">
            <v>1</v>
          </cell>
        </row>
        <row r="47">
          <cell r="E47" t="str">
            <v>（追加入力１）</v>
          </cell>
          <cell r="P47">
            <v>0.1</v>
          </cell>
          <cell r="Q47" t="str">
            <v>－</v>
          </cell>
          <cell r="T47" t="str">
            <v>－</v>
          </cell>
          <cell r="Y47" t="e">
            <v>#N/A</v>
          </cell>
        </row>
        <row r="48">
          <cell r="E48" t="str">
            <v>（追加入力２）</v>
          </cell>
          <cell r="P48">
            <v>0.1</v>
          </cell>
          <cell r="Q48" t="str">
            <v>－</v>
          </cell>
          <cell r="T48" t="str">
            <v>－</v>
          </cell>
          <cell r="Y48" t="e">
            <v>#N/A</v>
          </cell>
        </row>
        <row r="49">
          <cell r="E49" t="str">
            <v>ﾊﾟﾅｿﾆｯｸﾎｰﾑｽﾞ(ｴﾙﾒｿﾞﾝ ﾌｨｶｰｻ)「共住」天高2.388</v>
          </cell>
          <cell r="N49">
            <v>2.85</v>
          </cell>
          <cell r="P49">
            <v>1.05</v>
          </cell>
          <cell r="Q49" t="str">
            <v>－</v>
          </cell>
          <cell r="T49" t="str">
            <v>大</v>
          </cell>
          <cell r="V49">
            <v>1.2</v>
          </cell>
          <cell r="W49" t="str">
            <v>普通</v>
          </cell>
          <cell r="Y49">
            <v>1</v>
          </cell>
        </row>
        <row r="50">
          <cell r="E50" t="str">
            <v>ﾊﾟﾅﾎｰﾑ(ｶｻｰﾄS)天高2.488</v>
          </cell>
          <cell r="N50">
            <v>3</v>
          </cell>
          <cell r="P50">
            <v>1.1000000000000001</v>
          </cell>
          <cell r="Q50" t="str">
            <v>－</v>
          </cell>
          <cell r="T50" t="str">
            <v>大</v>
          </cell>
          <cell r="V50">
            <v>1.2</v>
          </cell>
          <cell r="W50" t="str">
            <v>普通</v>
          </cell>
          <cell r="Y50">
            <v>1</v>
          </cell>
        </row>
        <row r="51">
          <cell r="E51" t="str">
            <v>ﾊﾟﾅﾎｰﾑ(ｶｻｰﾄS)天高2.388</v>
          </cell>
          <cell r="N51">
            <v>2.85</v>
          </cell>
          <cell r="P51">
            <v>1.05</v>
          </cell>
          <cell r="Q51" t="str">
            <v>－</v>
          </cell>
          <cell r="T51" t="str">
            <v>大</v>
          </cell>
          <cell r="V51">
            <v>1.2</v>
          </cell>
          <cell r="W51" t="str">
            <v>普通</v>
          </cell>
          <cell r="Y51">
            <v>1</v>
          </cell>
        </row>
        <row r="52">
          <cell r="E52" t="str">
            <v>ﾊﾟﾅﾎｰﾑ(ｶｻｰﾄS)天高2.688</v>
          </cell>
          <cell r="N52">
            <v>3.2</v>
          </cell>
          <cell r="P52">
            <v>1.1599999999999999</v>
          </cell>
          <cell r="Q52" t="str">
            <v>－</v>
          </cell>
          <cell r="T52" t="str">
            <v>大</v>
          </cell>
          <cell r="V52">
            <v>1.2</v>
          </cell>
          <cell r="W52" t="str">
            <v>普通</v>
          </cell>
          <cell r="Y52">
            <v>1</v>
          </cell>
        </row>
        <row r="53">
          <cell r="E53" t="str">
            <v>ﾊﾟﾅﾎｰﾑ(ｶｻｰﾄC)天高2.445</v>
          </cell>
          <cell r="N53">
            <v>2.94</v>
          </cell>
          <cell r="P53">
            <v>1.08</v>
          </cell>
          <cell r="Q53" t="str">
            <v>－</v>
          </cell>
          <cell r="T53" t="str">
            <v>普通</v>
          </cell>
          <cell r="V53">
            <v>1</v>
          </cell>
          <cell r="W53" t="str">
            <v>普通</v>
          </cell>
          <cell r="Y53">
            <v>1</v>
          </cell>
        </row>
        <row r="54">
          <cell r="E54" t="str">
            <v>積水ﾊｳｽ(ｲｽﾞﾛｲｴ)天高2.47</v>
          </cell>
          <cell r="N54">
            <v>2.9620000000000002</v>
          </cell>
          <cell r="P54">
            <v>1.08</v>
          </cell>
          <cell r="Q54" t="str">
            <v>－</v>
          </cell>
          <cell r="T54" t="str">
            <v>大</v>
          </cell>
          <cell r="V54">
            <v>1.2</v>
          </cell>
          <cell r="W54" t="str">
            <v>普通</v>
          </cell>
          <cell r="Y54">
            <v>1</v>
          </cell>
        </row>
        <row r="55">
          <cell r="E55" t="str">
            <v>積水ﾊｳｽ(ﾌﾟﾛﾇｰﾌﾟ)｢共住｣天高2.41</v>
          </cell>
          <cell r="N55">
            <v>2.9620000000000002</v>
          </cell>
          <cell r="P55">
            <v>1.08</v>
          </cell>
          <cell r="Q55" t="str">
            <v>－</v>
          </cell>
          <cell r="T55" t="str">
            <v>大</v>
          </cell>
          <cell r="V55">
            <v>1.2</v>
          </cell>
          <cell r="W55" t="str">
            <v>普通</v>
          </cell>
          <cell r="Y55">
            <v>1</v>
          </cell>
        </row>
        <row r="56">
          <cell r="E56" t="str">
            <v>ｾｷｽｲﾊｲﾑ(ﾊﾟﾙﾌｪ)天高2,55</v>
          </cell>
          <cell r="N56">
            <v>2.98</v>
          </cell>
          <cell r="P56">
            <v>1.0900000000000001</v>
          </cell>
          <cell r="Q56" t="str">
            <v>－</v>
          </cell>
          <cell r="T56" t="str">
            <v>普通</v>
          </cell>
          <cell r="V56">
            <v>1</v>
          </cell>
          <cell r="W56" t="str">
            <v>普通</v>
          </cell>
          <cell r="Y56">
            <v>1</v>
          </cell>
        </row>
        <row r="57">
          <cell r="E57" t="str">
            <v>ｾｷｽｲﾊｲﾑ(ﾊﾟﾙﾌｪ)天高2.40</v>
          </cell>
          <cell r="N57">
            <v>2.83</v>
          </cell>
          <cell r="P57">
            <v>1.04</v>
          </cell>
          <cell r="Q57" t="str">
            <v>－</v>
          </cell>
          <cell r="T57" t="str">
            <v>普通</v>
          </cell>
          <cell r="V57">
            <v>1</v>
          </cell>
          <cell r="W57" t="str">
            <v>普通</v>
          </cell>
          <cell r="Y57">
            <v>1</v>
          </cell>
        </row>
        <row r="58">
          <cell r="E58" t="str">
            <v>ﾀﾞｲﾜﾊｳｽ(XevoB、XevoLIMITED)天高2.4</v>
          </cell>
          <cell r="N58">
            <v>2.85</v>
          </cell>
          <cell r="P58">
            <v>1.05</v>
          </cell>
          <cell r="Q58" t="str">
            <v>－</v>
          </cell>
          <cell r="T58" t="str">
            <v>普通</v>
          </cell>
          <cell r="V58">
            <v>1</v>
          </cell>
          <cell r="W58" t="str">
            <v>普通</v>
          </cell>
          <cell r="Y58">
            <v>1</v>
          </cell>
        </row>
        <row r="59">
          <cell r="E59" t="str">
            <v>ﾀﾞｲﾜﾊｳｽ(XevoB、XevoLIMITED)天高2.6</v>
          </cell>
          <cell r="N59">
            <v>3.05</v>
          </cell>
          <cell r="P59">
            <v>1.1100000000000001</v>
          </cell>
          <cell r="Q59" t="str">
            <v>－</v>
          </cell>
          <cell r="T59" t="str">
            <v>普通</v>
          </cell>
          <cell r="V59">
            <v>1</v>
          </cell>
          <cell r="W59" t="str">
            <v>普通</v>
          </cell>
          <cell r="Y59">
            <v>1</v>
          </cell>
        </row>
        <row r="60">
          <cell r="E60" t="str">
            <v>ﾀﾞｲﾜﾊｳｽ(XevoADVANCE･Lifegenic)天高2.4</v>
          </cell>
          <cell r="N60">
            <v>2.88</v>
          </cell>
          <cell r="P60">
            <v>1.06</v>
          </cell>
          <cell r="Q60" t="str">
            <v>－</v>
          </cell>
          <cell r="T60" t="str">
            <v>普通</v>
          </cell>
          <cell r="V60">
            <v>1</v>
          </cell>
          <cell r="W60" t="str">
            <v>普通</v>
          </cell>
          <cell r="Y60">
            <v>1</v>
          </cell>
        </row>
        <row r="61">
          <cell r="E61" t="str">
            <v>ﾀﾞｲﾜﾊｳｽ(XevoΣ)天高2.4</v>
          </cell>
          <cell r="N61">
            <v>2.88</v>
          </cell>
          <cell r="P61">
            <v>1.06</v>
          </cell>
          <cell r="Q61" t="str">
            <v>－</v>
          </cell>
          <cell r="T61" t="str">
            <v>普通</v>
          </cell>
          <cell r="V61">
            <v>1</v>
          </cell>
          <cell r="W61" t="str">
            <v>普通</v>
          </cell>
          <cell r="Y61">
            <v>1</v>
          </cell>
        </row>
        <row r="62">
          <cell r="E62" t="str">
            <v>ﾀﾞｲﾜﾊｳｽ(XevoΣ)天高2.72</v>
          </cell>
          <cell r="N62">
            <v>3.2</v>
          </cell>
          <cell r="P62">
            <v>1.1599999999999999</v>
          </cell>
          <cell r="Q62" t="str">
            <v>－</v>
          </cell>
          <cell r="T62" t="str">
            <v>普通</v>
          </cell>
          <cell r="V62">
            <v>1</v>
          </cell>
          <cell r="W62" t="str">
            <v>普通</v>
          </cell>
          <cell r="Y62">
            <v>1</v>
          </cell>
        </row>
        <row r="63">
          <cell r="E63" t="str">
            <v>ﾀﾞｲﾜﾊｳｽ(ｾｼﾞｭｰﾙｳｨｯﾄJ､K,R)「共住」天高2.4</v>
          </cell>
          <cell r="N63">
            <v>2.85</v>
          </cell>
          <cell r="P63">
            <v>1.05</v>
          </cell>
          <cell r="Q63" t="str">
            <v>－</v>
          </cell>
          <cell r="T63" t="str">
            <v>大</v>
          </cell>
          <cell r="V63">
            <v>1.2</v>
          </cell>
          <cell r="W63" t="str">
            <v>普通</v>
          </cell>
          <cell r="Y63">
            <v>1</v>
          </cell>
        </row>
        <row r="64">
          <cell r="E64" t="str">
            <v>ﾀﾞｲﾜﾊｳｽ(ｾｼﾞｭｰﾙｳｨｯﾄM)「共住」天高2.4</v>
          </cell>
          <cell r="N64">
            <v>2.85</v>
          </cell>
          <cell r="P64">
            <v>1.05</v>
          </cell>
          <cell r="Q64" t="str">
            <v>－</v>
          </cell>
          <cell r="T64" t="str">
            <v>大</v>
          </cell>
          <cell r="V64">
            <v>1.2</v>
          </cell>
          <cell r="W64" t="str">
            <v>普通</v>
          </cell>
          <cell r="Y64">
            <v>1</v>
          </cell>
        </row>
        <row r="65">
          <cell r="E65" t="str">
            <v>ﾀﾞｲﾜﾊｳｽ(ｾｼﾞｭｰﾙｵｯﾂK,R)「共住」</v>
          </cell>
          <cell r="P65">
            <v>0.1</v>
          </cell>
          <cell r="Q65" t="str">
            <v>－</v>
          </cell>
          <cell r="T65" t="str">
            <v>大</v>
          </cell>
          <cell r="V65">
            <v>1.2</v>
          </cell>
          <cell r="W65" t="str">
            <v>普通</v>
          </cell>
          <cell r="Y65">
            <v>1</v>
          </cell>
        </row>
        <row r="66">
          <cell r="E66" t="str">
            <v>（追加入力１）</v>
          </cell>
          <cell r="P66">
            <v>0.1</v>
          </cell>
          <cell r="Q66" t="str">
            <v>－</v>
          </cell>
        </row>
        <row r="67">
          <cell r="E67" t="str">
            <v>（追加入力２）</v>
          </cell>
          <cell r="P67">
            <v>0.1</v>
          </cell>
          <cell r="Q67" t="str">
            <v>－</v>
          </cell>
        </row>
        <row r="68">
          <cell r="E68" t="str">
            <v>ﾊﾟﾅﾎｰﾑ(ｴﾙﾒｿﾞﾝ ﾌｨｶｰｻ)「共住」天高2.388</v>
          </cell>
          <cell r="N68">
            <v>2.85</v>
          </cell>
          <cell r="P68">
            <v>1.05</v>
          </cell>
          <cell r="Q68" t="str">
            <v>－</v>
          </cell>
          <cell r="T68" t="str">
            <v>大</v>
          </cell>
          <cell r="V68">
            <v>1.2</v>
          </cell>
          <cell r="W68" t="str">
            <v>普通</v>
          </cell>
          <cell r="Y68">
            <v>1</v>
          </cell>
        </row>
        <row r="69">
          <cell r="E69" t="str">
            <v>ﾊﾟﾅﾎｰﾑ(ｶｻｰﾄS)天高2.488</v>
          </cell>
          <cell r="N69">
            <v>3</v>
          </cell>
          <cell r="P69">
            <v>1.1000000000000001</v>
          </cell>
          <cell r="Q69" t="str">
            <v>－</v>
          </cell>
          <cell r="T69" t="str">
            <v>大</v>
          </cell>
          <cell r="V69">
            <v>1.2</v>
          </cell>
          <cell r="W69" t="str">
            <v>普通</v>
          </cell>
          <cell r="Y69">
            <v>1</v>
          </cell>
        </row>
        <row r="70">
          <cell r="E70" t="str">
            <v>ﾊﾟﾅﾎｰﾑ(ｶｻｰﾄS)天高2.388</v>
          </cell>
          <cell r="N70">
            <v>2.85</v>
          </cell>
          <cell r="P70">
            <v>1.05</v>
          </cell>
          <cell r="Q70" t="str">
            <v>－</v>
          </cell>
          <cell r="T70" t="str">
            <v>大</v>
          </cell>
          <cell r="V70">
            <v>1.2</v>
          </cell>
          <cell r="W70" t="str">
            <v>普通</v>
          </cell>
          <cell r="Y70">
            <v>1</v>
          </cell>
        </row>
        <row r="71">
          <cell r="E71" t="str">
            <v>ﾊﾟﾅﾎｰﾑ(ｶｻｰﾄS)天高2.238</v>
          </cell>
          <cell r="N71">
            <v>2.7</v>
          </cell>
          <cell r="P71">
            <v>1</v>
          </cell>
          <cell r="Q71" t="str">
            <v>－</v>
          </cell>
          <cell r="T71" t="str">
            <v>大</v>
          </cell>
          <cell r="V71">
            <v>1.2</v>
          </cell>
          <cell r="W71" t="str">
            <v>普通</v>
          </cell>
          <cell r="Y71">
            <v>1</v>
          </cell>
        </row>
        <row r="72">
          <cell r="E72" t="str">
            <v>ﾊﾟﾅﾎｰﾑ(ｶｻｰﾄC)天高2.445</v>
          </cell>
          <cell r="N72">
            <v>2.94</v>
          </cell>
          <cell r="P72">
            <v>1.08</v>
          </cell>
          <cell r="Q72" t="str">
            <v>－</v>
          </cell>
          <cell r="T72" t="str">
            <v>普通</v>
          </cell>
          <cell r="V72">
            <v>1</v>
          </cell>
          <cell r="W72" t="str">
            <v>普通</v>
          </cell>
          <cell r="Y72">
            <v>1</v>
          </cell>
        </row>
        <row r="73">
          <cell r="E73" t="str">
            <v>積水ﾊｳｽ(ｲｽﾞﾛｲｴ)天高2.5</v>
          </cell>
          <cell r="N73">
            <v>2.9620000000000002</v>
          </cell>
          <cell r="P73">
            <v>1.08</v>
          </cell>
          <cell r="Q73" t="str">
            <v>－</v>
          </cell>
          <cell r="T73" t="str">
            <v>大</v>
          </cell>
          <cell r="V73">
            <v>1.2</v>
          </cell>
          <cell r="W73" t="str">
            <v>普通</v>
          </cell>
          <cell r="Y73">
            <v>1</v>
          </cell>
        </row>
        <row r="74">
          <cell r="E74" t="str">
            <v>積水ﾊｳｽ(ﾌﾟﾛﾇｰﾌﾟ)｢共住｣天高2.41</v>
          </cell>
          <cell r="N74">
            <v>2.9620000000000002</v>
          </cell>
          <cell r="P74">
            <v>1.08</v>
          </cell>
          <cell r="Q74" t="str">
            <v>－</v>
          </cell>
          <cell r="T74" t="str">
            <v>大</v>
          </cell>
          <cell r="V74">
            <v>1.2</v>
          </cell>
          <cell r="W74" t="str">
            <v>普通</v>
          </cell>
          <cell r="Y74">
            <v>1</v>
          </cell>
        </row>
        <row r="75">
          <cell r="E75" t="str">
            <v>ｾｷｽｲﾊｲﾑ(ﾊﾟﾙﾌｪ)天高2,55</v>
          </cell>
          <cell r="N75">
            <v>2.98</v>
          </cell>
          <cell r="P75">
            <v>1.0900000000000001</v>
          </cell>
          <cell r="Q75" t="str">
            <v>－</v>
          </cell>
          <cell r="T75" t="str">
            <v>普通</v>
          </cell>
          <cell r="V75">
            <v>1</v>
          </cell>
          <cell r="W75" t="str">
            <v>普通</v>
          </cell>
          <cell r="Y75">
            <v>1</v>
          </cell>
        </row>
        <row r="76">
          <cell r="E76" t="str">
            <v>ｾｷｽｲﾊｲﾑ(ﾊﾟﾙﾌｪ)天高2.40</v>
          </cell>
          <cell r="N76">
            <v>2.83</v>
          </cell>
          <cell r="P76">
            <v>1.04</v>
          </cell>
          <cell r="Q76" t="str">
            <v>－</v>
          </cell>
          <cell r="T76" t="str">
            <v>普通</v>
          </cell>
          <cell r="V76">
            <v>1</v>
          </cell>
          <cell r="W76" t="str">
            <v>普通</v>
          </cell>
          <cell r="Y76">
            <v>1</v>
          </cell>
        </row>
        <row r="77">
          <cell r="E77" t="str">
            <v>ﾀﾞｲﾜﾊｳｽ(Xevo)天高2.4</v>
          </cell>
          <cell r="N77">
            <v>2.85</v>
          </cell>
          <cell r="P77">
            <v>1.05</v>
          </cell>
          <cell r="Q77" t="str">
            <v>－</v>
          </cell>
          <cell r="T77" t="str">
            <v>普通</v>
          </cell>
          <cell r="V77">
            <v>1</v>
          </cell>
          <cell r="W77" t="str">
            <v>普通</v>
          </cell>
          <cell r="Y77">
            <v>1</v>
          </cell>
        </row>
        <row r="78">
          <cell r="E78" t="str">
            <v>ﾀﾞｲﾜﾊｳｽ(Xevo)天高2.6</v>
          </cell>
          <cell r="N78">
            <v>3.05</v>
          </cell>
          <cell r="P78">
            <v>1.1100000000000001</v>
          </cell>
          <cell r="Q78" t="str">
            <v>－</v>
          </cell>
          <cell r="T78" t="str">
            <v>普通</v>
          </cell>
          <cell r="V78">
            <v>1</v>
          </cell>
          <cell r="W78" t="str">
            <v>普通</v>
          </cell>
          <cell r="Y78">
            <v>1</v>
          </cell>
        </row>
        <row r="79">
          <cell r="E79" t="str">
            <v>ﾀﾞｲﾜﾊｳｽ(XevoΣ)天高2.4</v>
          </cell>
          <cell r="N79">
            <v>2.88</v>
          </cell>
          <cell r="P79">
            <v>1.06</v>
          </cell>
          <cell r="Q79" t="str">
            <v>－</v>
          </cell>
          <cell r="T79" t="str">
            <v>普通</v>
          </cell>
          <cell r="V79">
            <v>1</v>
          </cell>
          <cell r="W79" t="str">
            <v>普通</v>
          </cell>
          <cell r="Y79">
            <v>1</v>
          </cell>
        </row>
        <row r="80">
          <cell r="E80" t="str">
            <v>ﾀﾞｲﾜﾊｳｽ(XevoΣ)天高2.72</v>
          </cell>
          <cell r="N80">
            <v>3.2</v>
          </cell>
          <cell r="P80">
            <v>1.1599999999999999</v>
          </cell>
          <cell r="Q80" t="str">
            <v>－</v>
          </cell>
          <cell r="T80" t="str">
            <v>普通</v>
          </cell>
          <cell r="V80">
            <v>1</v>
          </cell>
          <cell r="W80" t="str">
            <v>普通</v>
          </cell>
          <cell r="Y80">
            <v>1</v>
          </cell>
        </row>
        <row r="81">
          <cell r="E81" t="str">
            <v>ﾀﾞｲﾜﾊｳｽ(ｾｼﾞｭｰﾙｳｨｯﾄJ､K,R,KJ)「共住」天高2.4</v>
          </cell>
          <cell r="N81">
            <v>2.85</v>
          </cell>
          <cell r="P81">
            <v>1.05</v>
          </cell>
          <cell r="Q81" t="str">
            <v>－</v>
          </cell>
          <cell r="T81" t="str">
            <v>大</v>
          </cell>
          <cell r="V81">
            <v>1.2</v>
          </cell>
          <cell r="W81" t="str">
            <v>普通</v>
          </cell>
          <cell r="Y81">
            <v>1</v>
          </cell>
        </row>
        <row r="82">
          <cell r="E82" t="str">
            <v>ﾀﾞｲﾜﾊｳｽ(ｾｼﾞｭｰﾙｳｨｯﾄM)「共住」天高2.4</v>
          </cell>
          <cell r="N82">
            <v>2.85</v>
          </cell>
          <cell r="P82">
            <v>1.05</v>
          </cell>
          <cell r="Q82" t="str">
            <v>－</v>
          </cell>
          <cell r="T82" t="str">
            <v>普通</v>
          </cell>
          <cell r="V82">
            <v>1</v>
          </cell>
          <cell r="W82" t="str">
            <v>普通</v>
          </cell>
          <cell r="Y82">
            <v>1</v>
          </cell>
        </row>
        <row r="83">
          <cell r="E83" t="str">
            <v>ﾀﾞｲﾜﾊｳｽ(ｾｼﾞｭｰﾙｵｯﾂK,R,KJ)「共住」</v>
          </cell>
          <cell r="P83">
            <v>0.1</v>
          </cell>
          <cell r="Q83" t="str">
            <v>－</v>
          </cell>
          <cell r="T83" t="str">
            <v>大</v>
          </cell>
          <cell r="V83">
            <v>1.2</v>
          </cell>
          <cell r="W83" t="str">
            <v>普通</v>
          </cell>
          <cell r="Y83">
            <v>1</v>
          </cell>
        </row>
        <row r="84">
          <cell r="E84" t="str">
            <v>（追加入力１）</v>
          </cell>
          <cell r="P84">
            <v>0.1</v>
          </cell>
          <cell r="Q84" t="str">
            <v>－</v>
          </cell>
        </row>
        <row r="85">
          <cell r="E85" t="str">
            <v>（追加入力２）</v>
          </cell>
          <cell r="P85">
            <v>0.1</v>
          </cell>
          <cell r="Q85" t="str">
            <v>－</v>
          </cell>
        </row>
        <row r="86">
          <cell r="E86" t="str">
            <v>ﾊﾟﾅﾎｰﾑ(ｴﾙﾒｿﾞﾝ ﾌｨｶｰｻ)</v>
          </cell>
          <cell r="N86">
            <v>2.85</v>
          </cell>
          <cell r="P86">
            <v>1.05</v>
          </cell>
          <cell r="Q86" t="str">
            <v>－</v>
          </cell>
          <cell r="T86" t="str">
            <v>大</v>
          </cell>
          <cell r="V86">
            <v>1.2</v>
          </cell>
          <cell r="W86" t="str">
            <v>普通</v>
          </cell>
          <cell r="Y86">
            <v>1</v>
          </cell>
        </row>
        <row r="87">
          <cell r="E87" t="str">
            <v>積水ﾊｳｽ　全ﾀｲﾌﾟ</v>
          </cell>
          <cell r="N87">
            <v>2.96</v>
          </cell>
          <cell r="P87">
            <v>1.08</v>
          </cell>
          <cell r="Q87" t="str">
            <v>－</v>
          </cell>
          <cell r="T87" t="str">
            <v>大</v>
          </cell>
          <cell r="V87">
            <v>1.2</v>
          </cell>
          <cell r="W87" t="str">
            <v>普通</v>
          </cell>
          <cell r="Y87">
            <v>1</v>
          </cell>
        </row>
        <row r="88">
          <cell r="E88" t="str">
            <v>ｾｷｽｲﾊｲﾑ(ﾊﾟﾙﾌｪ,ﾄﾞﾏｰﾆ)天井高2,55</v>
          </cell>
          <cell r="N88">
            <v>2.98</v>
          </cell>
          <cell r="P88">
            <v>1.0900000000000001</v>
          </cell>
          <cell r="Q88" t="str">
            <v>－</v>
          </cell>
          <cell r="T88" t="str">
            <v>普通</v>
          </cell>
          <cell r="V88">
            <v>1</v>
          </cell>
          <cell r="W88" t="str">
            <v>普通</v>
          </cell>
          <cell r="Y88">
            <v>1</v>
          </cell>
        </row>
        <row r="89">
          <cell r="E89" t="str">
            <v>ｾｷｽｲﾊｲﾑ(ﾊﾟﾙﾌｪ,ﾄﾞﾏｰﾆ)天井高2.40</v>
          </cell>
          <cell r="N89">
            <v>2.83</v>
          </cell>
          <cell r="P89">
            <v>1.04</v>
          </cell>
          <cell r="Q89" t="str">
            <v>－</v>
          </cell>
          <cell r="T89" t="str">
            <v>普通</v>
          </cell>
          <cell r="V89">
            <v>1</v>
          </cell>
          <cell r="W89" t="str">
            <v>普通</v>
          </cell>
          <cell r="Y89">
            <v>1</v>
          </cell>
        </row>
        <row r="90">
          <cell r="E90" t="str">
            <v>ﾀﾞｲﾜﾊｳｽ(Xevo)天井高2.4</v>
          </cell>
          <cell r="N90">
            <v>2.85</v>
          </cell>
          <cell r="P90">
            <v>1.05</v>
          </cell>
          <cell r="Q90" t="str">
            <v>－</v>
          </cell>
          <cell r="T90" t="str">
            <v>普通</v>
          </cell>
          <cell r="V90">
            <v>1</v>
          </cell>
          <cell r="W90" t="str">
            <v>普通</v>
          </cell>
          <cell r="Y90">
            <v>1</v>
          </cell>
        </row>
        <row r="91">
          <cell r="E91" t="str">
            <v>ﾀﾞｲﾜﾊｳｽ(Xevo)天井高2.6</v>
          </cell>
          <cell r="N91">
            <v>3.05</v>
          </cell>
          <cell r="P91">
            <v>1.1100000000000001</v>
          </cell>
          <cell r="Q91" t="str">
            <v>－</v>
          </cell>
          <cell r="T91" t="str">
            <v>普通</v>
          </cell>
          <cell r="V91">
            <v>1</v>
          </cell>
          <cell r="W91" t="str">
            <v>普通</v>
          </cell>
          <cell r="Y91">
            <v>1</v>
          </cell>
        </row>
        <row r="92">
          <cell r="E92" t="str">
            <v>ﾀﾞｲﾜﾊｳｽ(ｾｼﾞｭｰﾙｳｨｯﾄJ)</v>
          </cell>
          <cell r="N92">
            <v>2.85</v>
          </cell>
          <cell r="P92">
            <v>1.05</v>
          </cell>
          <cell r="Q92" t="str">
            <v>－</v>
          </cell>
          <cell r="T92" t="str">
            <v>大</v>
          </cell>
          <cell r="V92">
            <v>1.2</v>
          </cell>
          <cell r="W92" t="str">
            <v>普通</v>
          </cell>
          <cell r="Y92">
            <v>1</v>
          </cell>
        </row>
        <row r="93">
          <cell r="E93" t="str">
            <v>ﾀﾞｲﾜﾊｳｽ(ｾｼﾞｭｰﾙｳｨｯﾄK,R,KJ</v>
          </cell>
          <cell r="N93">
            <v>2.85</v>
          </cell>
          <cell r="P93">
            <v>1.05</v>
          </cell>
          <cell r="Q93" t="str">
            <v>－</v>
          </cell>
          <cell r="T93" t="str">
            <v>大</v>
          </cell>
          <cell r="V93">
            <v>1.2</v>
          </cell>
          <cell r="W93" t="str">
            <v>普通</v>
          </cell>
          <cell r="Y93">
            <v>1</v>
          </cell>
        </row>
        <row r="94">
          <cell r="E94" t="str">
            <v>ﾀﾞｲﾜﾊｳｽ(ｾｼﾞｭｰﾙｳｨｯﾄM)</v>
          </cell>
          <cell r="N94">
            <v>2.85</v>
          </cell>
          <cell r="P94">
            <v>1.05</v>
          </cell>
          <cell r="Q94" t="str">
            <v>－</v>
          </cell>
          <cell r="T94" t="str">
            <v>普通</v>
          </cell>
          <cell r="V94">
            <v>1</v>
          </cell>
          <cell r="W94" t="str">
            <v>普通</v>
          </cell>
          <cell r="Y94">
            <v>1</v>
          </cell>
        </row>
        <row r="95">
          <cell r="E95" t="str">
            <v>ﾀﾞｲﾜﾊｳｽ(ｾｼﾞｭｰﾙｵｯﾂK,R,KJ)</v>
          </cell>
          <cell r="N95">
            <v>2.85</v>
          </cell>
          <cell r="P95">
            <v>1.05</v>
          </cell>
          <cell r="Q95" t="str">
            <v>－</v>
          </cell>
          <cell r="T95" t="str">
            <v>大</v>
          </cell>
          <cell r="V95">
            <v>1.2</v>
          </cell>
          <cell r="W95" t="str">
            <v>普通</v>
          </cell>
          <cell r="Y95">
            <v>1</v>
          </cell>
        </row>
        <row r="96">
          <cell r="E96" t="str">
            <v>（追加入力１）</v>
          </cell>
          <cell r="P96">
            <v>0.1</v>
          </cell>
          <cell r="Q96" t="str">
            <v>－</v>
          </cell>
        </row>
        <row r="97">
          <cell r="E97" t="str">
            <v>（追加入力２）</v>
          </cell>
          <cell r="P97">
            <v>0.1</v>
          </cell>
          <cell r="Q97" t="str">
            <v>－</v>
          </cell>
        </row>
        <row r="98">
          <cell r="E98" t="str">
            <v>ﾊﾟﾅﾎｰﾑ(ｴﾙｿﾗｰﾅ)</v>
          </cell>
          <cell r="N98">
            <v>2.94</v>
          </cell>
          <cell r="P98">
            <v>1.08</v>
          </cell>
          <cell r="Q98" t="str">
            <v>－</v>
          </cell>
          <cell r="T98" t="str">
            <v>普通</v>
          </cell>
          <cell r="V98">
            <v>1</v>
          </cell>
          <cell r="W98" t="str">
            <v>普通</v>
          </cell>
          <cell r="Y98">
            <v>1</v>
          </cell>
        </row>
        <row r="99">
          <cell r="E99" t="str">
            <v>ﾊﾟﾅﾎｰﾑ(ｶｻｰﾄﾃﾗ)</v>
          </cell>
          <cell r="P99">
            <v>0.1</v>
          </cell>
          <cell r="Q99" t="str">
            <v>－</v>
          </cell>
          <cell r="T99" t="str">
            <v>大</v>
          </cell>
          <cell r="V99">
            <v>1.2</v>
          </cell>
          <cell r="W99" t="str">
            <v>普通</v>
          </cell>
          <cell r="Y99">
            <v>1</v>
          </cell>
        </row>
        <row r="100">
          <cell r="E100" t="str">
            <v>ｾｷｽｲﾊｳｽ(ﾋﾞｰｻｲｴ､ｲｽﾞﾛｲｴ)</v>
          </cell>
          <cell r="N100">
            <v>2.9620000000000002</v>
          </cell>
          <cell r="P100">
            <v>1.08</v>
          </cell>
          <cell r="Q100" t="str">
            <v>－</v>
          </cell>
          <cell r="T100" t="str">
            <v>大</v>
          </cell>
          <cell r="V100">
            <v>1.2</v>
          </cell>
          <cell r="W100" t="str">
            <v>普通</v>
          </cell>
          <cell r="Y100">
            <v>1</v>
          </cell>
        </row>
        <row r="101">
          <cell r="E101" t="str">
            <v>大和ﾊｳｽ(XevoEｼﾞｰｳﾞｫE)</v>
          </cell>
          <cell r="N101">
            <v>2.85</v>
          </cell>
          <cell r="P101">
            <v>1.05</v>
          </cell>
          <cell r="Q101" t="str">
            <v>－</v>
          </cell>
          <cell r="T101" t="str">
            <v>普通</v>
          </cell>
          <cell r="V101">
            <v>1</v>
          </cell>
          <cell r="W101" t="str">
            <v>普通</v>
          </cell>
          <cell r="Y101">
            <v>1</v>
          </cell>
        </row>
        <row r="102">
          <cell r="E102" t="str">
            <v>ｾｷｽｲﾊｲﾑ全タイプ</v>
          </cell>
          <cell r="P102">
            <v>0.1</v>
          </cell>
          <cell r="Q102" t="str">
            <v>－</v>
          </cell>
          <cell r="T102" t="str">
            <v>普通</v>
          </cell>
          <cell r="V102">
            <v>1</v>
          </cell>
          <cell r="W102" t="str">
            <v>普通</v>
          </cell>
          <cell r="Y102">
            <v>1</v>
          </cell>
        </row>
        <row r="103">
          <cell r="E103" t="str">
            <v>ﾐｻﾜﾎｰﾑ(ﾊｲﾌﾞﾘｯﾄﾞ系)</v>
          </cell>
          <cell r="N103">
            <v>2.8</v>
          </cell>
          <cell r="P103">
            <v>1.03</v>
          </cell>
          <cell r="Q103" t="str">
            <v>－</v>
          </cell>
          <cell r="T103" t="str">
            <v>大</v>
          </cell>
          <cell r="V103">
            <v>1.2</v>
          </cell>
          <cell r="W103" t="str">
            <v>普通</v>
          </cell>
          <cell r="Y103">
            <v>1</v>
          </cell>
        </row>
        <row r="104">
          <cell r="E104" t="str">
            <v>ﾊﾟﾅﾎｰﾑ(ﾕｰﾙｷｱ)</v>
          </cell>
          <cell r="N104">
            <v>2.94</v>
          </cell>
          <cell r="P104">
            <v>1.08</v>
          </cell>
          <cell r="Q104" t="str">
            <v>－</v>
          </cell>
          <cell r="T104" t="str">
            <v>普通</v>
          </cell>
          <cell r="V104">
            <v>1</v>
          </cell>
          <cell r="W104" t="str">
            <v>普通</v>
          </cell>
          <cell r="Y104">
            <v>1</v>
          </cell>
        </row>
        <row r="105">
          <cell r="E105" t="str">
            <v>積水ﾊｳｽ(Be ECORD)</v>
          </cell>
          <cell r="N105">
            <v>2.9620000000000002</v>
          </cell>
          <cell r="P105">
            <v>1.08</v>
          </cell>
          <cell r="Q105" t="str">
            <v>－</v>
          </cell>
          <cell r="T105" t="str">
            <v>大</v>
          </cell>
          <cell r="V105">
            <v>1.2</v>
          </cell>
          <cell r="W105" t="str">
            <v>普通</v>
          </cell>
          <cell r="Y105">
            <v>1</v>
          </cell>
        </row>
        <row r="106">
          <cell r="E106" t="str">
            <v>積水ﾊｳｽ(Be Free)</v>
          </cell>
          <cell r="N106">
            <v>2.9620000000000002</v>
          </cell>
          <cell r="P106">
            <v>1.08</v>
          </cell>
          <cell r="Q106" t="str">
            <v>－</v>
          </cell>
          <cell r="T106" t="str">
            <v>大</v>
          </cell>
          <cell r="V106">
            <v>1.2</v>
          </cell>
          <cell r="W106" t="str">
            <v>普通</v>
          </cell>
          <cell r="Y106">
            <v>1</v>
          </cell>
        </row>
        <row r="107">
          <cell r="E107" t="str">
            <v>ｾｷｽｲﾊｲﾑ(ﾊﾟﾙﾌｪ)</v>
          </cell>
          <cell r="N107">
            <v>2.83</v>
          </cell>
          <cell r="P107">
            <v>1.04</v>
          </cell>
          <cell r="Q107" t="str">
            <v>－</v>
          </cell>
          <cell r="T107" t="str">
            <v>普通</v>
          </cell>
          <cell r="V107">
            <v>1</v>
          </cell>
          <cell r="W107" t="str">
            <v>普通</v>
          </cell>
          <cell r="Y107">
            <v>1</v>
          </cell>
        </row>
        <row r="108">
          <cell r="E108" t="str">
            <v>ｾｷｽｲﾊｳｽ(FSｳｵｰﾙ)</v>
          </cell>
          <cell r="P108">
            <v>0.1</v>
          </cell>
          <cell r="Q108" t="str">
            <v>－</v>
          </cell>
          <cell r="T108" t="str">
            <v>普通</v>
          </cell>
          <cell r="V108">
            <v>1</v>
          </cell>
          <cell r="W108" t="str">
            <v>普通</v>
          </cell>
          <cell r="Y108">
            <v>1</v>
          </cell>
        </row>
        <row r="109">
          <cell r="E109" t="str">
            <v>ｾｷｽｲﾊｳｽ(SHｳｵｰﾙ)</v>
          </cell>
          <cell r="P109">
            <v>0.1</v>
          </cell>
          <cell r="Q109" t="str">
            <v>－</v>
          </cell>
          <cell r="T109" t="str">
            <v>大</v>
          </cell>
          <cell r="V109">
            <v>1.2</v>
          </cell>
          <cell r="W109" t="str">
            <v>普通</v>
          </cell>
          <cell r="Y109">
            <v>1</v>
          </cell>
        </row>
        <row r="110">
          <cell r="E110" t="str">
            <v>ｾｷｽｲﾊｳｽ(ﾀﾞｲﾝｳｵｰﾙ)</v>
          </cell>
          <cell r="P110">
            <v>0.1</v>
          </cell>
          <cell r="Q110" t="str">
            <v>－</v>
          </cell>
          <cell r="T110" t="str">
            <v>大々</v>
          </cell>
          <cell r="V110">
            <v>1.3</v>
          </cell>
          <cell r="W110" t="str">
            <v>良々</v>
          </cell>
          <cell r="Y110">
            <v>1.2</v>
          </cell>
        </row>
        <row r="111">
          <cell r="E111" t="str">
            <v>大和ﾊｳｽ</v>
          </cell>
          <cell r="P111">
            <v>0.1</v>
          </cell>
          <cell r="Q111" t="str">
            <v>－</v>
          </cell>
          <cell r="T111" t="str">
            <v>大</v>
          </cell>
          <cell r="V111">
            <v>1.2</v>
          </cell>
          <cell r="W111" t="str">
            <v>普通</v>
          </cell>
          <cell r="Y111">
            <v>1</v>
          </cell>
        </row>
        <row r="112">
          <cell r="E112" t="str">
            <v>ｾｷｽｲﾊｲﾑ</v>
          </cell>
          <cell r="P112">
            <v>0.1</v>
          </cell>
          <cell r="Q112" t="str">
            <v>－</v>
          </cell>
          <cell r="T112" t="str">
            <v>大</v>
          </cell>
          <cell r="V112">
            <v>1.2</v>
          </cell>
          <cell r="W112" t="str">
            <v>普通</v>
          </cell>
          <cell r="Y112">
            <v>1</v>
          </cell>
        </row>
        <row r="113">
          <cell r="E113" t="str">
            <v>ﾊﾟﾅﾎｰﾑ</v>
          </cell>
          <cell r="P113">
            <v>0.1</v>
          </cell>
          <cell r="Q113" t="str">
            <v>－</v>
          </cell>
          <cell r="T113" t="str">
            <v>大</v>
          </cell>
          <cell r="V113">
            <v>1.2</v>
          </cell>
          <cell r="W113" t="str">
            <v>普通</v>
          </cell>
          <cell r="Y113">
            <v>1</v>
          </cell>
        </row>
        <row r="114">
          <cell r="E114" t="str">
            <v>ﾐｻﾜﾎｰﾑ</v>
          </cell>
          <cell r="P114">
            <v>0.1</v>
          </cell>
          <cell r="Q114" t="str">
            <v>－</v>
          </cell>
          <cell r="T114" t="str">
            <v>大</v>
          </cell>
          <cell r="V114">
            <v>1.2</v>
          </cell>
          <cell r="W114" t="str">
            <v>普通</v>
          </cell>
          <cell r="Y114">
            <v>1</v>
          </cell>
        </row>
        <row r="115">
          <cell r="E115" t="str">
            <v>ﾚｵﾊﾟﾚｽ</v>
          </cell>
          <cell r="P115">
            <v>0.1</v>
          </cell>
          <cell r="Q115" t="str">
            <v>－</v>
          </cell>
          <cell r="T115" t="str">
            <v>普通</v>
          </cell>
          <cell r="V115">
            <v>1</v>
          </cell>
          <cell r="W115" t="str">
            <v>普通</v>
          </cell>
          <cell r="Y115">
            <v>1</v>
          </cell>
        </row>
        <row r="116">
          <cell r="E116" t="str">
            <v>東建</v>
          </cell>
          <cell r="P116">
            <v>0.1</v>
          </cell>
          <cell r="Q116" t="str">
            <v>－</v>
          </cell>
          <cell r="T116" t="str">
            <v>大</v>
          </cell>
          <cell r="V116">
            <v>1.2</v>
          </cell>
          <cell r="W116" t="str">
            <v>普通</v>
          </cell>
          <cell r="Y116">
            <v>1</v>
          </cell>
        </row>
        <row r="165">
          <cell r="G165" t="str">
            <v>断熱材　並</v>
          </cell>
        </row>
        <row r="166">
          <cell r="G166" t="str">
            <v>断熱材　中</v>
          </cell>
        </row>
        <row r="167">
          <cell r="G167" t="str">
            <v>断熱材　上</v>
          </cell>
        </row>
        <row r="178">
          <cell r="G178" t="str">
            <v>断熱材　並</v>
          </cell>
        </row>
        <row r="179">
          <cell r="G179" t="str">
            <v>断熱材　中</v>
          </cell>
        </row>
        <row r="180">
          <cell r="G180" t="str">
            <v>断熱材　上</v>
          </cell>
        </row>
        <row r="187">
          <cell r="E187" t="str">
            <v>無し</v>
          </cell>
        </row>
        <row r="188">
          <cell r="E188" t="str">
            <v>サイディング</v>
          </cell>
        </row>
        <row r="189">
          <cell r="E189" t="str">
            <v>外装タイル</v>
          </cell>
        </row>
        <row r="190">
          <cell r="E190" t="str">
            <v>繊維強化セメント板　スレートボード</v>
          </cell>
        </row>
        <row r="191">
          <cell r="E191" t="str">
            <v>薄型気泡ｺﾝｸﾘｰﾄﾊﾟﾈﾙ薄付外装仕上(木造転用)</v>
          </cell>
        </row>
        <row r="192">
          <cell r="E192" t="str">
            <v>（自由作成）</v>
          </cell>
        </row>
        <row r="199">
          <cell r="E199" t="str">
            <v>無し</v>
          </cell>
        </row>
        <row r="200">
          <cell r="E200" t="str">
            <v>クロス貼　</v>
          </cell>
        </row>
        <row r="201">
          <cell r="E201" t="str">
            <v>木質系壁仕上　上</v>
          </cell>
        </row>
        <row r="202">
          <cell r="E202" t="str">
            <v>木質系壁仕上　中</v>
          </cell>
        </row>
        <row r="203">
          <cell r="E203" t="str">
            <v>木質系壁仕上　並</v>
          </cell>
        </row>
        <row r="204">
          <cell r="E204" t="str">
            <v>内装タイル　中</v>
          </cell>
        </row>
        <row r="205">
          <cell r="E205" t="str">
            <v>内装タイル　小</v>
          </cell>
        </row>
        <row r="206">
          <cell r="E206" t="str">
            <v>塗り壁</v>
          </cell>
        </row>
        <row r="207">
          <cell r="E207" t="str">
            <v>ステンレス板</v>
          </cell>
        </row>
        <row r="208">
          <cell r="E208" t="str">
            <v>サイディング</v>
          </cell>
        </row>
        <row r="209">
          <cell r="E209" t="str">
            <v>石材系仕上　特（木造枠組壁用転用）</v>
          </cell>
        </row>
        <row r="210">
          <cell r="E210" t="str">
            <v>石材系仕上　上（木造枠組壁用転用）</v>
          </cell>
        </row>
        <row r="211">
          <cell r="E211" t="str">
            <v>石材系仕上　中（木造枠組壁用転用）</v>
          </cell>
        </row>
        <row r="212">
          <cell r="E212" t="str">
            <v>石材系仕上　並（木造枠組壁用転用）</v>
          </cell>
        </row>
        <row r="213">
          <cell r="E213" t="str">
            <v>合成樹脂板（木造枠組壁用転用）</v>
          </cell>
        </row>
        <row r="214">
          <cell r="E214" t="str">
            <v>総合評点方式（戸建形式・中）</v>
          </cell>
        </row>
        <row r="215">
          <cell r="E215" t="str">
            <v>総合評点方式（集合形式・中）</v>
          </cell>
        </row>
        <row r="216">
          <cell r="E216" t="str">
            <v>（自由作成）</v>
          </cell>
        </row>
        <row r="217">
          <cell r="E217" t="str">
            <v>（自由作成）</v>
          </cell>
        </row>
        <row r="224">
          <cell r="E224" t="str">
            <v>無し</v>
          </cell>
        </row>
        <row r="225">
          <cell r="E225" t="str">
            <v>畳　上</v>
          </cell>
        </row>
        <row r="226">
          <cell r="E226" t="str">
            <v>畳　並</v>
          </cell>
        </row>
        <row r="227">
          <cell r="E227" t="str">
            <v>木質系床仕上　上</v>
          </cell>
        </row>
        <row r="228">
          <cell r="E228" t="str">
            <v>木質系床仕上　中</v>
          </cell>
        </row>
        <row r="229">
          <cell r="E229" t="str">
            <v>木質系床仕上　並</v>
          </cell>
        </row>
        <row r="230">
          <cell r="E230" t="str">
            <v>カーペット　　上</v>
          </cell>
        </row>
        <row r="231">
          <cell r="E231" t="str">
            <v>カーペット　　並</v>
          </cell>
        </row>
        <row r="232">
          <cell r="E232" t="str">
            <v>タイル　大</v>
          </cell>
        </row>
        <row r="233">
          <cell r="E233" t="str">
            <v>タイル　中</v>
          </cell>
        </row>
        <row r="234">
          <cell r="E234" t="str">
            <v>タイル　小</v>
          </cell>
        </row>
        <row r="235">
          <cell r="E235" t="str">
            <v>合成樹脂張床　中</v>
          </cell>
        </row>
        <row r="236">
          <cell r="E236" t="str">
            <v>合成樹脂張床　並</v>
          </cell>
        </row>
        <row r="237">
          <cell r="E237" t="str">
            <v>モルタル</v>
          </cell>
        </row>
        <row r="238">
          <cell r="E238" t="str">
            <v>ｺﾝｸﾘｰﾄ直仕上</v>
          </cell>
        </row>
        <row r="239">
          <cell r="E239" t="str">
            <v>総合評点方式（戸建形式・中）</v>
          </cell>
        </row>
        <row r="240">
          <cell r="E240" t="str">
            <v>総合評点方式（集合形式・中）</v>
          </cell>
        </row>
        <row r="241">
          <cell r="E241" t="str">
            <v>（自由作成）</v>
          </cell>
        </row>
        <row r="242">
          <cell r="E242" t="str">
            <v>（自由作成）</v>
          </cell>
        </row>
        <row r="243">
          <cell r="G243" t="str">
            <v>断熱材　並</v>
          </cell>
        </row>
        <row r="244">
          <cell r="G244" t="str">
            <v>断熱材　中</v>
          </cell>
        </row>
        <row r="245">
          <cell r="G245" t="str">
            <v>断熱材　上</v>
          </cell>
        </row>
        <row r="246">
          <cell r="G246" t="str">
            <v>無し</v>
          </cell>
        </row>
        <row r="253">
          <cell r="E253" t="str">
            <v>無し</v>
          </cell>
        </row>
        <row r="254">
          <cell r="E254" t="str">
            <v>木質系天井仕上　特</v>
          </cell>
        </row>
        <row r="255">
          <cell r="E255" t="str">
            <v>木質系天井仕上　上</v>
          </cell>
        </row>
        <row r="256">
          <cell r="E256" t="str">
            <v>木質系天井仕上　中</v>
          </cell>
        </row>
        <row r="257">
          <cell r="E257" t="str">
            <v>木質系天井仕上　並</v>
          </cell>
        </row>
        <row r="258">
          <cell r="E258" t="str">
            <v>クロス天井</v>
          </cell>
        </row>
        <row r="259">
          <cell r="E259" t="str">
            <v>浴室天井</v>
          </cell>
        </row>
        <row r="260">
          <cell r="E260" t="str">
            <v>石膏ボード</v>
          </cell>
        </row>
        <row r="261">
          <cell r="E261" t="str">
            <v>総合評点方式（戸建形式・中）</v>
          </cell>
        </row>
        <row r="262">
          <cell r="E262" t="str">
            <v>総合評点方式（集合形式・中）</v>
          </cell>
        </row>
        <row r="263">
          <cell r="E263" t="str">
            <v>（自由作成）</v>
          </cell>
        </row>
        <row r="264">
          <cell r="E264" t="str">
            <v>（自由作成）</v>
          </cell>
        </row>
        <row r="265">
          <cell r="G265" t="str">
            <v>断熱材　並</v>
          </cell>
        </row>
        <row r="266">
          <cell r="G266" t="str">
            <v>断熱材　中</v>
          </cell>
        </row>
        <row r="267">
          <cell r="G267" t="str">
            <v>断熱材　上</v>
          </cell>
        </row>
        <row r="268">
          <cell r="G268" t="str">
            <v>無し</v>
          </cell>
        </row>
        <row r="275">
          <cell r="G275" t="str">
            <v>無し</v>
          </cell>
        </row>
        <row r="276">
          <cell r="G276" t="str">
            <v>シート防水</v>
          </cell>
        </row>
        <row r="277">
          <cell r="G277" t="str">
            <v>ＦＲＰ防水</v>
          </cell>
        </row>
        <row r="278">
          <cell r="G278" t="str">
            <v>金属板防水</v>
          </cell>
        </row>
        <row r="279">
          <cell r="G279" t="str">
            <v>（自由作成）</v>
          </cell>
        </row>
        <row r="280">
          <cell r="G280" t="str">
            <v>構造ALC分下地控除</v>
          </cell>
        </row>
        <row r="281">
          <cell r="G281" t="str">
            <v>瓦　上</v>
          </cell>
        </row>
        <row r="282">
          <cell r="G282" t="str">
            <v>瓦　中</v>
          </cell>
        </row>
        <row r="283">
          <cell r="G283" t="str">
            <v>繊維強化セメント板化粧スレートボード</v>
          </cell>
        </row>
        <row r="284">
          <cell r="G284" t="str">
            <v>金属板　鋼板</v>
          </cell>
        </row>
        <row r="285">
          <cell r="G285" t="str">
            <v>建材型　ｿｰﾗｰﾊﾟﾈﾙ</v>
          </cell>
        </row>
        <row r="286">
          <cell r="G286" t="str">
            <v>ステンレス板（木造転用）</v>
          </cell>
        </row>
        <row r="287">
          <cell r="G287" t="str">
            <v>（自由作成）</v>
          </cell>
        </row>
        <row r="288">
          <cell r="G288" t="str">
            <v>固定式</v>
          </cell>
        </row>
        <row r="289">
          <cell r="G289" t="str">
            <v>開閉式</v>
          </cell>
        </row>
        <row r="290">
          <cell r="G290" t="str">
            <v>断熱材　並</v>
          </cell>
        </row>
        <row r="291">
          <cell r="G291" t="str">
            <v>断熱材　中</v>
          </cell>
        </row>
        <row r="292">
          <cell r="G292" t="str">
            <v>断熱材　上</v>
          </cell>
        </row>
        <row r="293">
          <cell r="G293" t="str">
            <v>無し</v>
          </cell>
        </row>
        <row r="301">
          <cell r="U301" t="str">
            <v>程度</v>
          </cell>
          <cell r="X301" t="str">
            <v>補正率</v>
          </cell>
        </row>
        <row r="302">
          <cell r="G302" t="str">
            <v>戸建形式住宅 上</v>
          </cell>
          <cell r="K302">
            <v>23550</v>
          </cell>
          <cell r="P302">
            <v>0.61</v>
          </cell>
          <cell r="U302" t="str">
            <v>良い</v>
          </cell>
          <cell r="X302">
            <v>1.2</v>
          </cell>
        </row>
        <row r="303">
          <cell r="G303" t="str">
            <v>戸建形式住宅 中</v>
          </cell>
          <cell r="K303">
            <v>16940</v>
          </cell>
          <cell r="P303">
            <v>0.61</v>
          </cell>
          <cell r="U303" t="str">
            <v>普通</v>
          </cell>
          <cell r="X303">
            <v>1</v>
          </cell>
        </row>
        <row r="304">
          <cell r="U304" t="str">
            <v>悪い</v>
          </cell>
          <cell r="X304">
            <v>0.9</v>
          </cell>
        </row>
        <row r="332">
          <cell r="V332" t="str">
            <v>開放型</v>
          </cell>
          <cell r="X332">
            <v>1.5</v>
          </cell>
        </row>
        <row r="333">
          <cell r="V333" t="str">
            <v>良　い</v>
          </cell>
          <cell r="X333">
            <v>1.1000000000000001</v>
          </cell>
        </row>
        <row r="334">
          <cell r="V334" t="str">
            <v>普　通</v>
          </cell>
          <cell r="X334">
            <v>1</v>
          </cell>
        </row>
        <row r="335">
          <cell r="V335" t="str">
            <v>悪　い</v>
          </cell>
          <cell r="X335">
            <v>0.9</v>
          </cell>
        </row>
      </sheetData>
      <sheetData sheetId="9" refreshError="1"/>
      <sheetData sheetId="10" refreshError="1"/>
      <sheetData sheetId="11" refreshError="1"/>
      <sheetData sheetId="12">
        <row r="5">
          <cell r="A5" t="str">
            <v>〔外建具〕</v>
          </cell>
        </row>
        <row r="56">
          <cell r="H56">
            <v>134</v>
          </cell>
        </row>
      </sheetData>
      <sheetData sheetId="13" refreshError="1"/>
      <sheetData sheetId="14">
        <row r="6">
          <cell r="D6" t="str">
            <v>普通</v>
          </cell>
          <cell r="E6" t="str">
            <v>亜鉛メッキ</v>
          </cell>
        </row>
        <row r="7">
          <cell r="C7" t="str">
            <v>戸建形式住宅</v>
          </cell>
        </row>
        <row r="8">
          <cell r="C8" t="str">
            <v>集合形式住宅</v>
          </cell>
        </row>
        <row r="14">
          <cell r="C14" t="str">
            <v>戸建形式住宅</v>
          </cell>
          <cell r="D14">
            <v>13750</v>
          </cell>
          <cell r="F14">
            <v>0.92</v>
          </cell>
          <cell r="H14">
            <v>3</v>
          </cell>
          <cell r="I14">
            <v>1.25</v>
          </cell>
          <cell r="J14">
            <v>2</v>
          </cell>
          <cell r="K14">
            <v>1</v>
          </cell>
          <cell r="L14" t="str">
            <v>-</v>
          </cell>
          <cell r="M14" t="str">
            <v>-</v>
          </cell>
          <cell r="N14" t="str">
            <v>良　い</v>
          </cell>
          <cell r="O14">
            <v>1.1000000000000001</v>
          </cell>
          <cell r="P14" t="str">
            <v>普　通</v>
          </cell>
          <cell r="Q14">
            <v>1</v>
          </cell>
          <cell r="R14" t="str">
            <v>悪　い</v>
          </cell>
          <cell r="S14">
            <v>0.9</v>
          </cell>
        </row>
        <row r="15">
          <cell r="C15" t="str">
            <v>集合形式住宅</v>
          </cell>
          <cell r="D15">
            <v>14820</v>
          </cell>
          <cell r="F15">
            <v>0.95</v>
          </cell>
          <cell r="H15">
            <v>3</v>
          </cell>
          <cell r="I15">
            <v>1.25</v>
          </cell>
          <cell r="J15">
            <v>2</v>
          </cell>
          <cell r="K15">
            <v>1</v>
          </cell>
          <cell r="L15" t="str">
            <v>-</v>
          </cell>
          <cell r="M15" t="str">
            <v>-</v>
          </cell>
          <cell r="N15" t="str">
            <v>良　い</v>
          </cell>
          <cell r="O15">
            <v>1.1000000000000001</v>
          </cell>
          <cell r="P15" t="str">
            <v>普　通</v>
          </cell>
          <cell r="Q15">
            <v>1</v>
          </cell>
          <cell r="R15" t="str">
            <v>悪　い</v>
          </cell>
          <cell r="S15">
            <v>0.9</v>
          </cell>
        </row>
        <row r="34">
          <cell r="D34" t="str">
            <v>多　い</v>
          </cell>
          <cell r="H34">
            <v>1.5</v>
          </cell>
          <cell r="I34">
            <v>1.6</v>
          </cell>
          <cell r="J34">
            <v>1.4</v>
          </cell>
          <cell r="K34">
            <v>1.5</v>
          </cell>
          <cell r="O34">
            <v>1.3</v>
          </cell>
        </row>
        <row r="35">
          <cell r="D35" t="str">
            <v>普　通</v>
          </cell>
          <cell r="H35">
            <v>1</v>
          </cell>
          <cell r="I35">
            <v>1</v>
          </cell>
          <cell r="J35">
            <v>1</v>
          </cell>
          <cell r="K35">
            <v>1</v>
          </cell>
          <cell r="O35">
            <v>1</v>
          </cell>
        </row>
        <row r="36">
          <cell r="D36" t="str">
            <v>少ない</v>
          </cell>
          <cell r="H36">
            <v>0.6</v>
          </cell>
          <cell r="I36">
            <v>0.6</v>
          </cell>
          <cell r="J36">
            <v>0.6</v>
          </cell>
          <cell r="K36">
            <v>0.6</v>
          </cell>
          <cell r="O36">
            <v>0.8</v>
          </cell>
        </row>
        <row r="37">
          <cell r="D37" t="str">
            <v>良　い</v>
          </cell>
          <cell r="F37">
            <v>1.1000000000000001</v>
          </cell>
          <cell r="G37">
            <v>1.1000000000000001</v>
          </cell>
          <cell r="H37">
            <v>1.1000000000000001</v>
          </cell>
          <cell r="I37">
            <v>1.1000000000000001</v>
          </cell>
          <cell r="J37">
            <v>1.2</v>
          </cell>
          <cell r="K37">
            <v>1.2</v>
          </cell>
          <cell r="L37">
            <v>1.2</v>
          </cell>
          <cell r="M37">
            <v>1.2</v>
          </cell>
          <cell r="N37">
            <v>1.1000000000000001</v>
          </cell>
          <cell r="O37">
            <v>1.2</v>
          </cell>
          <cell r="P37">
            <v>1.5</v>
          </cell>
          <cell r="Q37">
            <v>1.5</v>
          </cell>
          <cell r="S37">
            <v>1.2</v>
          </cell>
          <cell r="T37" t="str">
            <v>別途
記載</v>
          </cell>
          <cell r="U37">
            <v>1.1000000000000001</v>
          </cell>
        </row>
        <row r="38">
          <cell r="D38" t="str">
            <v>普　通</v>
          </cell>
          <cell r="F38">
            <v>1</v>
          </cell>
          <cell r="G38">
            <v>1</v>
          </cell>
          <cell r="H38">
            <v>1</v>
          </cell>
          <cell r="I38">
            <v>1</v>
          </cell>
          <cell r="J38">
            <v>1</v>
          </cell>
          <cell r="K38">
            <v>1</v>
          </cell>
          <cell r="L38">
            <v>1</v>
          </cell>
          <cell r="M38">
            <v>1</v>
          </cell>
          <cell r="N38">
            <v>1</v>
          </cell>
          <cell r="O38">
            <v>1</v>
          </cell>
          <cell r="P38">
            <v>1</v>
          </cell>
          <cell r="Q38">
            <v>1</v>
          </cell>
          <cell r="S38">
            <v>1</v>
          </cell>
          <cell r="U38">
            <v>1</v>
          </cell>
        </row>
        <row r="39">
          <cell r="D39" t="str">
            <v>悪　い</v>
          </cell>
          <cell r="F39">
            <v>0.9</v>
          </cell>
          <cell r="G39">
            <v>0.9</v>
          </cell>
          <cell r="H39">
            <v>0.9</v>
          </cell>
          <cell r="I39">
            <v>0.9</v>
          </cell>
          <cell r="J39">
            <v>0.9</v>
          </cell>
          <cell r="K39">
            <v>0.9</v>
          </cell>
          <cell r="L39">
            <v>0.9</v>
          </cell>
          <cell r="M39">
            <v>0.9</v>
          </cell>
          <cell r="N39">
            <v>0.9</v>
          </cell>
          <cell r="O39">
            <v>0.9</v>
          </cell>
          <cell r="P39">
            <v>0.8</v>
          </cell>
          <cell r="Q39">
            <v>0.7</v>
          </cell>
          <cell r="S39">
            <v>0.9</v>
          </cell>
          <cell r="U39">
            <v>0.8</v>
          </cell>
        </row>
        <row r="40">
          <cell r="D40" t="str">
            <v>大きい</v>
          </cell>
          <cell r="P40">
            <v>1.4</v>
          </cell>
        </row>
        <row r="41">
          <cell r="D41" t="str">
            <v>標　準</v>
          </cell>
          <cell r="P41">
            <v>1</v>
          </cell>
        </row>
        <row r="42">
          <cell r="D42" t="str">
            <v>小さい</v>
          </cell>
          <cell r="P42">
            <v>0.9</v>
          </cell>
        </row>
      </sheetData>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決議書"/>
      <sheetName val="調書"/>
      <sheetName val="建具"/>
      <sheetName val="建具の明細"/>
      <sheetName val="設備(個別)"/>
      <sheetName val="DB"/>
    </sheetNames>
    <sheetDataSet>
      <sheetData sheetId="0"/>
      <sheetData sheetId="1"/>
      <sheetData sheetId="2">
        <row r="7">
          <cell r="B7" t="str">
            <v>［建具名称］</v>
          </cell>
        </row>
        <row r="8">
          <cell r="B8" t="str">
            <v>.</v>
          </cell>
        </row>
        <row r="9">
          <cell r="B9" t="str">
            <v>◆　金属製　◆</v>
          </cell>
        </row>
        <row r="10">
          <cell r="B10" t="str">
            <v>鋼製扉(ﾌﾗｯｼｭ)　枠見込150</v>
          </cell>
          <cell r="C10" t="str">
            <v>扉</v>
          </cell>
          <cell r="D10">
            <v>56940</v>
          </cell>
          <cell r="E10">
            <v>1</v>
          </cell>
          <cell r="F10">
            <v>56940</v>
          </cell>
        </row>
        <row r="11">
          <cell r="B11" t="str">
            <v>鋼製扉(ﾌﾗｯｼｭ)　枠見込100</v>
          </cell>
          <cell r="C11" t="str">
            <v>扉</v>
          </cell>
          <cell r="D11">
            <v>48100</v>
          </cell>
          <cell r="E11">
            <v>1</v>
          </cell>
          <cell r="F11">
            <v>48100</v>
          </cell>
        </row>
        <row r="12">
          <cell r="B12" t="str">
            <v>鋼製扉(ﾌﾗｯｼｭ)　枠見込85</v>
          </cell>
          <cell r="C12" t="str">
            <v>扉</v>
          </cell>
          <cell r="D12">
            <v>40880</v>
          </cell>
          <cell r="E12">
            <v>1</v>
          </cell>
          <cell r="F12">
            <v>40880</v>
          </cell>
        </row>
        <row r="13">
          <cell r="B13" t="str">
            <v>鋼製扉(ﾌﾗｯｼｭ) (入力)</v>
          </cell>
          <cell r="C13" t="str">
            <v>扉</v>
          </cell>
          <cell r="D13">
            <v>0</v>
          </cell>
          <cell r="E13">
            <v>1</v>
          </cell>
          <cell r="F13">
            <v>0</v>
          </cell>
        </row>
        <row r="14">
          <cell r="B14" t="str">
            <v>鋼製 扉(ﾌﾗｯｼｭ) (入力)</v>
          </cell>
          <cell r="C14" t="str">
            <v>扉</v>
          </cell>
          <cell r="D14">
            <v>0</v>
          </cell>
          <cell r="E14">
            <v>1</v>
          </cell>
          <cell r="F14">
            <v>0</v>
          </cell>
        </row>
        <row r="15">
          <cell r="B15" t="str">
            <v>鋼製 ｼｬｯﾀｰ 軽量</v>
          </cell>
          <cell r="C15" t="str">
            <v>扉</v>
          </cell>
          <cell r="D15">
            <v>14360</v>
          </cell>
          <cell r="E15">
            <v>1</v>
          </cell>
          <cell r="F15">
            <v>14360</v>
          </cell>
        </row>
        <row r="16">
          <cell r="B16" t="str">
            <v>鋼製 ｼｬｯﾀｰ 軽量 電動</v>
          </cell>
          <cell r="C16" t="str">
            <v>扉</v>
          </cell>
          <cell r="D16">
            <v>14360</v>
          </cell>
          <cell r="E16">
            <v>2.2000000000000002</v>
          </cell>
          <cell r="F16">
            <v>31592</v>
          </cell>
        </row>
        <row r="17">
          <cell r="B17" t="str">
            <v>鋼製 ｼｬｯﾀｰ 重 手動</v>
          </cell>
          <cell r="C17" t="str">
            <v>扉</v>
          </cell>
          <cell r="D17">
            <v>37570</v>
          </cell>
          <cell r="E17">
            <v>0.85</v>
          </cell>
          <cell r="F17">
            <v>31934</v>
          </cell>
        </row>
        <row r="18">
          <cell r="B18" t="str">
            <v>鋼製 ｼｬｯﾀｰ 重量</v>
          </cell>
          <cell r="C18" t="str">
            <v>扉</v>
          </cell>
          <cell r="D18">
            <v>37570</v>
          </cell>
          <cell r="E18">
            <v>1</v>
          </cell>
          <cell r="F18">
            <v>37570</v>
          </cell>
        </row>
        <row r="19">
          <cell r="B19" t="str">
            <v>鋼製 ｼｬｯﾀｰ グリル 手動</v>
          </cell>
          <cell r="C19" t="str">
            <v>扉</v>
          </cell>
          <cell r="D19">
            <v>33020</v>
          </cell>
          <cell r="E19">
            <v>0.75</v>
          </cell>
          <cell r="F19">
            <v>24765</v>
          </cell>
        </row>
        <row r="20">
          <cell r="B20" t="str">
            <v>鋼製 ｼｬｯﾀｰ グリル</v>
          </cell>
          <cell r="C20" t="str">
            <v>扉</v>
          </cell>
          <cell r="D20">
            <v>33020</v>
          </cell>
          <cell r="E20">
            <v>1</v>
          </cell>
          <cell r="F20">
            <v>33020</v>
          </cell>
        </row>
        <row r="21">
          <cell r="B21" t="str">
            <v>鋼製 ｼｬｯﾀｰ ﾎｰﾙﾃﾞｨﾝｸﾞｹﾞｰﾄ</v>
          </cell>
          <cell r="C21" t="str">
            <v>扉</v>
          </cell>
          <cell r="D21">
            <v>21390</v>
          </cell>
          <cell r="E21">
            <v>1</v>
          </cell>
          <cell r="F21">
            <v>21390</v>
          </cell>
        </row>
        <row r="22">
          <cell r="B22" t="str">
            <v>鋼製 ｼｬｯﾀｰ ﾎｰﾙﾃﾞｨﾝｸﾞｹﾞｰﾄ 電動</v>
          </cell>
          <cell r="C22" t="str">
            <v>扉</v>
          </cell>
          <cell r="D22">
            <v>21390</v>
          </cell>
          <cell r="E22">
            <v>1.5</v>
          </cell>
          <cell r="F22">
            <v>32085</v>
          </cell>
        </row>
        <row r="23">
          <cell r="B23" t="str">
            <v>鋼製 アングル戸 150</v>
          </cell>
          <cell r="C23" t="str">
            <v>扉</v>
          </cell>
          <cell r="D23">
            <v>56940</v>
          </cell>
          <cell r="E23">
            <v>0.8</v>
          </cell>
          <cell r="F23">
            <v>45552</v>
          </cell>
        </row>
        <row r="24">
          <cell r="B24" t="str">
            <v>鋼製 アングル戸 100</v>
          </cell>
          <cell r="C24" t="str">
            <v>扉</v>
          </cell>
          <cell r="D24">
            <v>48100</v>
          </cell>
          <cell r="E24">
            <v>0.8</v>
          </cell>
          <cell r="F24">
            <v>38480</v>
          </cell>
        </row>
        <row r="25">
          <cell r="B25" t="str">
            <v>鋼製 アングル戸 85</v>
          </cell>
          <cell r="C25" t="str">
            <v>扉</v>
          </cell>
          <cell r="D25">
            <v>40880</v>
          </cell>
          <cell r="E25">
            <v>0.8</v>
          </cell>
          <cell r="F25">
            <v>32704</v>
          </cell>
        </row>
        <row r="26">
          <cell r="B26" t="str">
            <v>鋼製 アングル戸 (入力)</v>
          </cell>
          <cell r="C26" t="str">
            <v>扉</v>
          </cell>
          <cell r="D26">
            <v>0</v>
          </cell>
          <cell r="E26">
            <v>0.8</v>
          </cell>
          <cell r="F26">
            <v>0</v>
          </cell>
        </row>
        <row r="27">
          <cell r="B27" t="str">
            <v>鋼製 アングル戸 (入力)</v>
          </cell>
          <cell r="C27" t="str">
            <v>扉</v>
          </cell>
          <cell r="D27">
            <v>0</v>
          </cell>
          <cell r="E27">
            <v>0.8</v>
          </cell>
          <cell r="F27">
            <v>0</v>
          </cell>
        </row>
        <row r="28">
          <cell r="B28" t="str">
            <v>ｱﾙﾐ製 サッシュ 引 100</v>
          </cell>
          <cell r="C28" t="str">
            <v>窓</v>
          </cell>
          <cell r="D28">
            <v>31380</v>
          </cell>
          <cell r="E28">
            <v>1</v>
          </cell>
          <cell r="F28">
            <v>31380</v>
          </cell>
        </row>
        <row r="29">
          <cell r="B29" t="str">
            <v>ｱﾙﾐ製 サッシュ 引 70</v>
          </cell>
          <cell r="C29" t="str">
            <v>窓</v>
          </cell>
          <cell r="D29">
            <v>19610</v>
          </cell>
          <cell r="E29">
            <v>1</v>
          </cell>
          <cell r="F29">
            <v>19610</v>
          </cell>
        </row>
        <row r="30">
          <cell r="B30" t="str">
            <v>ｱﾙﾐ製 サッシュ 引 60</v>
          </cell>
          <cell r="C30" t="str">
            <v>窓</v>
          </cell>
          <cell r="D30">
            <v>16730</v>
          </cell>
          <cell r="E30">
            <v>1</v>
          </cell>
          <cell r="F30">
            <v>16730</v>
          </cell>
        </row>
        <row r="31">
          <cell r="B31" t="str">
            <v>ｱﾙﾐ製 サッシュ 引 (入力)</v>
          </cell>
          <cell r="C31" t="str">
            <v>窓</v>
          </cell>
          <cell r="D31">
            <v>0</v>
          </cell>
          <cell r="E31">
            <v>1</v>
          </cell>
          <cell r="F31">
            <v>0</v>
          </cell>
        </row>
        <row r="32">
          <cell r="B32" t="str">
            <v>ｱﾙﾐ製 サッシュ 引 (入力)</v>
          </cell>
          <cell r="C32" t="str">
            <v>窓</v>
          </cell>
          <cell r="D32">
            <v>0</v>
          </cell>
          <cell r="E32">
            <v>1</v>
          </cell>
          <cell r="F32">
            <v>0</v>
          </cell>
        </row>
        <row r="33">
          <cell r="B33" t="str">
            <v>ｱﾙﾐ製 サッシュ 回転 100</v>
          </cell>
          <cell r="C33" t="str">
            <v>窓</v>
          </cell>
          <cell r="D33">
            <v>37710</v>
          </cell>
          <cell r="E33">
            <v>1</v>
          </cell>
          <cell r="F33">
            <v>37710</v>
          </cell>
        </row>
        <row r="34">
          <cell r="B34" t="str">
            <v>ｱﾙﾐ製 サッシュ 回転 70</v>
          </cell>
          <cell r="C34" t="str">
            <v>窓</v>
          </cell>
          <cell r="D34">
            <v>23280</v>
          </cell>
          <cell r="E34">
            <v>1</v>
          </cell>
          <cell r="F34">
            <v>23280</v>
          </cell>
        </row>
        <row r="35">
          <cell r="B35" t="str">
            <v>ｱﾙﾐ製 サッシュ 回転 60</v>
          </cell>
          <cell r="C35" t="str">
            <v>窓</v>
          </cell>
          <cell r="D35">
            <v>19770</v>
          </cell>
          <cell r="E35">
            <v>1</v>
          </cell>
          <cell r="F35">
            <v>19770</v>
          </cell>
        </row>
        <row r="36">
          <cell r="B36" t="str">
            <v>ｱﾙﾐ製 サッシュ 回転 (入力)</v>
          </cell>
          <cell r="C36" t="str">
            <v>窓</v>
          </cell>
          <cell r="D36">
            <v>0</v>
          </cell>
          <cell r="E36">
            <v>1</v>
          </cell>
          <cell r="F36">
            <v>0</v>
          </cell>
        </row>
        <row r="37">
          <cell r="B37" t="str">
            <v>ｱﾙﾐ製 サッシュ 回転 (入力)</v>
          </cell>
          <cell r="C37" t="str">
            <v>窓</v>
          </cell>
          <cell r="D37">
            <v>0</v>
          </cell>
          <cell r="E37">
            <v>1</v>
          </cell>
          <cell r="F37">
            <v>0</v>
          </cell>
        </row>
        <row r="38">
          <cell r="B38" t="str">
            <v>ｱﾙﾐ製 サッシュ Fix 100</v>
          </cell>
          <cell r="C38" t="str">
            <v>窓</v>
          </cell>
          <cell r="D38">
            <v>26510</v>
          </cell>
          <cell r="E38">
            <v>1</v>
          </cell>
          <cell r="F38">
            <v>26510</v>
          </cell>
        </row>
        <row r="39">
          <cell r="B39" t="str">
            <v>ｱﾙﾐ製 サッシュ Fix 70</v>
          </cell>
          <cell r="C39" t="str">
            <v>窓</v>
          </cell>
          <cell r="D39">
            <v>17030</v>
          </cell>
          <cell r="E39">
            <v>1</v>
          </cell>
          <cell r="F39">
            <v>17030</v>
          </cell>
        </row>
        <row r="40">
          <cell r="B40" t="str">
            <v>ｱﾙﾐ製 サッシュ Fix 60</v>
          </cell>
          <cell r="C40" t="str">
            <v>窓</v>
          </cell>
          <cell r="D40">
            <v>13430</v>
          </cell>
          <cell r="E40">
            <v>1</v>
          </cell>
          <cell r="F40">
            <v>13430</v>
          </cell>
        </row>
        <row r="41">
          <cell r="B41" t="str">
            <v>ｱﾙﾐ製 サッシュ Fix (入力)</v>
          </cell>
          <cell r="C41" t="str">
            <v>窓</v>
          </cell>
          <cell r="D41">
            <v>0</v>
          </cell>
          <cell r="E41">
            <v>1</v>
          </cell>
          <cell r="F41">
            <v>0</v>
          </cell>
        </row>
        <row r="42">
          <cell r="B42" t="str">
            <v>ｱﾙﾐ製 サッシュ Fix (入力)</v>
          </cell>
          <cell r="C42" t="str">
            <v>窓</v>
          </cell>
          <cell r="D42">
            <v>0</v>
          </cell>
          <cell r="E42">
            <v>1</v>
          </cell>
          <cell r="F42">
            <v>0</v>
          </cell>
        </row>
        <row r="43">
          <cell r="B43" t="str">
            <v>ｱﾙﾐ製 サッシュ 滑出し 100</v>
          </cell>
          <cell r="C43" t="str">
            <v>窓</v>
          </cell>
          <cell r="D43">
            <v>37050</v>
          </cell>
          <cell r="E43">
            <v>1</v>
          </cell>
          <cell r="F43">
            <v>37050</v>
          </cell>
        </row>
        <row r="44">
          <cell r="B44" t="str">
            <v>ｱﾙﾐ製 サッシュ 滑出し 70</v>
          </cell>
          <cell r="C44" t="str">
            <v>窓</v>
          </cell>
          <cell r="D44">
            <v>26090</v>
          </cell>
          <cell r="E44">
            <v>1</v>
          </cell>
          <cell r="F44">
            <v>26090</v>
          </cell>
        </row>
        <row r="45">
          <cell r="B45" t="str">
            <v>ｱﾙﾐ製 サッシュ 滑出し 60</v>
          </cell>
          <cell r="C45" t="str">
            <v>窓</v>
          </cell>
          <cell r="D45">
            <v>19000</v>
          </cell>
          <cell r="E45">
            <v>1</v>
          </cell>
          <cell r="F45">
            <v>19000</v>
          </cell>
        </row>
        <row r="46">
          <cell r="B46" t="str">
            <v>ｱﾙﾐ製 サッシュ 滑出し (入力)</v>
          </cell>
          <cell r="C46" t="str">
            <v>窓</v>
          </cell>
          <cell r="D46">
            <v>0</v>
          </cell>
          <cell r="E46">
            <v>1</v>
          </cell>
          <cell r="F46">
            <v>0</v>
          </cell>
        </row>
        <row r="47">
          <cell r="B47" t="str">
            <v>ｱﾙﾐ製 サッシュ 滑出し (入力)</v>
          </cell>
          <cell r="C47" t="str">
            <v>窓</v>
          </cell>
          <cell r="D47">
            <v>0</v>
          </cell>
          <cell r="E47">
            <v>1</v>
          </cell>
          <cell r="F47">
            <v>0</v>
          </cell>
        </row>
        <row r="48">
          <cell r="B48" t="str">
            <v>ｱﾙﾐ製 框戸 100</v>
          </cell>
          <cell r="C48" t="str">
            <v>窓</v>
          </cell>
          <cell r="D48">
            <v>51180</v>
          </cell>
          <cell r="E48">
            <v>1</v>
          </cell>
          <cell r="F48">
            <v>51180</v>
          </cell>
        </row>
        <row r="49">
          <cell r="B49" t="str">
            <v>ｱﾙﾐ製 框戸 70</v>
          </cell>
          <cell r="C49" t="str">
            <v>窓</v>
          </cell>
          <cell r="D49">
            <v>38780</v>
          </cell>
          <cell r="E49">
            <v>1</v>
          </cell>
          <cell r="F49">
            <v>38780</v>
          </cell>
        </row>
        <row r="50">
          <cell r="B50" t="str">
            <v>ｱﾙﾐ製 框戸 60</v>
          </cell>
          <cell r="C50" t="str">
            <v>窓</v>
          </cell>
          <cell r="D50">
            <v>34640</v>
          </cell>
          <cell r="E50">
            <v>1</v>
          </cell>
          <cell r="F50">
            <v>34640</v>
          </cell>
        </row>
        <row r="51">
          <cell r="B51" t="str">
            <v>ｱﾙﾐ製 框戸 (入力)</v>
          </cell>
          <cell r="C51" t="str">
            <v>窓</v>
          </cell>
          <cell r="D51">
            <v>0</v>
          </cell>
          <cell r="E51">
            <v>1</v>
          </cell>
          <cell r="F51">
            <v>0</v>
          </cell>
        </row>
        <row r="52">
          <cell r="B52" t="str">
            <v>ｱﾙﾐ製 フラッシュ戸 100</v>
          </cell>
          <cell r="C52" t="str">
            <v>扉</v>
          </cell>
          <cell r="D52">
            <v>56190</v>
          </cell>
          <cell r="E52">
            <v>1</v>
          </cell>
          <cell r="F52">
            <v>56190</v>
          </cell>
        </row>
        <row r="53">
          <cell r="B53" t="str">
            <v>ｱﾙﾐ製 フラッシュ戸 70</v>
          </cell>
          <cell r="C53" t="str">
            <v>扉</v>
          </cell>
          <cell r="D53">
            <v>41500</v>
          </cell>
          <cell r="E53">
            <v>1</v>
          </cell>
          <cell r="F53">
            <v>41500</v>
          </cell>
        </row>
        <row r="54">
          <cell r="B54" t="str">
            <v>ｱﾙﾐ製 フラッシュ戸 (入力)</v>
          </cell>
          <cell r="C54" t="str">
            <v>扉</v>
          </cell>
          <cell r="D54">
            <v>0</v>
          </cell>
          <cell r="E54">
            <v>1</v>
          </cell>
          <cell r="F54">
            <v>0</v>
          </cell>
        </row>
        <row r="55">
          <cell r="B55" t="str">
            <v>ｱﾙﾐ製 フラッシュ戸 (入力)</v>
          </cell>
          <cell r="C55" t="str">
            <v>扉</v>
          </cell>
          <cell r="D55">
            <v>0</v>
          </cell>
          <cell r="E55">
            <v>1</v>
          </cell>
          <cell r="F55">
            <v>0</v>
          </cell>
        </row>
        <row r="56">
          <cell r="B56" t="str">
            <v>ｱﾙﾐ製 ｼｬｯﾀｰ</v>
          </cell>
          <cell r="C56" t="str">
            <v>扉</v>
          </cell>
          <cell r="D56">
            <v>32690</v>
          </cell>
          <cell r="E56">
            <v>1</v>
          </cell>
          <cell r="F56">
            <v>32690</v>
          </cell>
        </row>
        <row r="57">
          <cell r="B57" t="str">
            <v>ｱﾙﾐ製 ｼｬｯﾀｰ 電動</v>
          </cell>
          <cell r="C57" t="str">
            <v>扉</v>
          </cell>
          <cell r="D57">
            <v>32690</v>
          </cell>
          <cell r="E57">
            <v>1.45</v>
          </cell>
          <cell r="F57">
            <v>47400</v>
          </cell>
        </row>
        <row r="58">
          <cell r="B58" t="str">
            <v>ｱﾙﾐ製 ｼﾞｬﾛｼﾞｰ 70 (ｶﾞﾗｽ共)</v>
          </cell>
          <cell r="C58" t="str">
            <v>扉</v>
          </cell>
          <cell r="D58">
            <v>62580</v>
          </cell>
          <cell r="E58">
            <v>1</v>
          </cell>
          <cell r="F58">
            <v>62580</v>
          </cell>
        </row>
        <row r="59">
          <cell r="B59" t="str">
            <v>ｱﾙﾐ製 ガラリ戸 70</v>
          </cell>
          <cell r="C59" t="str">
            <v>扉</v>
          </cell>
          <cell r="D59">
            <v>18730</v>
          </cell>
          <cell r="E59">
            <v>1</v>
          </cell>
          <cell r="F59">
            <v>18730</v>
          </cell>
        </row>
        <row r="60">
          <cell r="B60" t="str">
            <v>ｽﾃﾝﾚｽ製 ｼｬｯﾀｰ 手動</v>
          </cell>
          <cell r="C60" t="str">
            <v>扉</v>
          </cell>
          <cell r="D60">
            <v>63950</v>
          </cell>
          <cell r="E60">
            <v>0.9</v>
          </cell>
          <cell r="F60">
            <v>57555</v>
          </cell>
        </row>
        <row r="61">
          <cell r="B61" t="str">
            <v>ｽﾃﾝﾚｽ製 ｼｬｯﾀｰ</v>
          </cell>
          <cell r="C61" t="str">
            <v>扉</v>
          </cell>
          <cell r="D61">
            <v>63950</v>
          </cell>
          <cell r="E61">
            <v>1</v>
          </cell>
          <cell r="F61">
            <v>63950</v>
          </cell>
        </row>
        <row r="62">
          <cell r="B62" t="str">
            <v>ｽﾃﾝﾚｽ製 ｼｬｯﾀｰ グリル 手動</v>
          </cell>
          <cell r="C62" t="str">
            <v>扉</v>
          </cell>
          <cell r="D62">
            <v>57840</v>
          </cell>
          <cell r="E62">
            <v>0.85</v>
          </cell>
          <cell r="F62">
            <v>49164</v>
          </cell>
        </row>
        <row r="63">
          <cell r="B63" t="str">
            <v>ｽﾃﾝﾚｽ製 ｼｬｯﾀｰ グリル</v>
          </cell>
          <cell r="C63" t="str">
            <v>扉</v>
          </cell>
          <cell r="D63">
            <v>57840</v>
          </cell>
          <cell r="E63">
            <v>1</v>
          </cell>
          <cell r="F63">
            <v>57840</v>
          </cell>
        </row>
        <row r="64">
          <cell r="B64" t="str">
            <v>ｽﾃﾝﾚｽ製 ｼｬｯﾀｰ ﾎｰﾙﾃﾞｨﾝｸﾞｹﾞｰﾄ</v>
          </cell>
          <cell r="C64" t="str">
            <v>扉</v>
          </cell>
          <cell r="D64">
            <v>41940</v>
          </cell>
          <cell r="E64">
            <v>1</v>
          </cell>
          <cell r="F64">
            <v>41940</v>
          </cell>
        </row>
        <row r="65">
          <cell r="B65" t="str">
            <v>ｽﾃﾝﾚｽ製 ｼｬｯﾀｰ ﾎｰﾙﾃﾞｨﾝｸﾞｹﾞｰﾄ 電動</v>
          </cell>
          <cell r="C65" t="str">
            <v>扉</v>
          </cell>
          <cell r="D65">
            <v>41940</v>
          </cell>
          <cell r="E65">
            <v>1.25</v>
          </cell>
          <cell r="F65">
            <v>52425</v>
          </cell>
        </row>
        <row r="66">
          <cell r="B66" t="str">
            <v>ｽﾃﾝﾚｽ製 サッシュ 150</v>
          </cell>
          <cell r="C66" t="str">
            <v>窓</v>
          </cell>
          <cell r="D66">
            <v>93080</v>
          </cell>
          <cell r="E66">
            <v>1</v>
          </cell>
          <cell r="F66">
            <v>93080</v>
          </cell>
        </row>
        <row r="67">
          <cell r="B67" t="str">
            <v>ｽﾃﾝﾚｽ製 サッシュ 100</v>
          </cell>
          <cell r="C67" t="str">
            <v>窓</v>
          </cell>
          <cell r="D67">
            <v>84660</v>
          </cell>
          <cell r="E67">
            <v>1</v>
          </cell>
          <cell r="F67">
            <v>84660</v>
          </cell>
        </row>
        <row r="68">
          <cell r="B68" t="str">
            <v>ｽﾃﾝﾚｽ製 サッシュ (入力)</v>
          </cell>
          <cell r="C68" t="str">
            <v>窓</v>
          </cell>
          <cell r="D68">
            <v>0</v>
          </cell>
          <cell r="E68">
            <v>1</v>
          </cell>
          <cell r="F68">
            <v>0</v>
          </cell>
        </row>
        <row r="69">
          <cell r="B69" t="str">
            <v>ｽﾃﾝﾚｽ製 サッシュ (入力)</v>
          </cell>
          <cell r="C69" t="str">
            <v>窓</v>
          </cell>
          <cell r="D69">
            <v>0</v>
          </cell>
          <cell r="E69">
            <v>1</v>
          </cell>
          <cell r="F69">
            <v>0</v>
          </cell>
        </row>
        <row r="70">
          <cell r="B70" t="str">
            <v>ｽﾃﾝﾚｽ製 框戸 150</v>
          </cell>
          <cell r="C70" t="str">
            <v>窓</v>
          </cell>
          <cell r="D70">
            <v>140960</v>
          </cell>
          <cell r="E70">
            <v>1</v>
          </cell>
          <cell r="F70">
            <v>140960</v>
          </cell>
        </row>
        <row r="71">
          <cell r="B71" t="str">
            <v>ｽﾃﾝﾚｽ製 框戸 100</v>
          </cell>
          <cell r="C71" t="str">
            <v>窓</v>
          </cell>
          <cell r="D71">
            <v>119700</v>
          </cell>
          <cell r="E71">
            <v>1</v>
          </cell>
          <cell r="F71">
            <v>119700</v>
          </cell>
        </row>
        <row r="72">
          <cell r="B72" t="str">
            <v>ｽﾃﾝﾚｽ製 框戸 (入力)</v>
          </cell>
          <cell r="C72" t="str">
            <v>窓</v>
          </cell>
          <cell r="D72">
            <v>0</v>
          </cell>
          <cell r="E72">
            <v>1</v>
          </cell>
          <cell r="F72">
            <v>0</v>
          </cell>
        </row>
        <row r="73">
          <cell r="B73" t="str">
            <v>ｽﾃﾝﾚｽ製 框戸 (入力)</v>
          </cell>
          <cell r="C73" t="str">
            <v>窓</v>
          </cell>
          <cell r="D73">
            <v>0</v>
          </cell>
          <cell r="E73">
            <v>1</v>
          </cell>
          <cell r="F73">
            <v>0</v>
          </cell>
        </row>
        <row r="74">
          <cell r="B74" t="str">
            <v>ｽﾃﾝﾚｽ製 フラッシュ戸 150</v>
          </cell>
          <cell r="C74" t="str">
            <v>扉</v>
          </cell>
          <cell r="D74">
            <v>156010</v>
          </cell>
          <cell r="E74">
            <v>1</v>
          </cell>
          <cell r="F74">
            <v>156010</v>
          </cell>
        </row>
        <row r="75">
          <cell r="B75" t="str">
            <v>ｽﾃﾝﾚｽ製 フラッシュ戸 100</v>
          </cell>
          <cell r="C75" t="str">
            <v>扉</v>
          </cell>
          <cell r="D75">
            <v>130810</v>
          </cell>
          <cell r="E75">
            <v>1</v>
          </cell>
          <cell r="F75">
            <v>130810</v>
          </cell>
        </row>
        <row r="76">
          <cell r="B76" t="str">
            <v>ｽﾃﾝﾚｽ製 フラッシュ戸 (入力)</v>
          </cell>
          <cell r="C76" t="str">
            <v>扉</v>
          </cell>
          <cell r="D76">
            <v>0</v>
          </cell>
          <cell r="E76">
            <v>1</v>
          </cell>
          <cell r="F76">
            <v>0</v>
          </cell>
        </row>
        <row r="77">
          <cell r="B77" t="str">
            <v>ｽﾃﾝﾚｽ製 フラッシュ戸 (入力)</v>
          </cell>
          <cell r="C77" t="str">
            <v>扉</v>
          </cell>
          <cell r="D77">
            <v>0</v>
          </cell>
          <cell r="E77">
            <v>1</v>
          </cell>
          <cell r="F77">
            <v>0</v>
          </cell>
        </row>
        <row r="78">
          <cell r="B78" t="str">
            <v>.</v>
          </cell>
        </row>
        <row r="79">
          <cell r="B79" t="str">
            <v>◆　木　製　◆</v>
          </cell>
        </row>
        <row r="80">
          <cell r="B80" t="str">
            <v>木製 サッシュ 引 120</v>
          </cell>
          <cell r="C80" t="str">
            <v>窓</v>
          </cell>
          <cell r="D80">
            <v>20890</v>
          </cell>
          <cell r="E80">
            <v>1</v>
          </cell>
          <cell r="F80">
            <v>20890</v>
          </cell>
        </row>
        <row r="81">
          <cell r="B81" t="str">
            <v>木製 サッシュ 引 100</v>
          </cell>
          <cell r="C81" t="str">
            <v>窓</v>
          </cell>
          <cell r="D81">
            <v>17040</v>
          </cell>
          <cell r="E81">
            <v>1</v>
          </cell>
          <cell r="F81">
            <v>17040</v>
          </cell>
        </row>
        <row r="82">
          <cell r="B82" t="str">
            <v>木製 サッシュ 引 90</v>
          </cell>
          <cell r="C82" t="str">
            <v>窓</v>
          </cell>
          <cell r="D82">
            <v>15080</v>
          </cell>
          <cell r="E82">
            <v>1</v>
          </cell>
          <cell r="F82">
            <v>15080</v>
          </cell>
        </row>
        <row r="83">
          <cell r="B83" t="str">
            <v>木製 サッシュ 引 (入力)</v>
          </cell>
          <cell r="C83" t="str">
            <v>窓</v>
          </cell>
          <cell r="D83">
            <v>0</v>
          </cell>
          <cell r="E83">
            <v>1</v>
          </cell>
          <cell r="F83">
            <v>0</v>
          </cell>
        </row>
        <row r="84">
          <cell r="B84" t="str">
            <v>木製 サッシュ 引 (入力)</v>
          </cell>
          <cell r="C84" t="str">
            <v>窓</v>
          </cell>
          <cell r="D84">
            <v>0</v>
          </cell>
          <cell r="E84">
            <v>1</v>
          </cell>
          <cell r="F84">
            <v>0</v>
          </cell>
        </row>
        <row r="85">
          <cell r="B85" t="str">
            <v>木製 サッシュ 回転 100</v>
          </cell>
          <cell r="C85" t="str">
            <v>窓</v>
          </cell>
          <cell r="D85">
            <v>19440</v>
          </cell>
          <cell r="E85">
            <v>1</v>
          </cell>
          <cell r="F85">
            <v>19440</v>
          </cell>
        </row>
        <row r="86">
          <cell r="B86" t="str">
            <v>木製 サッシュ 回転 90</v>
          </cell>
          <cell r="C86" t="str">
            <v>窓</v>
          </cell>
          <cell r="D86">
            <v>16840</v>
          </cell>
          <cell r="E86">
            <v>1</v>
          </cell>
          <cell r="F86">
            <v>16840</v>
          </cell>
        </row>
        <row r="87">
          <cell r="B87" t="str">
            <v>木製 サッシュ Fix 120</v>
          </cell>
          <cell r="C87" t="str">
            <v>窓</v>
          </cell>
          <cell r="D87">
            <v>12210</v>
          </cell>
          <cell r="E87">
            <v>1</v>
          </cell>
          <cell r="F87">
            <v>12210</v>
          </cell>
        </row>
        <row r="88">
          <cell r="B88" t="str">
            <v>木製 サッシュ Fix 100</v>
          </cell>
          <cell r="C88" t="str">
            <v>窓</v>
          </cell>
          <cell r="D88">
            <v>10200</v>
          </cell>
          <cell r="E88">
            <v>1</v>
          </cell>
          <cell r="F88">
            <v>10200</v>
          </cell>
        </row>
        <row r="89">
          <cell r="B89" t="str">
            <v>木製 サッシュ Fix 90</v>
          </cell>
          <cell r="C89" t="str">
            <v>窓</v>
          </cell>
          <cell r="D89">
            <v>8830</v>
          </cell>
          <cell r="E89">
            <v>1</v>
          </cell>
          <cell r="F89">
            <v>8830</v>
          </cell>
        </row>
        <row r="90">
          <cell r="B90" t="str">
            <v>木製 サッシュ Fix (入力)</v>
          </cell>
          <cell r="C90" t="str">
            <v>窓</v>
          </cell>
          <cell r="D90">
            <v>0</v>
          </cell>
          <cell r="E90">
            <v>1</v>
          </cell>
          <cell r="F90">
            <v>0</v>
          </cell>
        </row>
        <row r="91">
          <cell r="B91" t="str">
            <v>木製 サッシュ Fix (入力)</v>
          </cell>
          <cell r="C91" t="str">
            <v>窓</v>
          </cell>
          <cell r="D91">
            <v>0</v>
          </cell>
          <cell r="E91">
            <v>1</v>
          </cell>
          <cell r="F91">
            <v>0</v>
          </cell>
        </row>
        <row r="92">
          <cell r="B92" t="str">
            <v>木製 サッシュ 上下 100</v>
          </cell>
          <cell r="C92" t="str">
            <v>窓</v>
          </cell>
          <cell r="D92">
            <v>19620</v>
          </cell>
          <cell r="E92">
            <v>1</v>
          </cell>
          <cell r="F92">
            <v>19620</v>
          </cell>
        </row>
        <row r="93">
          <cell r="B93" t="str">
            <v>木製 フラッシュ戸 単板</v>
          </cell>
          <cell r="C93" t="str">
            <v>扉</v>
          </cell>
          <cell r="D93">
            <v>70990</v>
          </cell>
          <cell r="E93">
            <v>1</v>
          </cell>
          <cell r="F93">
            <v>70990</v>
          </cell>
        </row>
        <row r="94">
          <cell r="B94" t="str">
            <v>木製 フラッシュ戸 合樹 上</v>
          </cell>
          <cell r="C94" t="str">
            <v>扉</v>
          </cell>
          <cell r="D94">
            <v>57070</v>
          </cell>
          <cell r="E94">
            <v>1</v>
          </cell>
          <cell r="F94">
            <v>57070</v>
          </cell>
        </row>
        <row r="95">
          <cell r="B95" t="str">
            <v>木製 フラッシュ戸 合樹 並</v>
          </cell>
          <cell r="C95" t="str">
            <v>扉</v>
          </cell>
          <cell r="D95">
            <v>29620</v>
          </cell>
          <cell r="E95">
            <v>1</v>
          </cell>
          <cell r="F95">
            <v>29620</v>
          </cell>
        </row>
        <row r="96">
          <cell r="B96" t="str">
            <v>木製 フラッシュ戸 しな合板</v>
          </cell>
          <cell r="C96" t="str">
            <v>扉</v>
          </cell>
          <cell r="D96">
            <v>27110</v>
          </cell>
          <cell r="E96">
            <v>1</v>
          </cell>
          <cell r="F96">
            <v>27110</v>
          </cell>
        </row>
        <row r="97">
          <cell r="B97" t="str">
            <v>木製 框戸 桧</v>
          </cell>
          <cell r="C97" t="str">
            <v>窓</v>
          </cell>
          <cell r="D97">
            <v>36910</v>
          </cell>
          <cell r="E97">
            <v>1</v>
          </cell>
          <cell r="F97">
            <v>36910</v>
          </cell>
        </row>
        <row r="98">
          <cell r="B98" t="str">
            <v>木製 框戸 杉</v>
          </cell>
          <cell r="C98" t="str">
            <v>窓</v>
          </cell>
          <cell r="D98">
            <v>31180</v>
          </cell>
          <cell r="E98">
            <v>1</v>
          </cell>
          <cell r="F98">
            <v>31180</v>
          </cell>
        </row>
        <row r="99">
          <cell r="B99" t="str">
            <v>木製 框戸 ラワン</v>
          </cell>
          <cell r="C99" t="str">
            <v>窓</v>
          </cell>
          <cell r="D99">
            <v>25560</v>
          </cell>
          <cell r="E99">
            <v>1</v>
          </cell>
          <cell r="F99">
            <v>25560</v>
          </cell>
        </row>
        <row r="100">
          <cell r="B100" t="str">
            <v>木製 ふすま 上</v>
          </cell>
          <cell r="C100" t="str">
            <v>扉</v>
          </cell>
          <cell r="D100">
            <v>19630</v>
          </cell>
          <cell r="E100">
            <v>1</v>
          </cell>
          <cell r="F100">
            <v>19630</v>
          </cell>
        </row>
        <row r="101">
          <cell r="B101" t="str">
            <v>木製 ふすま 並</v>
          </cell>
          <cell r="C101" t="str">
            <v>扉</v>
          </cell>
          <cell r="D101">
            <v>12020</v>
          </cell>
          <cell r="E101">
            <v>1</v>
          </cell>
          <cell r="F101">
            <v>12020</v>
          </cell>
        </row>
        <row r="102">
          <cell r="B102" t="str">
            <v>木製 障子 猫間(ｶﾞﾗｽ共)</v>
          </cell>
          <cell r="C102" t="str">
            <v>扉</v>
          </cell>
          <cell r="D102">
            <v>37820</v>
          </cell>
          <cell r="E102">
            <v>1</v>
          </cell>
          <cell r="F102">
            <v>37820</v>
          </cell>
        </row>
        <row r="103">
          <cell r="B103" t="str">
            <v>木製 障子 腰付額入(ｶﾞﾗｽ共)</v>
          </cell>
          <cell r="C103" t="str">
            <v>扉</v>
          </cell>
          <cell r="D103">
            <v>25820</v>
          </cell>
          <cell r="E103">
            <v>1</v>
          </cell>
          <cell r="F103">
            <v>25820</v>
          </cell>
        </row>
        <row r="104">
          <cell r="B104" t="str">
            <v>木製 障子 腰付額なし</v>
          </cell>
          <cell r="C104" t="str">
            <v>扉</v>
          </cell>
          <cell r="D104">
            <v>11520</v>
          </cell>
          <cell r="E104">
            <v>1</v>
          </cell>
          <cell r="F104">
            <v>11520</v>
          </cell>
        </row>
        <row r="105">
          <cell r="B105" t="str">
            <v>木製 雨戸 木製</v>
          </cell>
          <cell r="C105" t="str">
            <v>扉</v>
          </cell>
          <cell r="D105">
            <v>9350</v>
          </cell>
          <cell r="E105">
            <v>1</v>
          </cell>
          <cell r="F105">
            <v>9350</v>
          </cell>
        </row>
        <row r="106">
          <cell r="B106" t="str">
            <v>木製 雨戸 金属製</v>
          </cell>
          <cell r="C106" t="str">
            <v>扉</v>
          </cell>
          <cell r="D106">
            <v>5740</v>
          </cell>
          <cell r="E106">
            <v>1</v>
          </cell>
          <cell r="F106">
            <v>5740</v>
          </cell>
        </row>
        <row r="107">
          <cell r="B107" t="str">
            <v>木製 ガラリ戸 90</v>
          </cell>
          <cell r="C107" t="str">
            <v>扉</v>
          </cell>
          <cell r="D107">
            <v>9150</v>
          </cell>
          <cell r="E107">
            <v>1.5</v>
          </cell>
          <cell r="F107">
            <v>13725</v>
          </cell>
        </row>
        <row r="108">
          <cell r="B108" t="str">
            <v>.</v>
          </cell>
        </row>
        <row r="109">
          <cell r="B109" t="str">
            <v>◆　そ　の　他　◆</v>
          </cell>
        </row>
        <row r="110">
          <cell r="B110" t="str">
            <v>［建具名称］ 自動 片</v>
          </cell>
          <cell r="C110">
            <v>0</v>
          </cell>
          <cell r="D110">
            <v>187070</v>
          </cell>
          <cell r="E110">
            <v>1</v>
          </cell>
          <cell r="F110">
            <v>187070</v>
          </cell>
        </row>
        <row r="111">
          <cell r="B111" t="str">
            <v>［建具名称］ 自動 片</v>
          </cell>
          <cell r="C111">
            <v>0</v>
          </cell>
          <cell r="D111">
            <v>187070</v>
          </cell>
          <cell r="E111">
            <v>1</v>
          </cell>
          <cell r="F111">
            <v>187070</v>
          </cell>
        </row>
        <row r="112">
          <cell r="B112" t="str">
            <v>［建具名称］ 自動 両</v>
          </cell>
          <cell r="C112">
            <v>0</v>
          </cell>
          <cell r="D112">
            <v>93530</v>
          </cell>
          <cell r="E112">
            <v>1</v>
          </cell>
          <cell r="F112">
            <v>93530</v>
          </cell>
        </row>
        <row r="113">
          <cell r="B113" t="str">
            <v>［建具名称］ 自動 両</v>
          </cell>
          <cell r="C113">
            <v>0</v>
          </cell>
          <cell r="D113">
            <v>93530</v>
          </cell>
          <cell r="E113">
            <v>1</v>
          </cell>
          <cell r="F113">
            <v>93530</v>
          </cell>
        </row>
        <row r="114">
          <cell r="B114" t="str">
            <v>［建具名称］ 煙感知器連動</v>
          </cell>
          <cell r="C114">
            <v>0</v>
          </cell>
          <cell r="D114">
            <v>0</v>
          </cell>
          <cell r="E114">
            <v>1.1299999999999999</v>
          </cell>
          <cell r="F114">
            <v>0</v>
          </cell>
        </row>
        <row r="115">
          <cell r="B115" t="str">
            <v>［建具名称］ 煙感知器連動</v>
          </cell>
          <cell r="C115">
            <v>0</v>
          </cell>
          <cell r="D115">
            <v>0</v>
          </cell>
          <cell r="E115">
            <v>1.1299999999999999</v>
          </cell>
          <cell r="F115">
            <v>0</v>
          </cell>
        </row>
        <row r="116">
          <cell r="B116" t="str">
            <v>［建具名称］ 二重サッシュ 枠60</v>
          </cell>
          <cell r="C116">
            <v>0</v>
          </cell>
          <cell r="D116">
            <v>0</v>
          </cell>
          <cell r="E116">
            <v>0.8</v>
          </cell>
          <cell r="F116">
            <v>0</v>
          </cell>
        </row>
        <row r="117">
          <cell r="B117" t="str">
            <v>［建具名称］ 二重サッシュ 枠70</v>
          </cell>
          <cell r="C117">
            <v>0</v>
          </cell>
          <cell r="D117">
            <v>0</v>
          </cell>
          <cell r="E117">
            <v>0.85</v>
          </cell>
          <cell r="F117">
            <v>0</v>
          </cell>
        </row>
        <row r="118">
          <cell r="B118" t="str">
            <v>［建具名称］ 二重サッシュ 枠100</v>
          </cell>
          <cell r="C118">
            <v>0</v>
          </cell>
          <cell r="D118">
            <v>0</v>
          </cell>
          <cell r="E118">
            <v>0.9</v>
          </cell>
          <cell r="F118">
            <v>0</v>
          </cell>
        </row>
        <row r="119">
          <cell r="B119" t="str">
            <v>ﾌﾚｰﾑﾚｽﾄﾞｱ 強化ｶﾞﾗｽ戸 自動</v>
          </cell>
          <cell r="C119" t="str">
            <v>扉</v>
          </cell>
          <cell r="D119">
            <v>352270</v>
          </cell>
          <cell r="E119">
            <v>1</v>
          </cell>
          <cell r="F119">
            <v>352270</v>
          </cell>
        </row>
        <row r="120">
          <cell r="B120" t="str">
            <v>ﾌﾚｰﾑﾚｽﾄﾞｱ 強化ｶﾞﾗｽ戸 手動</v>
          </cell>
          <cell r="C120" t="str">
            <v>扉</v>
          </cell>
          <cell r="D120">
            <v>165190</v>
          </cell>
          <cell r="E120">
            <v>1</v>
          </cell>
          <cell r="F120">
            <v>165190</v>
          </cell>
        </row>
        <row r="121">
          <cell r="B121" t="str">
            <v>ﾌﾚｰﾑﾚｽﾄﾞｱ ｱｸﾘﾙ戸 自動</v>
          </cell>
          <cell r="C121" t="str">
            <v>扉</v>
          </cell>
          <cell r="D121">
            <v>278470</v>
          </cell>
          <cell r="E121">
            <v>1</v>
          </cell>
          <cell r="F121">
            <v>278470</v>
          </cell>
        </row>
        <row r="122">
          <cell r="B122" t="str">
            <v>ﾌﾚｰﾑﾚｽﾄﾞｱ ｱｸﾘﾙ戸 手動</v>
          </cell>
          <cell r="C122" t="str">
            <v>扉</v>
          </cell>
          <cell r="D122">
            <v>77660</v>
          </cell>
          <cell r="E122">
            <v>1</v>
          </cell>
          <cell r="F122">
            <v>77660</v>
          </cell>
        </row>
        <row r="123">
          <cell r="B123" t="str">
            <v>アコーディオンドア（ｱﾙﾐ縁)</v>
          </cell>
          <cell r="C123" t="str">
            <v>扉</v>
          </cell>
          <cell r="D123">
            <v>17890</v>
          </cell>
          <cell r="E123">
            <v>1</v>
          </cell>
          <cell r="F123">
            <v>17890</v>
          </cell>
        </row>
        <row r="124">
          <cell r="B124" t="str">
            <v>シートシャッター 内部</v>
          </cell>
          <cell r="C124" t="str">
            <v>扉</v>
          </cell>
          <cell r="D124">
            <v>102280</v>
          </cell>
          <cell r="E124">
            <v>1</v>
          </cell>
          <cell r="F124">
            <v>102280</v>
          </cell>
        </row>
        <row r="125">
          <cell r="B125" t="str">
            <v>シートシャッター 外部</v>
          </cell>
          <cell r="C125" t="str">
            <v>扉</v>
          </cell>
          <cell r="D125">
            <v>86690</v>
          </cell>
          <cell r="E125">
            <v>1</v>
          </cell>
          <cell r="F125">
            <v>86690</v>
          </cell>
        </row>
        <row r="126">
          <cell r="B126" t="str">
            <v>ｶﾞﾗｽﾌﾞﾛｯｸ 透明115×115×95</v>
          </cell>
          <cell r="C126" t="str">
            <v>扉</v>
          </cell>
          <cell r="D126">
            <v>50110</v>
          </cell>
          <cell r="E126">
            <v>1</v>
          </cell>
          <cell r="F126">
            <v>50110</v>
          </cell>
        </row>
        <row r="127">
          <cell r="B127" t="str">
            <v>ｶﾞﾗｽﾌﾞﾛｯｸ 透明145×145×95</v>
          </cell>
          <cell r="C127" t="str">
            <v>扉</v>
          </cell>
          <cell r="D127">
            <v>38450</v>
          </cell>
          <cell r="E127">
            <v>1</v>
          </cell>
          <cell r="F127">
            <v>38450</v>
          </cell>
        </row>
        <row r="128">
          <cell r="B128" t="str">
            <v>ｶﾞﾗｽﾌﾞﾛｯｸ 透明190×190×95</v>
          </cell>
          <cell r="C128" t="str">
            <v>扉</v>
          </cell>
          <cell r="D128">
            <v>30700</v>
          </cell>
          <cell r="E128">
            <v>1</v>
          </cell>
          <cell r="F128">
            <v>30700</v>
          </cell>
        </row>
        <row r="129">
          <cell r="B129" t="str">
            <v>ｶﾞﾗｽﾌﾞﾛｯｸ 色物145×145×95</v>
          </cell>
          <cell r="C129" t="str">
            <v>扉</v>
          </cell>
          <cell r="D129">
            <v>45170</v>
          </cell>
          <cell r="E129">
            <v>1</v>
          </cell>
          <cell r="F129">
            <v>45170</v>
          </cell>
        </row>
        <row r="130">
          <cell r="B130" t="str">
            <v>ｵｰﾊﾞｰｽﾗｲﾀﾞｰ　ｽﾁｰﾙ製</v>
          </cell>
          <cell r="C130" t="str">
            <v>扉</v>
          </cell>
          <cell r="D130">
            <v>23760</v>
          </cell>
          <cell r="E130">
            <v>1</v>
          </cell>
          <cell r="F130">
            <v>23760</v>
          </cell>
        </row>
        <row r="131">
          <cell r="B131" t="str">
            <v>ｵｰﾊﾞｰｽﾗｲﾀﾞｰ　ｱﾙﾐ製</v>
          </cell>
          <cell r="C131" t="str">
            <v>扉</v>
          </cell>
          <cell r="D131">
            <v>28420</v>
          </cell>
          <cell r="E131">
            <v>1</v>
          </cell>
          <cell r="F131">
            <v>28420</v>
          </cell>
        </row>
        <row r="132">
          <cell r="B132" t="str">
            <v>ｵｰﾊﾞｰｽﾗｲﾀﾞｰ　ﾌｧｲﾊﾞｰｸﾞﾗｽ製</v>
          </cell>
          <cell r="C132" t="str">
            <v>扉</v>
          </cell>
          <cell r="D132">
            <v>35360</v>
          </cell>
          <cell r="E132">
            <v>1</v>
          </cell>
          <cell r="F132">
            <v>35360</v>
          </cell>
        </row>
        <row r="133">
          <cell r="B133" t="str">
            <v>鉛入 木製 ﾌﾗｯｼｭ戸(放射線防護扉)</v>
          </cell>
          <cell r="C133" t="str">
            <v>扉</v>
          </cell>
          <cell r="D133">
            <v>74210</v>
          </cell>
          <cell r="E133">
            <v>1</v>
          </cell>
          <cell r="F133">
            <v>74210</v>
          </cell>
        </row>
        <row r="134">
          <cell r="B134" t="str">
            <v>鉛入 鋼製 ﾌﾗｯｼｭ戸(放射線防護扉)</v>
          </cell>
          <cell r="C134" t="str">
            <v>扉</v>
          </cell>
          <cell r="D134">
            <v>99310</v>
          </cell>
          <cell r="E134">
            <v>1</v>
          </cell>
          <cell r="F134">
            <v>99310</v>
          </cell>
        </row>
        <row r="135">
          <cell r="B135" t="str">
            <v>鉛入 ｱﾙﾐ製 ﾌﾗｯｼｭ戸(放射線防護扉)</v>
          </cell>
          <cell r="C135" t="str">
            <v>扉</v>
          </cell>
          <cell r="D135">
            <v>153330</v>
          </cell>
          <cell r="E135">
            <v>1</v>
          </cell>
          <cell r="F135">
            <v>153330</v>
          </cell>
        </row>
        <row r="136">
          <cell r="B136" t="str">
            <v>.</v>
          </cell>
        </row>
        <row r="137">
          <cell r="B137" t="str">
            <v>◆　建具自由作成　◆</v>
          </cell>
          <cell r="D137">
            <v>0</v>
          </cell>
          <cell r="E137">
            <v>1</v>
          </cell>
          <cell r="F137">
            <v>0</v>
          </cell>
        </row>
        <row r="138">
          <cell r="B138" t="str">
            <v>（建具自由作成１）</v>
          </cell>
          <cell r="D138">
            <v>0</v>
          </cell>
          <cell r="E138">
            <v>1</v>
          </cell>
          <cell r="F138">
            <v>0</v>
          </cell>
        </row>
        <row r="139">
          <cell r="B139" t="str">
            <v>（建具自由作成２）</v>
          </cell>
          <cell r="D139">
            <v>0</v>
          </cell>
          <cell r="E139">
            <v>1</v>
          </cell>
          <cell r="F139">
            <v>0</v>
          </cell>
        </row>
        <row r="140">
          <cell r="B140" t="str">
            <v>（建具自由作成３）</v>
          </cell>
          <cell r="D140">
            <v>0</v>
          </cell>
          <cell r="E140">
            <v>1</v>
          </cell>
          <cell r="F140">
            <v>0</v>
          </cell>
        </row>
        <row r="141">
          <cell r="B141" t="str">
            <v>（建具自由作成４）</v>
          </cell>
          <cell r="D141">
            <v>0</v>
          </cell>
          <cell r="E141">
            <v>1</v>
          </cell>
          <cell r="F141">
            <v>0</v>
          </cell>
        </row>
        <row r="142">
          <cell r="B142" t="str">
            <v>（建具自由作成５）</v>
          </cell>
          <cell r="D142">
            <v>0</v>
          </cell>
          <cell r="E142">
            <v>1</v>
          </cell>
          <cell r="F142">
            <v>0</v>
          </cell>
        </row>
        <row r="143">
          <cell r="B143" t="str">
            <v>［網戸名称］</v>
          </cell>
        </row>
        <row r="144">
          <cell r="B144" t="str">
            <v>.</v>
          </cell>
        </row>
        <row r="145">
          <cell r="B145" t="str">
            <v>ｱﾙﾐ枠+合樹網(全)</v>
          </cell>
        </row>
        <row r="146">
          <cell r="B146" t="str">
            <v>ｱﾙﾐ枠+合樹網(片)</v>
          </cell>
        </row>
        <row r="147">
          <cell r="B147" t="str">
            <v>ｱﾙﾐ枠+ｽﾃﾝﾚｽ網(全)</v>
          </cell>
        </row>
        <row r="148">
          <cell r="B148" t="str">
            <v>ｱﾙﾐ枠+ｽﾃﾝﾚｽ網(片)</v>
          </cell>
        </row>
        <row r="149">
          <cell r="B149" t="str">
            <v>木製枠+合樹網(全)</v>
          </cell>
        </row>
        <row r="150">
          <cell r="B150" t="str">
            <v>木製枠+合樹網(片)</v>
          </cell>
        </row>
        <row r="151">
          <cell r="B151" t="str">
            <v>木製枠+ｽﾃﾝﾚｽ網(全)</v>
          </cell>
        </row>
        <row r="152">
          <cell r="B152" t="str">
            <v>木製枠+ｽﾃﾝﾚｽ網(片)</v>
          </cell>
        </row>
        <row r="153">
          <cell r="B153" t="str">
            <v>（網戸自由作成１）</v>
          </cell>
        </row>
        <row r="154">
          <cell r="B154" t="str">
            <v>（網戸自由作成２）</v>
          </cell>
        </row>
        <row r="155">
          <cell r="B155" t="str">
            <v>［硝子名称］</v>
          </cell>
        </row>
        <row r="156">
          <cell r="B156" t="str">
            <v>.</v>
          </cell>
        </row>
        <row r="157">
          <cell r="B157" t="str">
            <v>フロート(透明) 6</v>
          </cell>
        </row>
        <row r="158">
          <cell r="B158" t="str">
            <v>フロート(透明) 5</v>
          </cell>
        </row>
        <row r="159">
          <cell r="B159" t="str">
            <v>フロート(透明) 3</v>
          </cell>
        </row>
        <row r="160">
          <cell r="B160" t="str">
            <v>型板 4</v>
          </cell>
        </row>
        <row r="161">
          <cell r="B161" t="str">
            <v>網入型板　6.8</v>
          </cell>
        </row>
        <row r="162">
          <cell r="B162" t="str">
            <v>網入磨板　10</v>
          </cell>
        </row>
        <row r="163">
          <cell r="B163" t="str">
            <v>網入磨板　6.8</v>
          </cell>
        </row>
        <row r="164">
          <cell r="B164" t="str">
            <v>熱線吸収 ﾌﾛｰﾄ 5～6</v>
          </cell>
        </row>
        <row r="165">
          <cell r="B165" t="str">
            <v>合わせ ﾌﾛｰﾄ 5+5</v>
          </cell>
        </row>
        <row r="166">
          <cell r="B166" t="str">
            <v>合わせ ﾌﾛｰﾄ 3+3</v>
          </cell>
        </row>
        <row r="167">
          <cell r="B167" t="str">
            <v>合わせ 熱線吸収 3+5</v>
          </cell>
        </row>
        <row r="168">
          <cell r="B168" t="str">
            <v>合わせ 熱線吸収 3+3</v>
          </cell>
        </row>
        <row r="169">
          <cell r="B169" t="str">
            <v>強化 ﾌﾛｰﾄ　10</v>
          </cell>
        </row>
        <row r="170">
          <cell r="B170" t="str">
            <v>強化 ﾌﾛｰﾄ　6</v>
          </cell>
        </row>
        <row r="171">
          <cell r="B171" t="str">
            <v>強化 熱線吸収　8</v>
          </cell>
        </row>
        <row r="172">
          <cell r="B172" t="str">
            <v>強化 熱線吸収　6</v>
          </cell>
        </row>
        <row r="173">
          <cell r="B173" t="str">
            <v>複層 普通　18</v>
          </cell>
        </row>
        <row r="174">
          <cell r="B174" t="str">
            <v>複層 普通　16</v>
          </cell>
        </row>
        <row r="175">
          <cell r="B175" t="str">
            <v>複層 普通　12</v>
          </cell>
        </row>
        <row r="176">
          <cell r="B176" t="str">
            <v>複層 普通+網磨 18.8</v>
          </cell>
        </row>
        <row r="177">
          <cell r="B177" t="str">
            <v>複層 普通+網磨 17.8</v>
          </cell>
        </row>
        <row r="178">
          <cell r="B178" t="str">
            <v>複層 熱線吸収 16</v>
          </cell>
        </row>
        <row r="179">
          <cell r="B179" t="str">
            <v>熱線反射 10</v>
          </cell>
        </row>
        <row r="180">
          <cell r="B180" t="str">
            <v>ｽﾃﾝﾄﾞｸﾞﾗｽ 普通</v>
          </cell>
        </row>
        <row r="181">
          <cell r="B181" t="str">
            <v>（ｶﾞﾗｽ自由作成１）</v>
          </cell>
        </row>
        <row r="182">
          <cell r="B182" t="str">
            <v>（ｶﾞﾗｽ自由作成２）</v>
          </cell>
        </row>
        <row r="188">
          <cell r="B188" t="str">
            <v>［特殊設備名称］</v>
          </cell>
        </row>
        <row r="189">
          <cell r="B189" t="str">
            <v>.</v>
          </cell>
        </row>
        <row r="190">
          <cell r="B190" t="str">
            <v>劇場用特殊機器</v>
          </cell>
        </row>
        <row r="191">
          <cell r="B191" t="str">
            <v>階段手摺等の特殊装飾</v>
          </cell>
        </row>
        <row r="192">
          <cell r="B192" t="str">
            <v>舞　台</v>
          </cell>
        </row>
        <row r="193">
          <cell r="B193" t="str">
            <v>固定椅子 上</v>
          </cell>
        </row>
        <row r="194">
          <cell r="B194" t="str">
            <v>固定椅子 中</v>
          </cell>
        </row>
        <row r="195">
          <cell r="B195" t="str">
            <v>固定椅子 並</v>
          </cell>
        </row>
        <row r="196">
          <cell r="B196" t="str">
            <v>ｸﾞﾘﾙ ｽﾃﾝﾚｽ系</v>
          </cell>
        </row>
        <row r="197">
          <cell r="B197" t="str">
            <v>ｸﾞﾘﾙ ｱﾙﾐﾆｳﾑ系</v>
          </cell>
        </row>
        <row r="198">
          <cell r="B198" t="str">
            <v>ｸﾞﾘﾙ ｽﾁｰﾙ系</v>
          </cell>
        </row>
        <row r="199">
          <cell r="B199" t="str">
            <v>ｸﾞﾘﾙ ﾌﾟﾚｷｬｽﾄｺﾝｸﾘｰﾄ系</v>
          </cell>
        </row>
        <row r="200">
          <cell r="B200" t="str">
            <v>ﾙｰﾊﾞｰ ｽﾃﾝﾚｽ系</v>
          </cell>
        </row>
        <row r="201">
          <cell r="B201" t="str">
            <v>ﾙｰﾊﾞｰ ｱﾙﾐﾆｳﾑ系</v>
          </cell>
        </row>
        <row r="202">
          <cell r="B202" t="str">
            <v>ﾙｰﾊﾞｰ ｽﾁｰﾙ系</v>
          </cell>
        </row>
        <row r="203">
          <cell r="B203" t="str">
            <v>ﾙｰﾊﾞｰ ﾌﾟﾚｷｬｽﾄｺﾝｸﾘｰﾄ系</v>
          </cell>
        </row>
        <row r="204">
          <cell r="B204" t="str">
            <v>金庫扉角型　</v>
          </cell>
        </row>
        <row r="205">
          <cell r="B205" t="str">
            <v>金庫扉丸型</v>
          </cell>
        </row>
        <row r="206">
          <cell r="B206" t="str">
            <v>風除けｽｸﾘｰﾝ ｽﾃﾝﾚｽ枠</v>
          </cell>
        </row>
        <row r="207">
          <cell r="B207" t="str">
            <v>風除けｽｸﾘｰﾝ ｱﾙﾐﾆｳﾑ枠</v>
          </cell>
        </row>
        <row r="208">
          <cell r="B208" t="str">
            <v>風除けｽｸﾘｰﾝ 鋼製枠</v>
          </cell>
        </row>
        <row r="209">
          <cell r="B209" t="str">
            <v>書庫扉</v>
          </cell>
        </row>
        <row r="210">
          <cell r="B210" t="str">
            <v>既成間仕切(ﾊﾟﾈﾙ)</v>
          </cell>
        </row>
        <row r="211">
          <cell r="B211" t="str">
            <v>ｶｳﾝﾀｰ 黒みかげ石練付板</v>
          </cell>
        </row>
        <row r="212">
          <cell r="B212" t="str">
            <v>ｶｳﾝﾀｰ ﾃﾞｺﾗ</v>
          </cell>
        </row>
        <row r="213">
          <cell r="B213" t="str">
            <v>ｶｳﾝﾀｰ 木製</v>
          </cell>
        </row>
        <row r="214">
          <cell r="B214" t="str">
            <v>造り付け家具 練付板</v>
          </cell>
        </row>
        <row r="215">
          <cell r="B215" t="str">
            <v>造り付け家具 ﾃﾞｺﾗ</v>
          </cell>
        </row>
        <row r="216">
          <cell r="B216" t="str">
            <v>造り付け家具 木製</v>
          </cell>
        </row>
        <row r="217">
          <cell r="B217" t="str">
            <v>（特殊設備自由作成１）</v>
          </cell>
        </row>
        <row r="218">
          <cell r="B218" t="str">
            <v>（特殊設備自由作成２）</v>
          </cell>
        </row>
      </sheetData>
      <sheetData sheetId="3"/>
      <sheetData sheetId="4"/>
      <sheetData sheetId="5">
        <row r="562">
          <cell r="C562" t="str">
            <v>事務所・店舗・百貨店　鉄骨</v>
          </cell>
          <cell r="D562">
            <v>6</v>
          </cell>
          <cell r="E562">
            <v>1.05</v>
          </cell>
          <cell r="F562">
            <v>4</v>
          </cell>
          <cell r="G562">
            <v>1</v>
          </cell>
          <cell r="H562">
            <v>2</v>
          </cell>
          <cell r="I562">
            <v>0.95</v>
          </cell>
          <cell r="J562">
            <v>6</v>
          </cell>
          <cell r="K562">
            <v>1.1000000000000001</v>
          </cell>
          <cell r="L562">
            <v>4</v>
          </cell>
          <cell r="M562">
            <v>1</v>
          </cell>
          <cell r="N562">
            <v>3</v>
          </cell>
          <cell r="O562">
            <v>0.95</v>
          </cell>
          <cell r="P562">
            <v>8</v>
          </cell>
          <cell r="Q562">
            <v>1.2</v>
          </cell>
          <cell r="R562">
            <v>5</v>
          </cell>
          <cell r="S562">
            <v>1</v>
          </cell>
          <cell r="T562" t="str">
            <v>減点無</v>
          </cell>
          <cell r="U562" t="str">
            <v>　</v>
          </cell>
          <cell r="V562" t="str">
            <v>×</v>
          </cell>
          <cell r="W562" t="str">
            <v>×</v>
          </cell>
          <cell r="X562" t="str">
            <v>×</v>
          </cell>
          <cell r="Y562" t="str">
            <v>×</v>
          </cell>
          <cell r="Z562" t="str">
            <v>×</v>
          </cell>
          <cell r="AA562" t="str">
            <v>×</v>
          </cell>
          <cell r="AB562" t="str">
            <v>×</v>
          </cell>
          <cell r="AC562" t="str">
            <v>×</v>
          </cell>
          <cell r="AH562" t="str">
            <v>複雑</v>
          </cell>
          <cell r="AI562">
            <v>1.1000000000000001</v>
          </cell>
          <cell r="AJ562" t="str">
            <v>普通</v>
          </cell>
          <cell r="AK562">
            <v>1</v>
          </cell>
          <cell r="AL562" t="str">
            <v>単純</v>
          </cell>
          <cell r="AM562">
            <v>0.8</v>
          </cell>
          <cell r="AN562" t="str">
            <v>×</v>
          </cell>
          <cell r="AO562" t="str">
            <v>×</v>
          </cell>
          <cell r="AP562" t="str">
            <v>×</v>
          </cell>
          <cell r="AQ562" t="str">
            <v>×</v>
          </cell>
          <cell r="AR562" t="str">
            <v>×</v>
          </cell>
          <cell r="AS562" t="str">
            <v>×</v>
          </cell>
          <cell r="AT562" t="str">
            <v>×</v>
          </cell>
          <cell r="AU562" t="str">
            <v>×</v>
          </cell>
          <cell r="AV562" t="str">
            <v>×</v>
          </cell>
          <cell r="AW562" t="str">
            <v>×</v>
          </cell>
          <cell r="AX562" t="str">
            <v>×</v>
          </cell>
          <cell r="AY562" t="str">
            <v>×</v>
          </cell>
          <cell r="AZ562" t="str">
            <v>×</v>
          </cell>
          <cell r="BA562" t="str">
            <v>×</v>
          </cell>
          <cell r="BB562" t="str">
            <v>×</v>
          </cell>
          <cell r="BC562" t="str">
            <v>×</v>
          </cell>
          <cell r="BD562" t="str">
            <v>×</v>
          </cell>
          <cell r="BE562" t="str">
            <v>×</v>
          </cell>
          <cell r="BF562" t="str">
            <v>×</v>
          </cell>
          <cell r="BG562" t="str">
            <v>×</v>
          </cell>
          <cell r="BH562" t="str">
            <v>×</v>
          </cell>
          <cell r="BI562" t="str">
            <v>×</v>
          </cell>
          <cell r="BJ562" t="str">
            <v>×</v>
          </cell>
          <cell r="BK562" t="str">
            <v>×</v>
          </cell>
          <cell r="BL562" t="str">
            <v>普通</v>
          </cell>
          <cell r="BM562">
            <v>1</v>
          </cell>
          <cell r="BN562" t="str">
            <v>古材</v>
          </cell>
          <cell r="BO562">
            <v>0.7</v>
          </cell>
          <cell r="BP562">
            <v>1000</v>
          </cell>
          <cell r="BQ562">
            <v>1.06</v>
          </cell>
          <cell r="BR562">
            <v>3000</v>
          </cell>
          <cell r="BS562">
            <v>1</v>
          </cell>
          <cell r="BT562">
            <v>10000</v>
          </cell>
          <cell r="BU562">
            <v>0.93</v>
          </cell>
          <cell r="BV562">
            <v>300</v>
          </cell>
          <cell r="BW562">
            <v>1.1200000000000001</v>
          </cell>
          <cell r="BX562">
            <v>20000</v>
          </cell>
          <cell r="BY562">
            <v>0.91</v>
          </cell>
          <cell r="BZ562" t="str">
            <v>計算値</v>
          </cell>
        </row>
        <row r="563">
          <cell r="C563" t="str">
            <v>住宅・アパート　鉄骨</v>
          </cell>
          <cell r="D563">
            <v>5</v>
          </cell>
          <cell r="E563">
            <v>1.05</v>
          </cell>
          <cell r="F563">
            <v>3</v>
          </cell>
          <cell r="G563">
            <v>1</v>
          </cell>
          <cell r="H563">
            <v>2</v>
          </cell>
          <cell r="I563">
            <v>0.95</v>
          </cell>
          <cell r="J563">
            <v>4.5</v>
          </cell>
          <cell r="K563">
            <v>1.05</v>
          </cell>
          <cell r="L563">
            <v>3.5</v>
          </cell>
          <cell r="M563">
            <v>1</v>
          </cell>
          <cell r="N563">
            <v>3</v>
          </cell>
          <cell r="O563">
            <v>0.95</v>
          </cell>
          <cell r="P563" t="str">
            <v>×</v>
          </cell>
          <cell r="Q563" t="str">
            <v>×</v>
          </cell>
          <cell r="R563" t="str">
            <v>×</v>
          </cell>
          <cell r="S563" t="str">
            <v>×</v>
          </cell>
          <cell r="T563" t="str">
            <v>×</v>
          </cell>
          <cell r="U563" t="str">
            <v>×</v>
          </cell>
          <cell r="V563" t="str">
            <v>×</v>
          </cell>
          <cell r="W563" t="str">
            <v>×</v>
          </cell>
          <cell r="X563" t="str">
            <v>×</v>
          </cell>
          <cell r="Y563" t="str">
            <v>×</v>
          </cell>
          <cell r="Z563" t="str">
            <v>×</v>
          </cell>
          <cell r="AA563" t="str">
            <v>×</v>
          </cell>
          <cell r="AB563" t="str">
            <v>×</v>
          </cell>
          <cell r="AC563" t="str">
            <v>×</v>
          </cell>
          <cell r="AH563" t="str">
            <v>複雑</v>
          </cell>
          <cell r="AI563">
            <v>1.05</v>
          </cell>
          <cell r="AJ563" t="str">
            <v>普通</v>
          </cell>
          <cell r="AK563">
            <v>1</v>
          </cell>
          <cell r="AL563" t="str">
            <v>単純</v>
          </cell>
          <cell r="AM563">
            <v>0.95</v>
          </cell>
          <cell r="AN563" t="str">
            <v>×</v>
          </cell>
          <cell r="AO563" t="str">
            <v>×</v>
          </cell>
          <cell r="AP563" t="str">
            <v>×</v>
          </cell>
          <cell r="AQ563" t="str">
            <v>×</v>
          </cell>
          <cell r="AR563" t="str">
            <v>×</v>
          </cell>
          <cell r="AS563" t="str">
            <v>×</v>
          </cell>
          <cell r="AT563" t="str">
            <v>×</v>
          </cell>
          <cell r="AU563" t="str">
            <v>×</v>
          </cell>
          <cell r="AV563" t="str">
            <v>×</v>
          </cell>
          <cell r="AW563" t="str">
            <v>×</v>
          </cell>
          <cell r="AX563" t="str">
            <v>×</v>
          </cell>
          <cell r="AY563" t="str">
            <v>×</v>
          </cell>
          <cell r="AZ563" t="str">
            <v>×</v>
          </cell>
          <cell r="BA563" t="str">
            <v>×</v>
          </cell>
          <cell r="BB563" t="str">
            <v>×</v>
          </cell>
          <cell r="BC563" t="str">
            <v>×</v>
          </cell>
          <cell r="BD563" t="str">
            <v>×</v>
          </cell>
          <cell r="BE563" t="str">
            <v>×</v>
          </cell>
          <cell r="BF563" t="str">
            <v>×</v>
          </cell>
          <cell r="BG563" t="str">
            <v>×</v>
          </cell>
          <cell r="BH563" t="str">
            <v>×</v>
          </cell>
          <cell r="BI563" t="str">
            <v>×</v>
          </cell>
          <cell r="BJ563" t="str">
            <v>×</v>
          </cell>
          <cell r="BK563" t="str">
            <v>×</v>
          </cell>
          <cell r="BL563" t="str">
            <v>普通</v>
          </cell>
          <cell r="BM563">
            <v>1</v>
          </cell>
          <cell r="BN563" t="str">
            <v>古材</v>
          </cell>
          <cell r="BO563">
            <v>0.7</v>
          </cell>
          <cell r="BP563">
            <v>360</v>
          </cell>
          <cell r="BQ563">
            <v>1.06</v>
          </cell>
          <cell r="BR563">
            <v>1800</v>
          </cell>
          <cell r="BS563">
            <v>1</v>
          </cell>
          <cell r="BT563">
            <v>3600</v>
          </cell>
          <cell r="BU563">
            <v>0.94</v>
          </cell>
          <cell r="BV563">
            <v>300</v>
          </cell>
          <cell r="BW563">
            <v>1.08</v>
          </cell>
          <cell r="BX563">
            <v>7200</v>
          </cell>
          <cell r="BY563">
            <v>0.91</v>
          </cell>
          <cell r="BZ563" t="str">
            <v>計算値</v>
          </cell>
        </row>
        <row r="564">
          <cell r="C564" t="str">
            <v>病院・ホテル　鉄骨</v>
          </cell>
          <cell r="D564">
            <v>5</v>
          </cell>
          <cell r="E564">
            <v>1.05</v>
          </cell>
          <cell r="F564">
            <v>3</v>
          </cell>
          <cell r="G564">
            <v>1</v>
          </cell>
          <cell r="H564">
            <v>2</v>
          </cell>
          <cell r="I564">
            <v>0.95</v>
          </cell>
          <cell r="J564">
            <v>4.5</v>
          </cell>
          <cell r="K564">
            <v>1.1000000000000001</v>
          </cell>
          <cell r="L564">
            <v>3.5</v>
          </cell>
          <cell r="M564">
            <v>1</v>
          </cell>
          <cell r="N564">
            <v>3</v>
          </cell>
          <cell r="O564">
            <v>0.95</v>
          </cell>
          <cell r="P564" t="str">
            <v>×</v>
          </cell>
          <cell r="Q564" t="str">
            <v>×</v>
          </cell>
          <cell r="R564" t="str">
            <v>×</v>
          </cell>
          <cell r="S564" t="str">
            <v>×</v>
          </cell>
          <cell r="T564" t="str">
            <v>×</v>
          </cell>
          <cell r="U564" t="str">
            <v>×</v>
          </cell>
          <cell r="V564" t="str">
            <v>×</v>
          </cell>
          <cell r="W564" t="str">
            <v>×</v>
          </cell>
          <cell r="X564" t="str">
            <v>×</v>
          </cell>
          <cell r="Y564" t="str">
            <v>×</v>
          </cell>
          <cell r="Z564" t="str">
            <v>×</v>
          </cell>
          <cell r="AA564" t="str">
            <v>×</v>
          </cell>
          <cell r="AB564" t="str">
            <v>×</v>
          </cell>
          <cell r="AC564" t="str">
            <v>×</v>
          </cell>
          <cell r="AH564" t="str">
            <v>複雑</v>
          </cell>
          <cell r="AI564">
            <v>1.05</v>
          </cell>
          <cell r="AJ564" t="str">
            <v>普通</v>
          </cell>
          <cell r="AK564">
            <v>1</v>
          </cell>
          <cell r="AL564" t="str">
            <v>単純</v>
          </cell>
          <cell r="AM564">
            <v>0.95</v>
          </cell>
          <cell r="AN564" t="str">
            <v>×</v>
          </cell>
          <cell r="AO564" t="str">
            <v>×</v>
          </cell>
          <cell r="AP564" t="str">
            <v>×</v>
          </cell>
          <cell r="AQ564" t="str">
            <v>×</v>
          </cell>
          <cell r="AR564" t="str">
            <v>×</v>
          </cell>
          <cell r="AS564" t="str">
            <v>×</v>
          </cell>
          <cell r="AT564" t="str">
            <v>×</v>
          </cell>
          <cell r="AU564" t="str">
            <v>×</v>
          </cell>
          <cell r="AV564" t="str">
            <v>×</v>
          </cell>
          <cell r="AW564" t="str">
            <v>×</v>
          </cell>
          <cell r="AX564" t="str">
            <v>×</v>
          </cell>
          <cell r="AY564" t="str">
            <v>×</v>
          </cell>
          <cell r="AZ564" t="str">
            <v>×</v>
          </cell>
          <cell r="BA564" t="str">
            <v>×</v>
          </cell>
          <cell r="BB564" t="str">
            <v>×</v>
          </cell>
          <cell r="BC564" t="str">
            <v>×</v>
          </cell>
          <cell r="BD564" t="str">
            <v>×</v>
          </cell>
          <cell r="BE564" t="str">
            <v>×</v>
          </cell>
          <cell r="BF564" t="str">
            <v>×</v>
          </cell>
          <cell r="BG564" t="str">
            <v>×</v>
          </cell>
          <cell r="BH564" t="str">
            <v>×</v>
          </cell>
          <cell r="BI564" t="str">
            <v>×</v>
          </cell>
          <cell r="BJ564" t="str">
            <v>×</v>
          </cell>
          <cell r="BK564" t="str">
            <v>×</v>
          </cell>
          <cell r="BL564" t="str">
            <v>普通</v>
          </cell>
          <cell r="BM564">
            <v>1</v>
          </cell>
          <cell r="BN564" t="str">
            <v>古材</v>
          </cell>
          <cell r="BO564">
            <v>0.7</v>
          </cell>
          <cell r="BP564">
            <v>1000</v>
          </cell>
          <cell r="BQ564">
            <v>1.06</v>
          </cell>
          <cell r="BR564">
            <v>3000</v>
          </cell>
          <cell r="BS564">
            <v>1</v>
          </cell>
          <cell r="BT564">
            <v>10000</v>
          </cell>
          <cell r="BU564">
            <v>0.93</v>
          </cell>
          <cell r="BV564">
            <v>300</v>
          </cell>
          <cell r="BW564">
            <v>1.1200000000000001</v>
          </cell>
          <cell r="BX564">
            <v>20000</v>
          </cell>
          <cell r="BY564">
            <v>0.91</v>
          </cell>
          <cell r="BZ564" t="str">
            <v>計算値</v>
          </cell>
        </row>
        <row r="565">
          <cell r="C565" t="str">
            <v>工場・倉庫・市場　鉄骨</v>
          </cell>
          <cell r="D565" t="str">
            <v>×</v>
          </cell>
          <cell r="E565" t="str">
            <v>×</v>
          </cell>
          <cell r="F565" t="str">
            <v>×</v>
          </cell>
          <cell r="G565" t="str">
            <v>×</v>
          </cell>
          <cell r="H565" t="str">
            <v>×</v>
          </cell>
          <cell r="I565" t="str">
            <v>×</v>
          </cell>
          <cell r="J565">
            <v>10</v>
          </cell>
          <cell r="K565">
            <v>1.4</v>
          </cell>
          <cell r="L565">
            <v>4.5</v>
          </cell>
          <cell r="M565">
            <v>1</v>
          </cell>
          <cell r="N565">
            <v>3.5</v>
          </cell>
          <cell r="O565">
            <v>0.9</v>
          </cell>
          <cell r="P565">
            <v>20</v>
          </cell>
          <cell r="Q565">
            <v>1.4</v>
          </cell>
          <cell r="R565">
            <v>12</v>
          </cell>
          <cell r="S565">
            <v>1</v>
          </cell>
          <cell r="T565">
            <v>6</v>
          </cell>
          <cell r="U565">
            <v>0.9</v>
          </cell>
          <cell r="V565">
            <v>20</v>
          </cell>
          <cell r="W565">
            <v>1.3</v>
          </cell>
          <cell r="X565">
            <v>10</v>
          </cell>
          <cell r="Y565">
            <v>1</v>
          </cell>
          <cell r="Z565">
            <v>5</v>
          </cell>
          <cell r="AA565">
            <v>0.9</v>
          </cell>
          <cell r="AB565" t="str">
            <v>なし</v>
          </cell>
          <cell r="AC565">
            <v>0.8</v>
          </cell>
          <cell r="AH565" t="str">
            <v>複雑</v>
          </cell>
          <cell r="AI565">
            <v>1.1000000000000001</v>
          </cell>
          <cell r="AJ565" t="str">
            <v>普通</v>
          </cell>
          <cell r="AK565">
            <v>1</v>
          </cell>
          <cell r="AL565" t="str">
            <v>単純</v>
          </cell>
          <cell r="AM565">
            <v>0.8</v>
          </cell>
          <cell r="AN565" t="str">
            <v>×</v>
          </cell>
          <cell r="AO565" t="str">
            <v>×</v>
          </cell>
          <cell r="AP565" t="str">
            <v>×</v>
          </cell>
          <cell r="AQ565" t="str">
            <v>×</v>
          </cell>
          <cell r="AR565" t="str">
            <v>×</v>
          </cell>
          <cell r="AS565" t="str">
            <v>×</v>
          </cell>
          <cell r="AT565" t="str">
            <v>×</v>
          </cell>
          <cell r="AU565" t="str">
            <v>×</v>
          </cell>
          <cell r="AV565" t="str">
            <v>×</v>
          </cell>
          <cell r="AW565" t="str">
            <v>×</v>
          </cell>
          <cell r="AX565" t="str">
            <v>×</v>
          </cell>
          <cell r="AY565" t="str">
            <v>×</v>
          </cell>
          <cell r="AZ565" t="str">
            <v>×</v>
          </cell>
          <cell r="BA565" t="str">
            <v>×</v>
          </cell>
          <cell r="BB565" t="str">
            <v>×</v>
          </cell>
          <cell r="BC565" t="str">
            <v>×</v>
          </cell>
          <cell r="BD565" t="str">
            <v>×</v>
          </cell>
          <cell r="BE565" t="str">
            <v>×</v>
          </cell>
          <cell r="BF565" t="str">
            <v>×</v>
          </cell>
          <cell r="BG565" t="str">
            <v>×</v>
          </cell>
          <cell r="BH565" t="str">
            <v>×</v>
          </cell>
          <cell r="BI565" t="str">
            <v>×</v>
          </cell>
          <cell r="BJ565" t="str">
            <v>×</v>
          </cell>
          <cell r="BK565" t="str">
            <v>×</v>
          </cell>
          <cell r="BL565" t="str">
            <v>普通</v>
          </cell>
          <cell r="BM565">
            <v>1</v>
          </cell>
          <cell r="BN565" t="str">
            <v>古材</v>
          </cell>
          <cell r="BO565">
            <v>0.7</v>
          </cell>
          <cell r="BP565">
            <v>1000</v>
          </cell>
          <cell r="BQ565">
            <v>1.06</v>
          </cell>
          <cell r="BR565">
            <v>3000</v>
          </cell>
          <cell r="BS565">
            <v>1</v>
          </cell>
          <cell r="BT565">
            <v>10000</v>
          </cell>
          <cell r="BU565">
            <v>0.93</v>
          </cell>
          <cell r="BV565">
            <v>300</v>
          </cell>
          <cell r="BW565">
            <v>1.1200000000000001</v>
          </cell>
          <cell r="BX565">
            <v>20000</v>
          </cell>
          <cell r="BY565">
            <v>0.91</v>
          </cell>
          <cell r="BZ565" t="str">
            <v>計算値</v>
          </cell>
        </row>
        <row r="566">
          <cell r="C566" t="str">
            <v>銀行用建物　鉄骨</v>
          </cell>
          <cell r="D566" t="str">
            <v>×</v>
          </cell>
          <cell r="E566" t="str">
            <v>×</v>
          </cell>
          <cell r="F566" t="str">
            <v>×</v>
          </cell>
          <cell r="G566" t="str">
            <v>×</v>
          </cell>
          <cell r="H566" t="str">
            <v>×</v>
          </cell>
          <cell r="I566" t="str">
            <v>×</v>
          </cell>
          <cell r="J566">
            <v>10</v>
          </cell>
          <cell r="K566">
            <v>1.2</v>
          </cell>
          <cell r="L566">
            <v>8</v>
          </cell>
          <cell r="M566">
            <v>1</v>
          </cell>
          <cell r="N566">
            <v>6</v>
          </cell>
          <cell r="O566">
            <v>0.9</v>
          </cell>
          <cell r="P566">
            <v>10</v>
          </cell>
          <cell r="Q566">
            <v>1.5</v>
          </cell>
          <cell r="R566">
            <v>6</v>
          </cell>
          <cell r="S566">
            <v>1</v>
          </cell>
          <cell r="T566">
            <v>4</v>
          </cell>
          <cell r="U566">
            <v>0.95</v>
          </cell>
          <cell r="V566" t="str">
            <v>×</v>
          </cell>
          <cell r="W566" t="str">
            <v>×</v>
          </cell>
          <cell r="X566" t="str">
            <v>×</v>
          </cell>
          <cell r="Y566" t="str">
            <v>×</v>
          </cell>
          <cell r="Z566" t="str">
            <v>×</v>
          </cell>
          <cell r="AA566" t="str">
            <v>×</v>
          </cell>
          <cell r="AB566" t="str">
            <v>×</v>
          </cell>
          <cell r="AC566" t="str">
            <v>×</v>
          </cell>
          <cell r="AH566" t="str">
            <v>複雑</v>
          </cell>
          <cell r="AI566">
            <v>1.05</v>
          </cell>
          <cell r="AJ566" t="str">
            <v>普通</v>
          </cell>
          <cell r="AK566">
            <v>1</v>
          </cell>
          <cell r="AL566" t="str">
            <v>単純</v>
          </cell>
          <cell r="AM566">
            <v>0.95</v>
          </cell>
          <cell r="AN566" t="str">
            <v>×</v>
          </cell>
          <cell r="AO566" t="str">
            <v>×</v>
          </cell>
          <cell r="AP566" t="str">
            <v>×</v>
          </cell>
          <cell r="AQ566" t="str">
            <v>×</v>
          </cell>
          <cell r="AR566" t="str">
            <v>×</v>
          </cell>
          <cell r="AS566" t="str">
            <v>×</v>
          </cell>
          <cell r="AT566" t="str">
            <v>×</v>
          </cell>
          <cell r="AU566" t="str">
            <v>×</v>
          </cell>
          <cell r="AV566" t="str">
            <v>×</v>
          </cell>
          <cell r="AW566" t="str">
            <v>×</v>
          </cell>
          <cell r="AX566" t="str">
            <v>×</v>
          </cell>
          <cell r="AY566" t="str">
            <v>×</v>
          </cell>
          <cell r="AZ566" t="str">
            <v>×</v>
          </cell>
          <cell r="BA566" t="str">
            <v>×</v>
          </cell>
          <cell r="BB566" t="str">
            <v>×</v>
          </cell>
          <cell r="BC566" t="str">
            <v>×</v>
          </cell>
          <cell r="BD566" t="str">
            <v>×</v>
          </cell>
          <cell r="BE566" t="str">
            <v>×</v>
          </cell>
          <cell r="BF566" t="str">
            <v>×</v>
          </cell>
          <cell r="BG566" t="str">
            <v>×</v>
          </cell>
          <cell r="BH566" t="str">
            <v>×</v>
          </cell>
          <cell r="BI566" t="str">
            <v>×</v>
          </cell>
          <cell r="BJ566" t="str">
            <v>×</v>
          </cell>
          <cell r="BK566" t="str">
            <v>×</v>
          </cell>
          <cell r="BL566" t="str">
            <v>普通</v>
          </cell>
          <cell r="BM566">
            <v>1</v>
          </cell>
          <cell r="BN566" t="str">
            <v>古材</v>
          </cell>
          <cell r="BO566">
            <v>0.7</v>
          </cell>
          <cell r="BP566">
            <v>900</v>
          </cell>
          <cell r="BQ566">
            <v>1.02</v>
          </cell>
          <cell r="BR566">
            <v>1800</v>
          </cell>
          <cell r="BS566">
            <v>1</v>
          </cell>
          <cell r="BT566">
            <v>3600</v>
          </cell>
          <cell r="BU566">
            <v>0.96</v>
          </cell>
          <cell r="BV566">
            <v>300</v>
          </cell>
          <cell r="BW566">
            <v>1.08</v>
          </cell>
          <cell r="BX566">
            <v>7200</v>
          </cell>
          <cell r="BY566">
            <v>0.91</v>
          </cell>
          <cell r="BZ566" t="str">
            <v>計算値</v>
          </cell>
        </row>
        <row r="567">
          <cell r="C567" t="str">
            <v>劇場型建物　鉄骨</v>
          </cell>
          <cell r="D567" t="str">
            <v>不能</v>
          </cell>
          <cell r="E567" t="str">
            <v>不能</v>
          </cell>
          <cell r="F567" t="str">
            <v>不能</v>
          </cell>
          <cell r="G567" t="str">
            <v>不能</v>
          </cell>
          <cell r="H567" t="str">
            <v>不能</v>
          </cell>
          <cell r="I567" t="str">
            <v>不能</v>
          </cell>
          <cell r="J567" t="str">
            <v>不能</v>
          </cell>
          <cell r="K567" t="str">
            <v>不能</v>
          </cell>
          <cell r="L567" t="str">
            <v>不能</v>
          </cell>
          <cell r="M567" t="str">
            <v>不能</v>
          </cell>
          <cell r="N567" t="str">
            <v>不能</v>
          </cell>
          <cell r="O567" t="str">
            <v>不能</v>
          </cell>
          <cell r="P567" t="str">
            <v>不能</v>
          </cell>
          <cell r="Q567" t="str">
            <v>不能</v>
          </cell>
          <cell r="R567" t="str">
            <v>不能</v>
          </cell>
          <cell r="S567" t="str">
            <v>不能</v>
          </cell>
          <cell r="T567" t="str">
            <v>不能</v>
          </cell>
          <cell r="U567" t="str">
            <v>不能</v>
          </cell>
          <cell r="V567" t="str">
            <v>不能</v>
          </cell>
          <cell r="W567" t="str">
            <v>不能</v>
          </cell>
          <cell r="X567" t="str">
            <v>不能</v>
          </cell>
          <cell r="Y567" t="str">
            <v>不能</v>
          </cell>
          <cell r="Z567" t="str">
            <v>不能</v>
          </cell>
          <cell r="AA567" t="str">
            <v>不能</v>
          </cell>
          <cell r="AB567" t="str">
            <v>不能</v>
          </cell>
          <cell r="AC567" t="str">
            <v>不能</v>
          </cell>
          <cell r="AH567" t="str">
            <v>不能</v>
          </cell>
          <cell r="AI567" t="str">
            <v>不能</v>
          </cell>
          <cell r="AJ567" t="str">
            <v>不能</v>
          </cell>
          <cell r="AK567" t="str">
            <v>不能</v>
          </cell>
          <cell r="AL567" t="str">
            <v>不能</v>
          </cell>
          <cell r="AM567" t="str">
            <v>不能</v>
          </cell>
          <cell r="AN567" t="str">
            <v>不能</v>
          </cell>
          <cell r="AO567" t="str">
            <v>不能</v>
          </cell>
          <cell r="AP567" t="str">
            <v>不能</v>
          </cell>
          <cell r="AQ567" t="str">
            <v>不能</v>
          </cell>
          <cell r="AR567" t="str">
            <v>不能</v>
          </cell>
          <cell r="AS567" t="str">
            <v>不能</v>
          </cell>
          <cell r="AT567" t="str">
            <v>不能</v>
          </cell>
          <cell r="AU567" t="str">
            <v>不能</v>
          </cell>
          <cell r="AV567" t="str">
            <v>不能</v>
          </cell>
          <cell r="AW567" t="str">
            <v>不能</v>
          </cell>
          <cell r="AX567" t="str">
            <v>不能</v>
          </cell>
          <cell r="AY567" t="str">
            <v>不能</v>
          </cell>
          <cell r="AZ567" t="str">
            <v>不能</v>
          </cell>
          <cell r="BA567" t="str">
            <v>不能</v>
          </cell>
          <cell r="BB567" t="str">
            <v>不能</v>
          </cell>
          <cell r="BC567" t="str">
            <v>不能</v>
          </cell>
          <cell r="BD567" t="str">
            <v>不能</v>
          </cell>
          <cell r="BE567" t="str">
            <v>不能</v>
          </cell>
          <cell r="BF567" t="str">
            <v>不能</v>
          </cell>
          <cell r="BG567" t="str">
            <v>不能</v>
          </cell>
          <cell r="BH567" t="str">
            <v>不能</v>
          </cell>
          <cell r="BI567" t="str">
            <v>不能</v>
          </cell>
          <cell r="BJ567" t="str">
            <v>不能</v>
          </cell>
          <cell r="BK567" t="str">
            <v>不能</v>
          </cell>
          <cell r="BL567" t="str">
            <v>不能</v>
          </cell>
          <cell r="BM567" t="str">
            <v>不能</v>
          </cell>
          <cell r="BN567" t="str">
            <v>不能</v>
          </cell>
          <cell r="BO567" t="str">
            <v>不能</v>
          </cell>
          <cell r="BP567">
            <v>900</v>
          </cell>
          <cell r="BQ567">
            <v>1.02</v>
          </cell>
          <cell r="BR567">
            <v>1800</v>
          </cell>
          <cell r="BS567">
            <v>1</v>
          </cell>
          <cell r="BT567">
            <v>3600</v>
          </cell>
          <cell r="BU567">
            <v>0.94</v>
          </cell>
          <cell r="BV567">
            <v>300</v>
          </cell>
          <cell r="BW567">
            <v>1.08</v>
          </cell>
          <cell r="BX567">
            <v>7200</v>
          </cell>
          <cell r="BY567">
            <v>0.91</v>
          </cell>
          <cell r="BZ567" t="str">
            <v>計算値</v>
          </cell>
        </row>
        <row r="568">
          <cell r="C568" t="str">
            <v>事務所・店舗・百貨店　鉄筋</v>
          </cell>
          <cell r="D568">
            <v>6</v>
          </cell>
          <cell r="E568">
            <v>1.05</v>
          </cell>
          <cell r="F568">
            <v>4</v>
          </cell>
          <cell r="G568">
            <v>1</v>
          </cell>
          <cell r="H568">
            <v>2</v>
          </cell>
          <cell r="I568">
            <v>0.95</v>
          </cell>
          <cell r="J568">
            <v>6</v>
          </cell>
          <cell r="K568">
            <v>1.1000000000000001</v>
          </cell>
          <cell r="L568">
            <v>4</v>
          </cell>
          <cell r="M568">
            <v>1</v>
          </cell>
          <cell r="N568">
            <v>3</v>
          </cell>
          <cell r="O568">
            <v>0.95</v>
          </cell>
          <cell r="P568">
            <v>8</v>
          </cell>
          <cell r="Q568">
            <v>1.2</v>
          </cell>
          <cell r="R568">
            <v>5</v>
          </cell>
          <cell r="S568">
            <v>1</v>
          </cell>
          <cell r="T568" t="str">
            <v>減点無</v>
          </cell>
          <cell r="U568" t="str">
            <v>　</v>
          </cell>
          <cell r="V568" t="str">
            <v>×</v>
          </cell>
          <cell r="W568" t="str">
            <v>×</v>
          </cell>
          <cell r="X568" t="str">
            <v>×</v>
          </cell>
          <cell r="Y568" t="str">
            <v>×</v>
          </cell>
          <cell r="Z568" t="str">
            <v>×</v>
          </cell>
          <cell r="AA568" t="str">
            <v>×</v>
          </cell>
          <cell r="AB568" t="str">
            <v>×</v>
          </cell>
          <cell r="AC568" t="str">
            <v>×</v>
          </cell>
          <cell r="AH568" t="str">
            <v>複雑</v>
          </cell>
          <cell r="AI568">
            <v>1.05</v>
          </cell>
          <cell r="AJ568" t="str">
            <v>普通</v>
          </cell>
          <cell r="AK568">
            <v>1</v>
          </cell>
          <cell r="AL568" t="str">
            <v>単純</v>
          </cell>
          <cell r="AM568">
            <v>0.95</v>
          </cell>
          <cell r="AN568">
            <v>1.6</v>
          </cell>
          <cell r="AO568">
            <v>1.1000000000000001</v>
          </cell>
          <cell r="AP568">
            <v>0.8</v>
          </cell>
          <cell r="AQ568">
            <v>1</v>
          </cell>
          <cell r="AR568">
            <v>0.45</v>
          </cell>
          <cell r="AS568">
            <v>0.95</v>
          </cell>
          <cell r="AT568" t="str">
            <v>B2F</v>
          </cell>
          <cell r="AU568">
            <v>1.1000000000000001</v>
          </cell>
          <cell r="AV568" t="str">
            <v>B1F</v>
          </cell>
          <cell r="AW568">
            <v>1</v>
          </cell>
          <cell r="AX568" t="str">
            <v>なし</v>
          </cell>
          <cell r="AY568">
            <v>0.95</v>
          </cell>
          <cell r="AZ568" t="str">
            <v>×</v>
          </cell>
          <cell r="BA568" t="str">
            <v>×</v>
          </cell>
          <cell r="BB568" t="str">
            <v>×</v>
          </cell>
          <cell r="BC568" t="str">
            <v>×</v>
          </cell>
          <cell r="BD568" t="str">
            <v>×</v>
          </cell>
          <cell r="BE568" t="str">
            <v>×</v>
          </cell>
          <cell r="BF568" t="str">
            <v>×</v>
          </cell>
          <cell r="BG568" t="str">
            <v>×</v>
          </cell>
          <cell r="BH568" t="str">
            <v>×</v>
          </cell>
          <cell r="BI568" t="str">
            <v>×</v>
          </cell>
          <cell r="BJ568" t="str">
            <v>×</v>
          </cell>
          <cell r="BK568" t="str">
            <v>×</v>
          </cell>
          <cell r="BL568" t="str">
            <v>普通</v>
          </cell>
          <cell r="BM568">
            <v>1</v>
          </cell>
          <cell r="BN568" t="str">
            <v>古材</v>
          </cell>
          <cell r="BO568">
            <v>0.7</v>
          </cell>
          <cell r="BP568" t="str">
            <v>×</v>
          </cell>
          <cell r="BQ568" t="str">
            <v>×</v>
          </cell>
          <cell r="BR568" t="str">
            <v>×</v>
          </cell>
          <cell r="BS568" t="str">
            <v>×</v>
          </cell>
          <cell r="BT568" t="str">
            <v>×</v>
          </cell>
          <cell r="BU568" t="str">
            <v>×</v>
          </cell>
          <cell r="BV568" t="str">
            <v>×</v>
          </cell>
          <cell r="BW568" t="str">
            <v>×</v>
          </cell>
          <cell r="BX568" t="str">
            <v>×</v>
          </cell>
          <cell r="BY568" t="str">
            <v>×</v>
          </cell>
          <cell r="BZ568" t="str">
            <v>×</v>
          </cell>
        </row>
        <row r="569">
          <cell r="C569" t="str">
            <v>住宅・アパート　鉄筋</v>
          </cell>
          <cell r="D569">
            <v>5</v>
          </cell>
          <cell r="E569">
            <v>1.05</v>
          </cell>
          <cell r="F569">
            <v>3</v>
          </cell>
          <cell r="G569">
            <v>1</v>
          </cell>
          <cell r="H569">
            <v>2</v>
          </cell>
          <cell r="I569">
            <v>0.95</v>
          </cell>
          <cell r="J569">
            <v>4.5</v>
          </cell>
          <cell r="K569">
            <v>1.05</v>
          </cell>
          <cell r="L569">
            <v>3.5</v>
          </cell>
          <cell r="M569">
            <v>1</v>
          </cell>
          <cell r="N569">
            <v>3</v>
          </cell>
          <cell r="O569">
            <v>0.95</v>
          </cell>
          <cell r="P569" t="str">
            <v>×</v>
          </cell>
          <cell r="Q569" t="str">
            <v>×</v>
          </cell>
          <cell r="R569" t="str">
            <v>×</v>
          </cell>
          <cell r="S569" t="str">
            <v>×</v>
          </cell>
          <cell r="T569" t="str">
            <v>×</v>
          </cell>
          <cell r="U569" t="str">
            <v>×</v>
          </cell>
          <cell r="V569" t="str">
            <v>×</v>
          </cell>
          <cell r="W569" t="str">
            <v>×</v>
          </cell>
          <cell r="X569" t="str">
            <v>×</v>
          </cell>
          <cell r="Y569" t="str">
            <v>×</v>
          </cell>
          <cell r="Z569" t="str">
            <v>×</v>
          </cell>
          <cell r="AA569" t="str">
            <v>×</v>
          </cell>
          <cell r="AB569" t="str">
            <v>×</v>
          </cell>
          <cell r="AC569" t="str">
            <v>×</v>
          </cell>
          <cell r="AH569" t="str">
            <v>複雑</v>
          </cell>
          <cell r="AI569">
            <v>1.05</v>
          </cell>
          <cell r="AJ569" t="str">
            <v>普通</v>
          </cell>
          <cell r="AK569">
            <v>1</v>
          </cell>
          <cell r="AL569" t="str">
            <v>単純</v>
          </cell>
          <cell r="AM569">
            <v>0.95</v>
          </cell>
          <cell r="AN569">
            <v>1.92</v>
          </cell>
          <cell r="AO569">
            <v>1.1000000000000001</v>
          </cell>
          <cell r="AP569">
            <v>0.96</v>
          </cell>
          <cell r="AQ569">
            <v>1</v>
          </cell>
          <cell r="AR569">
            <v>0.54</v>
          </cell>
          <cell r="AS569">
            <v>0.95</v>
          </cell>
          <cell r="AT569" t="str">
            <v>あり</v>
          </cell>
          <cell r="AU569">
            <v>1.05</v>
          </cell>
          <cell r="AV569" t="str">
            <v>なし</v>
          </cell>
          <cell r="AW569">
            <v>1</v>
          </cell>
          <cell r="AX569" t="str">
            <v>×</v>
          </cell>
          <cell r="AY569" t="str">
            <v>×</v>
          </cell>
          <cell r="AZ569" t="str">
            <v>×</v>
          </cell>
          <cell r="BA569" t="str">
            <v>×</v>
          </cell>
          <cell r="BB569" t="str">
            <v>×</v>
          </cell>
          <cell r="BC569" t="str">
            <v>×</v>
          </cell>
          <cell r="BD569" t="str">
            <v>×</v>
          </cell>
          <cell r="BE569" t="str">
            <v>×</v>
          </cell>
          <cell r="BF569" t="str">
            <v>×</v>
          </cell>
          <cell r="BG569" t="str">
            <v>×</v>
          </cell>
          <cell r="BH569" t="str">
            <v>×</v>
          </cell>
          <cell r="BI569" t="str">
            <v>×</v>
          </cell>
          <cell r="BJ569" t="str">
            <v>×</v>
          </cell>
          <cell r="BK569" t="str">
            <v>×</v>
          </cell>
          <cell r="BL569" t="str">
            <v>普通</v>
          </cell>
          <cell r="BM569">
            <v>1</v>
          </cell>
          <cell r="BN569" t="str">
            <v>古材</v>
          </cell>
          <cell r="BO569">
            <v>0.7</v>
          </cell>
          <cell r="BP569" t="str">
            <v>×</v>
          </cell>
          <cell r="BQ569" t="str">
            <v>×</v>
          </cell>
          <cell r="BR569" t="str">
            <v>×</v>
          </cell>
          <cell r="BS569" t="str">
            <v>×</v>
          </cell>
          <cell r="BT569" t="str">
            <v>×</v>
          </cell>
          <cell r="BU569" t="str">
            <v>×</v>
          </cell>
          <cell r="BV569" t="str">
            <v>×</v>
          </cell>
          <cell r="BW569" t="str">
            <v>×</v>
          </cell>
          <cell r="BX569" t="str">
            <v>×</v>
          </cell>
          <cell r="BY569" t="str">
            <v>×</v>
          </cell>
          <cell r="BZ569" t="str">
            <v>×</v>
          </cell>
        </row>
        <row r="570">
          <cell r="C570" t="str">
            <v>病院・ホテル　鉄筋</v>
          </cell>
          <cell r="D570" t="str">
            <v>不能</v>
          </cell>
          <cell r="E570" t="str">
            <v>不能</v>
          </cell>
          <cell r="F570" t="str">
            <v>不能</v>
          </cell>
          <cell r="G570" t="str">
            <v>不能</v>
          </cell>
          <cell r="H570" t="str">
            <v>不能</v>
          </cell>
          <cell r="I570" t="str">
            <v>不能</v>
          </cell>
          <cell r="J570" t="str">
            <v>不能</v>
          </cell>
          <cell r="K570" t="str">
            <v>不能</v>
          </cell>
          <cell r="L570" t="str">
            <v>不能</v>
          </cell>
          <cell r="M570" t="str">
            <v>不能</v>
          </cell>
          <cell r="N570" t="str">
            <v>不能</v>
          </cell>
          <cell r="O570" t="str">
            <v>不能</v>
          </cell>
          <cell r="P570" t="str">
            <v>不能</v>
          </cell>
          <cell r="Q570" t="str">
            <v>不能</v>
          </cell>
          <cell r="R570" t="str">
            <v>不能</v>
          </cell>
          <cell r="S570" t="str">
            <v>不能</v>
          </cell>
          <cell r="T570" t="str">
            <v>不能</v>
          </cell>
          <cell r="U570" t="str">
            <v>不能</v>
          </cell>
          <cell r="V570" t="str">
            <v>不能</v>
          </cell>
          <cell r="W570" t="str">
            <v>不能</v>
          </cell>
          <cell r="X570" t="str">
            <v>不能</v>
          </cell>
          <cell r="Y570" t="str">
            <v>不能</v>
          </cell>
          <cell r="Z570" t="str">
            <v>不能</v>
          </cell>
          <cell r="AA570" t="str">
            <v>不能</v>
          </cell>
          <cell r="AB570" t="str">
            <v>不能</v>
          </cell>
          <cell r="AC570" t="str">
            <v>不能</v>
          </cell>
          <cell r="AH570" t="str">
            <v>不能</v>
          </cell>
          <cell r="AI570" t="str">
            <v>不能</v>
          </cell>
          <cell r="AJ570" t="str">
            <v>不能</v>
          </cell>
          <cell r="AK570" t="str">
            <v>不能</v>
          </cell>
          <cell r="AL570" t="str">
            <v>不能</v>
          </cell>
          <cell r="AM570" t="str">
            <v>不能</v>
          </cell>
          <cell r="AN570" t="str">
            <v>不能</v>
          </cell>
          <cell r="AO570" t="str">
            <v>不能</v>
          </cell>
          <cell r="AP570" t="str">
            <v>不能</v>
          </cell>
          <cell r="AQ570" t="str">
            <v>不能</v>
          </cell>
          <cell r="AR570" t="str">
            <v>不能</v>
          </cell>
          <cell r="AS570" t="str">
            <v>不能</v>
          </cell>
          <cell r="AT570" t="str">
            <v>不能</v>
          </cell>
          <cell r="AU570" t="str">
            <v>不能</v>
          </cell>
          <cell r="AV570" t="str">
            <v>不能</v>
          </cell>
          <cell r="AW570" t="str">
            <v>不能</v>
          </cell>
          <cell r="AX570" t="str">
            <v>不能</v>
          </cell>
          <cell r="AY570" t="str">
            <v>不能</v>
          </cell>
          <cell r="AZ570" t="str">
            <v>不能</v>
          </cell>
          <cell r="BA570" t="str">
            <v>不能</v>
          </cell>
          <cell r="BB570" t="str">
            <v>不能</v>
          </cell>
          <cell r="BC570" t="str">
            <v>不能</v>
          </cell>
          <cell r="BD570" t="str">
            <v>不能</v>
          </cell>
          <cell r="BE570" t="str">
            <v>不能</v>
          </cell>
          <cell r="BF570" t="str">
            <v>不能</v>
          </cell>
          <cell r="BG570" t="str">
            <v>不能</v>
          </cell>
          <cell r="BH570" t="str">
            <v>不能</v>
          </cell>
          <cell r="BI570" t="str">
            <v>不能</v>
          </cell>
          <cell r="BJ570" t="str">
            <v>不能</v>
          </cell>
          <cell r="BK570" t="str">
            <v>不能</v>
          </cell>
          <cell r="BL570" t="str">
            <v>不能</v>
          </cell>
          <cell r="BM570" t="str">
            <v>不能</v>
          </cell>
          <cell r="BN570" t="str">
            <v>不能</v>
          </cell>
          <cell r="BO570" t="str">
            <v>不能</v>
          </cell>
          <cell r="BP570" t="str">
            <v>不能</v>
          </cell>
          <cell r="BQ570" t="str">
            <v>不能</v>
          </cell>
          <cell r="BR570" t="str">
            <v>不能</v>
          </cell>
          <cell r="BS570" t="str">
            <v>不能</v>
          </cell>
          <cell r="BT570" t="str">
            <v>不能</v>
          </cell>
          <cell r="BU570" t="str">
            <v>不能</v>
          </cell>
          <cell r="BV570" t="str">
            <v>不能</v>
          </cell>
          <cell r="BW570" t="str">
            <v>不能</v>
          </cell>
          <cell r="BX570" t="str">
            <v>不能</v>
          </cell>
          <cell r="BY570" t="str">
            <v>不能</v>
          </cell>
          <cell r="BZ570" t="str">
            <v>×</v>
          </cell>
        </row>
        <row r="571">
          <cell r="C571" t="str">
            <v>工場・倉庫・市場　鉄筋</v>
          </cell>
          <cell r="D571" t="str">
            <v>×</v>
          </cell>
          <cell r="E571" t="str">
            <v>×</v>
          </cell>
          <cell r="F571" t="str">
            <v>×</v>
          </cell>
          <cell r="G571" t="str">
            <v>×</v>
          </cell>
          <cell r="H571" t="str">
            <v>×</v>
          </cell>
          <cell r="I571" t="str">
            <v>×</v>
          </cell>
          <cell r="J571">
            <v>6</v>
          </cell>
          <cell r="K571">
            <v>1.1000000000000001</v>
          </cell>
          <cell r="L571">
            <v>4</v>
          </cell>
          <cell r="M571">
            <v>1</v>
          </cell>
          <cell r="N571">
            <v>3</v>
          </cell>
          <cell r="O571">
            <v>0.95</v>
          </cell>
          <cell r="P571">
            <v>7</v>
          </cell>
          <cell r="Q571">
            <v>1.1000000000000001</v>
          </cell>
          <cell r="R571">
            <v>5</v>
          </cell>
          <cell r="S571">
            <v>1</v>
          </cell>
          <cell r="T571">
            <v>4</v>
          </cell>
          <cell r="U571">
            <v>0.95</v>
          </cell>
          <cell r="V571">
            <v>30</v>
          </cell>
          <cell r="W571">
            <v>1.1000000000000001</v>
          </cell>
          <cell r="X571">
            <v>10</v>
          </cell>
          <cell r="Y571">
            <v>1</v>
          </cell>
          <cell r="Z571" t="str">
            <v>なし</v>
          </cell>
          <cell r="AA571">
            <v>0.95</v>
          </cell>
          <cell r="AB571" t="str">
            <v>×</v>
          </cell>
          <cell r="AC571" t="str">
            <v>×</v>
          </cell>
          <cell r="AH571" t="str">
            <v>複雑</v>
          </cell>
          <cell r="AI571">
            <v>1.05</v>
          </cell>
          <cell r="AJ571" t="str">
            <v>普通</v>
          </cell>
          <cell r="AK571">
            <v>1</v>
          </cell>
          <cell r="AL571" t="str">
            <v>単純</v>
          </cell>
          <cell r="AM571">
            <v>0.95</v>
          </cell>
          <cell r="AN571">
            <v>1.6</v>
          </cell>
          <cell r="AO571">
            <v>1.1000000000000001</v>
          </cell>
          <cell r="AP571">
            <v>1.2</v>
          </cell>
          <cell r="AQ571">
            <v>1</v>
          </cell>
          <cell r="AR571">
            <v>0.64</v>
          </cell>
          <cell r="AS571">
            <v>0.95</v>
          </cell>
          <cell r="AT571" t="str">
            <v>B2F</v>
          </cell>
          <cell r="AU571">
            <v>1.05</v>
          </cell>
          <cell r="AV571" t="str">
            <v>B1F</v>
          </cell>
          <cell r="AW571">
            <v>1</v>
          </cell>
          <cell r="AX571" t="str">
            <v>なし</v>
          </cell>
          <cell r="AY571">
            <v>0.95</v>
          </cell>
          <cell r="AZ571">
            <v>15</v>
          </cell>
          <cell r="BA571">
            <v>1.05</v>
          </cell>
          <cell r="BB571">
            <v>12</v>
          </cell>
          <cell r="BC571">
            <v>1</v>
          </cell>
          <cell r="BD571">
            <v>10</v>
          </cell>
          <cell r="BE571">
            <v>0.95</v>
          </cell>
          <cell r="BF571" t="str">
            <v>×</v>
          </cell>
          <cell r="BG571" t="str">
            <v>×</v>
          </cell>
          <cell r="BH571" t="str">
            <v>×</v>
          </cell>
          <cell r="BI571" t="str">
            <v>×</v>
          </cell>
          <cell r="BJ571" t="str">
            <v>×</v>
          </cell>
          <cell r="BK571" t="str">
            <v>×</v>
          </cell>
          <cell r="BL571" t="str">
            <v>普通</v>
          </cell>
          <cell r="BM571">
            <v>1</v>
          </cell>
          <cell r="BN571" t="str">
            <v>古材</v>
          </cell>
          <cell r="BO571">
            <v>0.7</v>
          </cell>
          <cell r="BP571" t="str">
            <v>×</v>
          </cell>
          <cell r="BQ571" t="str">
            <v>×</v>
          </cell>
          <cell r="BR571" t="str">
            <v>×</v>
          </cell>
          <cell r="BS571" t="str">
            <v>×</v>
          </cell>
          <cell r="BT571" t="str">
            <v>×</v>
          </cell>
          <cell r="BU571" t="str">
            <v>×</v>
          </cell>
          <cell r="BV571" t="str">
            <v>×</v>
          </cell>
          <cell r="BW571" t="str">
            <v>×</v>
          </cell>
          <cell r="BX571" t="str">
            <v>×</v>
          </cell>
          <cell r="BY571" t="str">
            <v>×</v>
          </cell>
          <cell r="BZ571" t="str">
            <v>×</v>
          </cell>
        </row>
        <row r="572">
          <cell r="C572" t="str">
            <v>銀行用建物　鉄筋</v>
          </cell>
          <cell r="D572" t="str">
            <v>不能</v>
          </cell>
          <cell r="E572" t="str">
            <v>不能</v>
          </cell>
          <cell r="F572" t="str">
            <v>不能</v>
          </cell>
          <cell r="G572" t="str">
            <v>不能</v>
          </cell>
          <cell r="H572" t="str">
            <v>不能</v>
          </cell>
          <cell r="I572" t="str">
            <v>不能</v>
          </cell>
          <cell r="J572" t="str">
            <v>不能</v>
          </cell>
          <cell r="K572" t="str">
            <v>不能</v>
          </cell>
          <cell r="L572" t="str">
            <v>不能</v>
          </cell>
          <cell r="M572" t="str">
            <v>不能</v>
          </cell>
          <cell r="N572" t="str">
            <v>不能</v>
          </cell>
          <cell r="O572" t="str">
            <v>不能</v>
          </cell>
          <cell r="P572" t="str">
            <v>不能</v>
          </cell>
          <cell r="Q572" t="str">
            <v>不能</v>
          </cell>
          <cell r="R572" t="str">
            <v>不能</v>
          </cell>
          <cell r="S572" t="str">
            <v>不能</v>
          </cell>
          <cell r="T572" t="str">
            <v>不能</v>
          </cell>
          <cell r="U572" t="str">
            <v>不能</v>
          </cell>
          <cell r="V572" t="str">
            <v>不能</v>
          </cell>
          <cell r="W572" t="str">
            <v>不能</v>
          </cell>
          <cell r="X572" t="str">
            <v>不能</v>
          </cell>
          <cell r="Y572" t="str">
            <v>不能</v>
          </cell>
          <cell r="Z572" t="str">
            <v>不能</v>
          </cell>
          <cell r="AA572" t="str">
            <v>不能</v>
          </cell>
          <cell r="AB572" t="str">
            <v>不能</v>
          </cell>
          <cell r="AC572" t="str">
            <v>不能</v>
          </cell>
          <cell r="AH572" t="str">
            <v>不能</v>
          </cell>
          <cell r="AI572" t="str">
            <v>不能</v>
          </cell>
          <cell r="AJ572" t="str">
            <v>不能</v>
          </cell>
          <cell r="AK572" t="str">
            <v>不能</v>
          </cell>
          <cell r="AL572" t="str">
            <v>不能</v>
          </cell>
          <cell r="AM572" t="str">
            <v>不能</v>
          </cell>
          <cell r="AN572" t="str">
            <v>不能</v>
          </cell>
          <cell r="AO572" t="str">
            <v>不能</v>
          </cell>
          <cell r="AP572" t="str">
            <v>不能</v>
          </cell>
          <cell r="AQ572" t="str">
            <v>不能</v>
          </cell>
          <cell r="AR572" t="str">
            <v>不能</v>
          </cell>
          <cell r="AS572" t="str">
            <v>不能</v>
          </cell>
          <cell r="AT572" t="str">
            <v>不能</v>
          </cell>
          <cell r="AU572" t="str">
            <v>不能</v>
          </cell>
          <cell r="AV572" t="str">
            <v>不能</v>
          </cell>
          <cell r="AW572" t="str">
            <v>不能</v>
          </cell>
          <cell r="AX572" t="str">
            <v>不能</v>
          </cell>
          <cell r="AY572" t="str">
            <v>不能</v>
          </cell>
          <cell r="AZ572" t="str">
            <v>不能</v>
          </cell>
          <cell r="BA572" t="str">
            <v>不能</v>
          </cell>
          <cell r="BB572" t="str">
            <v>不能</v>
          </cell>
          <cell r="BC572" t="str">
            <v>不能</v>
          </cell>
          <cell r="BD572" t="str">
            <v>不能</v>
          </cell>
          <cell r="BE572" t="str">
            <v>不能</v>
          </cell>
          <cell r="BF572" t="str">
            <v>不能</v>
          </cell>
          <cell r="BG572" t="str">
            <v>不能</v>
          </cell>
          <cell r="BH572" t="str">
            <v>不能</v>
          </cell>
          <cell r="BI572" t="str">
            <v>不能</v>
          </cell>
          <cell r="BJ572" t="str">
            <v>不能</v>
          </cell>
          <cell r="BK572" t="str">
            <v>不能</v>
          </cell>
          <cell r="BL572" t="str">
            <v>不能</v>
          </cell>
          <cell r="BM572" t="str">
            <v>不能</v>
          </cell>
          <cell r="BN572" t="str">
            <v>不能</v>
          </cell>
          <cell r="BO572" t="str">
            <v>不能</v>
          </cell>
          <cell r="BP572" t="str">
            <v>不能</v>
          </cell>
          <cell r="BQ572" t="str">
            <v>不能</v>
          </cell>
          <cell r="BR572" t="str">
            <v>不能</v>
          </cell>
          <cell r="BS572" t="str">
            <v>不能</v>
          </cell>
          <cell r="BT572" t="str">
            <v>不能</v>
          </cell>
          <cell r="BU572" t="str">
            <v>不能</v>
          </cell>
          <cell r="BV572" t="str">
            <v>不能</v>
          </cell>
          <cell r="BW572" t="str">
            <v>不能</v>
          </cell>
          <cell r="BX572" t="str">
            <v>不能</v>
          </cell>
          <cell r="BY572" t="str">
            <v>不能</v>
          </cell>
          <cell r="BZ572" t="str">
            <v>×</v>
          </cell>
        </row>
        <row r="573">
          <cell r="C573" t="str">
            <v>劇場型建物　鉄筋</v>
          </cell>
          <cell r="D573" t="str">
            <v>不能</v>
          </cell>
          <cell r="E573" t="str">
            <v>不能</v>
          </cell>
          <cell r="F573" t="str">
            <v>不能</v>
          </cell>
          <cell r="G573" t="str">
            <v>不能</v>
          </cell>
          <cell r="H573" t="str">
            <v>不能</v>
          </cell>
          <cell r="I573" t="str">
            <v>不能</v>
          </cell>
          <cell r="J573" t="str">
            <v>不能</v>
          </cell>
          <cell r="K573" t="str">
            <v>不能</v>
          </cell>
          <cell r="L573" t="str">
            <v>不能</v>
          </cell>
          <cell r="M573" t="str">
            <v>不能</v>
          </cell>
          <cell r="N573" t="str">
            <v>不能</v>
          </cell>
          <cell r="O573" t="str">
            <v>不能</v>
          </cell>
          <cell r="P573" t="str">
            <v>不能</v>
          </cell>
          <cell r="Q573" t="str">
            <v>不能</v>
          </cell>
          <cell r="R573" t="str">
            <v>不能</v>
          </cell>
          <cell r="S573" t="str">
            <v>不能</v>
          </cell>
          <cell r="T573" t="str">
            <v>不能</v>
          </cell>
          <cell r="U573" t="str">
            <v>不能</v>
          </cell>
          <cell r="V573" t="str">
            <v>不能</v>
          </cell>
          <cell r="W573" t="str">
            <v>不能</v>
          </cell>
          <cell r="X573" t="str">
            <v>不能</v>
          </cell>
          <cell r="Y573" t="str">
            <v>不能</v>
          </cell>
          <cell r="Z573" t="str">
            <v>不能</v>
          </cell>
          <cell r="AA573" t="str">
            <v>不能</v>
          </cell>
          <cell r="AB573" t="str">
            <v>不能</v>
          </cell>
          <cell r="AC573" t="str">
            <v>不能</v>
          </cell>
          <cell r="AH573" t="str">
            <v>不能</v>
          </cell>
          <cell r="AI573" t="str">
            <v>不能</v>
          </cell>
          <cell r="AJ573" t="str">
            <v>不能</v>
          </cell>
          <cell r="AK573" t="str">
            <v>不能</v>
          </cell>
          <cell r="AL573" t="str">
            <v>不能</v>
          </cell>
          <cell r="AM573" t="str">
            <v>不能</v>
          </cell>
          <cell r="AN573" t="str">
            <v>不能</v>
          </cell>
          <cell r="AO573" t="str">
            <v>不能</v>
          </cell>
          <cell r="AP573" t="str">
            <v>不能</v>
          </cell>
          <cell r="AQ573" t="str">
            <v>不能</v>
          </cell>
          <cell r="AR573" t="str">
            <v>不能</v>
          </cell>
          <cell r="AS573" t="str">
            <v>不能</v>
          </cell>
          <cell r="AT573" t="str">
            <v>不能</v>
          </cell>
          <cell r="AU573" t="str">
            <v>不能</v>
          </cell>
          <cell r="AV573" t="str">
            <v>不能</v>
          </cell>
          <cell r="AW573" t="str">
            <v>不能</v>
          </cell>
          <cell r="AX573" t="str">
            <v>不能</v>
          </cell>
          <cell r="AY573" t="str">
            <v>不能</v>
          </cell>
          <cell r="AZ573" t="str">
            <v>不能</v>
          </cell>
          <cell r="BA573" t="str">
            <v>不能</v>
          </cell>
          <cell r="BB573" t="str">
            <v>不能</v>
          </cell>
          <cell r="BC573" t="str">
            <v>不能</v>
          </cell>
          <cell r="BD573" t="str">
            <v>不能</v>
          </cell>
          <cell r="BE573" t="str">
            <v>不能</v>
          </cell>
          <cell r="BF573" t="str">
            <v>不能</v>
          </cell>
          <cell r="BG573" t="str">
            <v>不能</v>
          </cell>
          <cell r="BH573" t="str">
            <v>不能</v>
          </cell>
          <cell r="BI573" t="str">
            <v>不能</v>
          </cell>
          <cell r="BJ573" t="str">
            <v>不能</v>
          </cell>
          <cell r="BK573" t="str">
            <v>不能</v>
          </cell>
          <cell r="BL573" t="str">
            <v>不能</v>
          </cell>
          <cell r="BM573" t="str">
            <v>不能</v>
          </cell>
          <cell r="BN573" t="str">
            <v>不能</v>
          </cell>
          <cell r="BO573" t="str">
            <v>不能</v>
          </cell>
          <cell r="BP573" t="str">
            <v>不能</v>
          </cell>
          <cell r="BQ573" t="str">
            <v>不能</v>
          </cell>
          <cell r="BR573" t="str">
            <v>不能</v>
          </cell>
          <cell r="BS573" t="str">
            <v>不能</v>
          </cell>
          <cell r="BT573" t="str">
            <v>不能</v>
          </cell>
          <cell r="BU573" t="str">
            <v>不能</v>
          </cell>
          <cell r="BV573" t="str">
            <v>不能</v>
          </cell>
          <cell r="BW573" t="str">
            <v>不能</v>
          </cell>
          <cell r="BX573" t="str">
            <v>不能</v>
          </cell>
          <cell r="BY573" t="str">
            <v>不能</v>
          </cell>
          <cell r="BZ573" t="str">
            <v>×</v>
          </cell>
        </row>
        <row r="574">
          <cell r="C574" t="str">
            <v>事務所・店舗・百貨店　軽量</v>
          </cell>
          <cell r="D574" t="str">
            <v>×</v>
          </cell>
          <cell r="E574" t="str">
            <v>×</v>
          </cell>
          <cell r="F574" t="str">
            <v>×</v>
          </cell>
          <cell r="G574" t="str">
            <v>×</v>
          </cell>
          <cell r="H574" t="str">
            <v>×</v>
          </cell>
          <cell r="I574" t="str">
            <v>×</v>
          </cell>
          <cell r="J574" t="str">
            <v>×</v>
          </cell>
          <cell r="K574" t="str">
            <v>×</v>
          </cell>
          <cell r="L574" t="str">
            <v>×</v>
          </cell>
          <cell r="M574" t="str">
            <v>×</v>
          </cell>
          <cell r="N574" t="str">
            <v>×</v>
          </cell>
          <cell r="O574" t="str">
            <v>×</v>
          </cell>
          <cell r="P574" t="str">
            <v>×</v>
          </cell>
          <cell r="Q574" t="str">
            <v>×</v>
          </cell>
          <cell r="R574" t="str">
            <v>×</v>
          </cell>
          <cell r="S574" t="str">
            <v>×</v>
          </cell>
          <cell r="T574" t="str">
            <v>×</v>
          </cell>
          <cell r="U574" t="str">
            <v>×</v>
          </cell>
          <cell r="V574" t="str">
            <v>×</v>
          </cell>
          <cell r="W574" t="str">
            <v>×</v>
          </cell>
          <cell r="X574" t="str">
            <v>×</v>
          </cell>
          <cell r="Y574" t="str">
            <v>×</v>
          </cell>
          <cell r="Z574" t="str">
            <v>×</v>
          </cell>
          <cell r="AA574" t="str">
            <v>×</v>
          </cell>
          <cell r="AB574" t="str">
            <v>×</v>
          </cell>
          <cell r="AC574" t="str">
            <v>×</v>
          </cell>
          <cell r="AH574" t="str">
            <v>複雑</v>
          </cell>
          <cell r="AI574">
            <v>1.1000000000000001</v>
          </cell>
          <cell r="AJ574" t="str">
            <v>普通</v>
          </cell>
          <cell r="AK574">
            <v>1</v>
          </cell>
          <cell r="AL574" t="str">
            <v>単純</v>
          </cell>
          <cell r="AM574">
            <v>0.8</v>
          </cell>
          <cell r="AN574" t="str">
            <v>×</v>
          </cell>
          <cell r="AO574" t="str">
            <v>×</v>
          </cell>
          <cell r="AP574" t="str">
            <v>×</v>
          </cell>
          <cell r="AQ574" t="str">
            <v>×</v>
          </cell>
          <cell r="AR574" t="str">
            <v>×</v>
          </cell>
          <cell r="AS574" t="str">
            <v>×</v>
          </cell>
          <cell r="AT574" t="str">
            <v>×</v>
          </cell>
          <cell r="AU574" t="str">
            <v>×</v>
          </cell>
          <cell r="AV574" t="str">
            <v>×</v>
          </cell>
          <cell r="AW574" t="str">
            <v>×</v>
          </cell>
          <cell r="AX574" t="str">
            <v>×</v>
          </cell>
          <cell r="AY574" t="str">
            <v>×</v>
          </cell>
          <cell r="AZ574" t="str">
            <v>×</v>
          </cell>
          <cell r="BA574" t="str">
            <v>×</v>
          </cell>
          <cell r="BB574" t="str">
            <v>×</v>
          </cell>
          <cell r="BC574" t="str">
            <v>×</v>
          </cell>
          <cell r="BD574" t="str">
            <v>×</v>
          </cell>
          <cell r="BE574" t="str">
            <v>×</v>
          </cell>
          <cell r="BF574" t="str">
            <v>×</v>
          </cell>
          <cell r="BG574" t="str">
            <v>×</v>
          </cell>
          <cell r="BH574" t="str">
            <v>×</v>
          </cell>
          <cell r="BI574" t="str">
            <v>×</v>
          </cell>
          <cell r="BJ574" t="str">
            <v>×</v>
          </cell>
          <cell r="BK574" t="str">
            <v>×</v>
          </cell>
          <cell r="BL574" t="str">
            <v>普通</v>
          </cell>
          <cell r="BM574">
            <v>1</v>
          </cell>
          <cell r="BN574" t="str">
            <v>古材</v>
          </cell>
          <cell r="BO574">
            <v>0.7</v>
          </cell>
          <cell r="BP574" t="str">
            <v>×</v>
          </cell>
          <cell r="BQ574" t="str">
            <v>×</v>
          </cell>
          <cell r="BR574" t="str">
            <v>×</v>
          </cell>
          <cell r="BS574" t="str">
            <v>×</v>
          </cell>
          <cell r="BT574" t="str">
            <v>×</v>
          </cell>
          <cell r="BU574" t="str">
            <v>×</v>
          </cell>
          <cell r="BV574" t="str">
            <v>×</v>
          </cell>
          <cell r="BW574" t="str">
            <v>×</v>
          </cell>
          <cell r="BX574" t="str">
            <v>×</v>
          </cell>
          <cell r="BY574" t="str">
            <v>×</v>
          </cell>
          <cell r="BZ574" t="str">
            <v>×</v>
          </cell>
        </row>
        <row r="575">
          <cell r="C575" t="str">
            <v>住宅・アパート　軽量</v>
          </cell>
          <cell r="D575" t="str">
            <v>不能</v>
          </cell>
          <cell r="E575" t="str">
            <v>不能</v>
          </cell>
          <cell r="F575" t="str">
            <v>不能</v>
          </cell>
          <cell r="G575" t="str">
            <v>不能</v>
          </cell>
          <cell r="H575" t="str">
            <v>不能</v>
          </cell>
          <cell r="I575" t="str">
            <v>不能</v>
          </cell>
          <cell r="J575" t="str">
            <v>不能</v>
          </cell>
          <cell r="K575" t="str">
            <v>不能</v>
          </cell>
          <cell r="L575" t="str">
            <v>不能</v>
          </cell>
          <cell r="M575" t="str">
            <v>不能</v>
          </cell>
          <cell r="N575" t="str">
            <v>不能</v>
          </cell>
          <cell r="O575" t="str">
            <v>不能</v>
          </cell>
          <cell r="P575" t="str">
            <v>不能</v>
          </cell>
          <cell r="Q575" t="str">
            <v>不能</v>
          </cell>
          <cell r="R575" t="str">
            <v>不能</v>
          </cell>
          <cell r="S575" t="str">
            <v>不能</v>
          </cell>
          <cell r="T575" t="str">
            <v>不能</v>
          </cell>
          <cell r="U575" t="str">
            <v>不能</v>
          </cell>
          <cell r="V575" t="str">
            <v>不能</v>
          </cell>
          <cell r="W575" t="str">
            <v>不能</v>
          </cell>
          <cell r="X575" t="str">
            <v>不能</v>
          </cell>
          <cell r="Y575" t="str">
            <v>不能</v>
          </cell>
          <cell r="Z575" t="str">
            <v>不能</v>
          </cell>
          <cell r="AA575" t="str">
            <v>不能</v>
          </cell>
          <cell r="AB575" t="str">
            <v>不能</v>
          </cell>
          <cell r="AC575" t="str">
            <v>不能</v>
          </cell>
          <cell r="AH575" t="str">
            <v>不能</v>
          </cell>
          <cell r="AI575" t="str">
            <v>不能</v>
          </cell>
          <cell r="AJ575" t="str">
            <v>不能</v>
          </cell>
          <cell r="AK575" t="str">
            <v>不能</v>
          </cell>
          <cell r="AL575" t="str">
            <v>不能</v>
          </cell>
          <cell r="AM575" t="str">
            <v>不能</v>
          </cell>
          <cell r="AN575" t="str">
            <v>不能</v>
          </cell>
          <cell r="AO575" t="str">
            <v>不能</v>
          </cell>
          <cell r="AP575" t="str">
            <v>不能</v>
          </cell>
          <cell r="AQ575" t="str">
            <v>不能</v>
          </cell>
          <cell r="AR575" t="str">
            <v>不能</v>
          </cell>
          <cell r="AS575" t="str">
            <v>不能</v>
          </cell>
          <cell r="AT575" t="str">
            <v>不能</v>
          </cell>
          <cell r="AU575" t="str">
            <v>不能</v>
          </cell>
          <cell r="AV575" t="str">
            <v>不能</v>
          </cell>
          <cell r="AW575" t="str">
            <v>不能</v>
          </cell>
          <cell r="AX575" t="str">
            <v>不能</v>
          </cell>
          <cell r="AY575" t="str">
            <v>不能</v>
          </cell>
          <cell r="AZ575" t="str">
            <v>不能</v>
          </cell>
          <cell r="BA575" t="str">
            <v>不能</v>
          </cell>
          <cell r="BB575" t="str">
            <v>不能</v>
          </cell>
          <cell r="BC575" t="str">
            <v>不能</v>
          </cell>
          <cell r="BD575" t="str">
            <v>不能</v>
          </cell>
          <cell r="BE575" t="str">
            <v>不能</v>
          </cell>
          <cell r="BF575" t="str">
            <v>不能</v>
          </cell>
          <cell r="BG575" t="str">
            <v>不能</v>
          </cell>
          <cell r="BH575" t="str">
            <v>不能</v>
          </cell>
          <cell r="BI575" t="str">
            <v>不能</v>
          </cell>
          <cell r="BJ575" t="str">
            <v>不能</v>
          </cell>
          <cell r="BK575" t="str">
            <v>不能</v>
          </cell>
          <cell r="BL575" t="str">
            <v>不能</v>
          </cell>
          <cell r="BM575" t="str">
            <v>不能</v>
          </cell>
          <cell r="BN575" t="str">
            <v>不能</v>
          </cell>
          <cell r="BO575" t="str">
            <v>不能</v>
          </cell>
          <cell r="BP575" t="str">
            <v>不能</v>
          </cell>
          <cell r="BQ575" t="str">
            <v>不能</v>
          </cell>
          <cell r="BR575" t="str">
            <v>不能</v>
          </cell>
          <cell r="BS575" t="str">
            <v>不能</v>
          </cell>
          <cell r="BT575" t="str">
            <v>不能</v>
          </cell>
          <cell r="BU575" t="str">
            <v>不能</v>
          </cell>
          <cell r="BV575" t="str">
            <v>不能</v>
          </cell>
          <cell r="BW575" t="str">
            <v>不能</v>
          </cell>
          <cell r="BX575" t="str">
            <v>不能</v>
          </cell>
          <cell r="BY575" t="str">
            <v>不能</v>
          </cell>
          <cell r="BZ575" t="str">
            <v>×</v>
          </cell>
        </row>
        <row r="576">
          <cell r="C576" t="str">
            <v>病院・ホテル　軽量</v>
          </cell>
          <cell r="D576" t="str">
            <v>不能</v>
          </cell>
          <cell r="E576" t="str">
            <v>不能</v>
          </cell>
          <cell r="F576" t="str">
            <v>不能</v>
          </cell>
          <cell r="G576" t="str">
            <v>不能</v>
          </cell>
          <cell r="H576" t="str">
            <v>不能</v>
          </cell>
          <cell r="I576" t="str">
            <v>不能</v>
          </cell>
          <cell r="J576" t="str">
            <v>不能</v>
          </cell>
          <cell r="K576" t="str">
            <v>不能</v>
          </cell>
          <cell r="L576" t="str">
            <v>不能</v>
          </cell>
          <cell r="M576" t="str">
            <v>不能</v>
          </cell>
          <cell r="N576" t="str">
            <v>不能</v>
          </cell>
          <cell r="O576" t="str">
            <v>不能</v>
          </cell>
          <cell r="P576" t="str">
            <v>不能</v>
          </cell>
          <cell r="Q576" t="str">
            <v>不能</v>
          </cell>
          <cell r="R576" t="str">
            <v>不能</v>
          </cell>
          <cell r="S576" t="str">
            <v>不能</v>
          </cell>
          <cell r="T576" t="str">
            <v>不能</v>
          </cell>
          <cell r="U576" t="str">
            <v>不能</v>
          </cell>
          <cell r="V576" t="str">
            <v>不能</v>
          </cell>
          <cell r="W576" t="str">
            <v>不能</v>
          </cell>
          <cell r="X576" t="str">
            <v>不能</v>
          </cell>
          <cell r="Y576" t="str">
            <v>不能</v>
          </cell>
          <cell r="Z576" t="str">
            <v>不能</v>
          </cell>
          <cell r="AA576" t="str">
            <v>不能</v>
          </cell>
          <cell r="AB576" t="str">
            <v>不能</v>
          </cell>
          <cell r="AC576" t="str">
            <v>不能</v>
          </cell>
          <cell r="AH576" t="str">
            <v>不能</v>
          </cell>
          <cell r="AI576" t="str">
            <v>不能</v>
          </cell>
          <cell r="AJ576" t="str">
            <v>不能</v>
          </cell>
          <cell r="AK576" t="str">
            <v>不能</v>
          </cell>
          <cell r="AL576" t="str">
            <v>不能</v>
          </cell>
          <cell r="AM576" t="str">
            <v>不能</v>
          </cell>
          <cell r="AN576" t="str">
            <v>不能</v>
          </cell>
          <cell r="AO576" t="str">
            <v>不能</v>
          </cell>
          <cell r="AP576" t="str">
            <v>不能</v>
          </cell>
          <cell r="AQ576" t="str">
            <v>不能</v>
          </cell>
          <cell r="AR576" t="str">
            <v>不能</v>
          </cell>
          <cell r="AS576" t="str">
            <v>不能</v>
          </cell>
          <cell r="AT576" t="str">
            <v>不能</v>
          </cell>
          <cell r="AU576" t="str">
            <v>不能</v>
          </cell>
          <cell r="AV576" t="str">
            <v>不能</v>
          </cell>
          <cell r="AW576" t="str">
            <v>不能</v>
          </cell>
          <cell r="AX576" t="str">
            <v>不能</v>
          </cell>
          <cell r="AY576" t="str">
            <v>不能</v>
          </cell>
          <cell r="AZ576" t="str">
            <v>不能</v>
          </cell>
          <cell r="BA576" t="str">
            <v>不能</v>
          </cell>
          <cell r="BB576" t="str">
            <v>不能</v>
          </cell>
          <cell r="BC576" t="str">
            <v>不能</v>
          </cell>
          <cell r="BD576" t="str">
            <v>不能</v>
          </cell>
          <cell r="BE576" t="str">
            <v>不能</v>
          </cell>
          <cell r="BF576" t="str">
            <v>不能</v>
          </cell>
          <cell r="BG576" t="str">
            <v>不能</v>
          </cell>
          <cell r="BH576" t="str">
            <v>不能</v>
          </cell>
          <cell r="BI576" t="str">
            <v>不能</v>
          </cell>
          <cell r="BJ576" t="str">
            <v>不能</v>
          </cell>
          <cell r="BK576" t="str">
            <v>不能</v>
          </cell>
          <cell r="BL576" t="str">
            <v>不能</v>
          </cell>
          <cell r="BM576" t="str">
            <v>不能</v>
          </cell>
          <cell r="BN576" t="str">
            <v>不能</v>
          </cell>
          <cell r="BO576" t="str">
            <v>不能</v>
          </cell>
          <cell r="BP576" t="str">
            <v>不能</v>
          </cell>
          <cell r="BQ576" t="str">
            <v>不能</v>
          </cell>
          <cell r="BR576" t="str">
            <v>不能</v>
          </cell>
          <cell r="BS576" t="str">
            <v>不能</v>
          </cell>
          <cell r="BT576" t="str">
            <v>不能</v>
          </cell>
          <cell r="BU576" t="str">
            <v>不能</v>
          </cell>
          <cell r="BV576" t="str">
            <v>不能</v>
          </cell>
          <cell r="BW576" t="str">
            <v>不能</v>
          </cell>
          <cell r="BX576" t="str">
            <v>不能</v>
          </cell>
          <cell r="BY576" t="str">
            <v>不能</v>
          </cell>
          <cell r="BZ576" t="str">
            <v>×</v>
          </cell>
        </row>
        <row r="577">
          <cell r="C577" t="str">
            <v>工場・倉庫・市場　軽量</v>
          </cell>
          <cell r="D577" t="str">
            <v>×</v>
          </cell>
          <cell r="E577" t="str">
            <v>×</v>
          </cell>
          <cell r="F577" t="str">
            <v>×</v>
          </cell>
          <cell r="G577" t="str">
            <v>×</v>
          </cell>
          <cell r="H577" t="str">
            <v>×</v>
          </cell>
          <cell r="I577" t="str">
            <v>×</v>
          </cell>
          <cell r="J577" t="str">
            <v>×</v>
          </cell>
          <cell r="K577" t="str">
            <v>×</v>
          </cell>
          <cell r="L577" t="str">
            <v>×</v>
          </cell>
          <cell r="M577" t="str">
            <v>×</v>
          </cell>
          <cell r="N577" t="str">
            <v>×</v>
          </cell>
          <cell r="O577" t="str">
            <v>×</v>
          </cell>
          <cell r="P577" t="str">
            <v>×</v>
          </cell>
          <cell r="Q577" t="str">
            <v>×</v>
          </cell>
          <cell r="R577" t="str">
            <v>×</v>
          </cell>
          <cell r="S577" t="str">
            <v>×</v>
          </cell>
          <cell r="T577" t="str">
            <v>×</v>
          </cell>
          <cell r="U577" t="str">
            <v>×</v>
          </cell>
          <cell r="V577" t="str">
            <v>×</v>
          </cell>
          <cell r="W577" t="str">
            <v>×</v>
          </cell>
          <cell r="X577" t="str">
            <v>×</v>
          </cell>
          <cell r="Y577" t="str">
            <v>×</v>
          </cell>
          <cell r="Z577" t="str">
            <v>×</v>
          </cell>
          <cell r="AA577" t="str">
            <v>×</v>
          </cell>
          <cell r="AB577" t="str">
            <v>×</v>
          </cell>
          <cell r="AC577" t="str">
            <v>×</v>
          </cell>
          <cell r="AH577" t="str">
            <v>複雑</v>
          </cell>
          <cell r="AI577">
            <v>1.1000000000000001</v>
          </cell>
          <cell r="AJ577" t="str">
            <v>普通</v>
          </cell>
          <cell r="AK577">
            <v>1</v>
          </cell>
          <cell r="AL577" t="str">
            <v>単純</v>
          </cell>
          <cell r="AM577">
            <v>0.8</v>
          </cell>
          <cell r="AN577" t="str">
            <v>×</v>
          </cell>
          <cell r="AO577" t="str">
            <v>×</v>
          </cell>
          <cell r="AP577" t="str">
            <v>×</v>
          </cell>
          <cell r="AQ577" t="str">
            <v>×</v>
          </cell>
          <cell r="AR577" t="str">
            <v>×</v>
          </cell>
          <cell r="AS577" t="str">
            <v>×</v>
          </cell>
          <cell r="AT577" t="str">
            <v>×</v>
          </cell>
          <cell r="AU577" t="str">
            <v>×</v>
          </cell>
          <cell r="AV577" t="str">
            <v>×</v>
          </cell>
          <cell r="AW577" t="str">
            <v>×</v>
          </cell>
          <cell r="AX577" t="str">
            <v>×</v>
          </cell>
          <cell r="AY577" t="str">
            <v>×</v>
          </cell>
          <cell r="AZ577" t="str">
            <v>×</v>
          </cell>
          <cell r="BA577" t="str">
            <v>×</v>
          </cell>
          <cell r="BB577" t="str">
            <v>×</v>
          </cell>
          <cell r="BC577" t="str">
            <v>×</v>
          </cell>
          <cell r="BD577" t="str">
            <v>×</v>
          </cell>
          <cell r="BE577" t="str">
            <v>×</v>
          </cell>
          <cell r="BF577" t="str">
            <v>×</v>
          </cell>
          <cell r="BG577" t="str">
            <v>×</v>
          </cell>
          <cell r="BH577" t="str">
            <v>×</v>
          </cell>
          <cell r="BI577" t="str">
            <v>×</v>
          </cell>
          <cell r="BJ577" t="str">
            <v>×</v>
          </cell>
          <cell r="BK577" t="str">
            <v>×</v>
          </cell>
          <cell r="BL577" t="str">
            <v>普通</v>
          </cell>
          <cell r="BM577">
            <v>1</v>
          </cell>
          <cell r="BN577" t="str">
            <v>古材</v>
          </cell>
          <cell r="BO577">
            <v>0.7</v>
          </cell>
          <cell r="BP577" t="str">
            <v>×</v>
          </cell>
          <cell r="BQ577" t="str">
            <v>×</v>
          </cell>
          <cell r="BR577" t="str">
            <v>×</v>
          </cell>
          <cell r="BS577" t="str">
            <v>×</v>
          </cell>
          <cell r="BT577" t="str">
            <v>×</v>
          </cell>
          <cell r="BU577" t="str">
            <v>×</v>
          </cell>
          <cell r="BV577" t="str">
            <v>×</v>
          </cell>
          <cell r="BW577" t="str">
            <v>×</v>
          </cell>
          <cell r="BX577" t="str">
            <v>×</v>
          </cell>
          <cell r="BY577" t="str">
            <v>×</v>
          </cell>
          <cell r="BZ577" t="str">
            <v>×</v>
          </cell>
        </row>
        <row r="578">
          <cell r="C578" t="str">
            <v>銀行用建物　軽量</v>
          </cell>
          <cell r="D578" t="str">
            <v>不能</v>
          </cell>
          <cell r="E578" t="str">
            <v>不能</v>
          </cell>
          <cell r="F578" t="str">
            <v>不能</v>
          </cell>
          <cell r="G578" t="str">
            <v>不能</v>
          </cell>
          <cell r="H578" t="str">
            <v>不能</v>
          </cell>
          <cell r="I578" t="str">
            <v>不能</v>
          </cell>
          <cell r="J578" t="str">
            <v>不能</v>
          </cell>
          <cell r="K578" t="str">
            <v>不能</v>
          </cell>
          <cell r="L578" t="str">
            <v>不能</v>
          </cell>
          <cell r="M578" t="str">
            <v>不能</v>
          </cell>
          <cell r="N578" t="str">
            <v>不能</v>
          </cell>
          <cell r="O578" t="str">
            <v>不能</v>
          </cell>
          <cell r="P578" t="str">
            <v>不能</v>
          </cell>
          <cell r="Q578" t="str">
            <v>不能</v>
          </cell>
          <cell r="R578" t="str">
            <v>不能</v>
          </cell>
          <cell r="S578" t="str">
            <v>不能</v>
          </cell>
          <cell r="T578" t="str">
            <v>不能</v>
          </cell>
          <cell r="U578" t="str">
            <v>不能</v>
          </cell>
          <cell r="V578" t="str">
            <v>不能</v>
          </cell>
          <cell r="W578" t="str">
            <v>不能</v>
          </cell>
          <cell r="X578" t="str">
            <v>不能</v>
          </cell>
          <cell r="Y578" t="str">
            <v>不能</v>
          </cell>
          <cell r="Z578" t="str">
            <v>不能</v>
          </cell>
          <cell r="AA578" t="str">
            <v>不能</v>
          </cell>
          <cell r="AB578" t="str">
            <v>不能</v>
          </cell>
          <cell r="AC578" t="str">
            <v>不能</v>
          </cell>
          <cell r="AH578" t="str">
            <v>不能</v>
          </cell>
          <cell r="AI578" t="str">
            <v>不能</v>
          </cell>
          <cell r="AJ578" t="str">
            <v>不能</v>
          </cell>
          <cell r="AK578" t="str">
            <v>不能</v>
          </cell>
          <cell r="AL578" t="str">
            <v>不能</v>
          </cell>
          <cell r="AM578" t="str">
            <v>不能</v>
          </cell>
          <cell r="AN578" t="str">
            <v>不能</v>
          </cell>
          <cell r="AO578" t="str">
            <v>不能</v>
          </cell>
          <cell r="AP578" t="str">
            <v>不能</v>
          </cell>
          <cell r="AQ578" t="str">
            <v>不能</v>
          </cell>
          <cell r="AR578" t="str">
            <v>不能</v>
          </cell>
          <cell r="AS578" t="str">
            <v>不能</v>
          </cell>
          <cell r="AT578" t="str">
            <v>不能</v>
          </cell>
          <cell r="AU578" t="str">
            <v>不能</v>
          </cell>
          <cell r="AV578" t="str">
            <v>不能</v>
          </cell>
          <cell r="AW578" t="str">
            <v>不能</v>
          </cell>
          <cell r="AX578" t="str">
            <v>不能</v>
          </cell>
          <cell r="AY578" t="str">
            <v>不能</v>
          </cell>
          <cell r="AZ578" t="str">
            <v>不能</v>
          </cell>
          <cell r="BA578" t="str">
            <v>不能</v>
          </cell>
          <cell r="BB578" t="str">
            <v>不能</v>
          </cell>
          <cell r="BC578" t="str">
            <v>不能</v>
          </cell>
          <cell r="BD578" t="str">
            <v>不能</v>
          </cell>
          <cell r="BE578" t="str">
            <v>不能</v>
          </cell>
          <cell r="BF578" t="str">
            <v>不能</v>
          </cell>
          <cell r="BG578" t="str">
            <v>不能</v>
          </cell>
          <cell r="BH578" t="str">
            <v>不能</v>
          </cell>
          <cell r="BI578" t="str">
            <v>不能</v>
          </cell>
          <cell r="BJ578" t="str">
            <v>不能</v>
          </cell>
          <cell r="BK578" t="str">
            <v>不能</v>
          </cell>
          <cell r="BL578" t="str">
            <v>不能</v>
          </cell>
          <cell r="BM578" t="str">
            <v>不能</v>
          </cell>
          <cell r="BN578" t="str">
            <v>不能</v>
          </cell>
          <cell r="BO578" t="str">
            <v>不能</v>
          </cell>
          <cell r="BP578" t="str">
            <v>不能</v>
          </cell>
          <cell r="BQ578" t="str">
            <v>不能</v>
          </cell>
          <cell r="BR578" t="str">
            <v>不能</v>
          </cell>
          <cell r="BS578" t="str">
            <v>不能</v>
          </cell>
          <cell r="BT578" t="str">
            <v>不能</v>
          </cell>
          <cell r="BU578" t="str">
            <v>不能</v>
          </cell>
          <cell r="BV578" t="str">
            <v>不能</v>
          </cell>
          <cell r="BW578" t="str">
            <v>不能</v>
          </cell>
          <cell r="BX578" t="str">
            <v>不能</v>
          </cell>
          <cell r="BY578" t="str">
            <v>不能</v>
          </cell>
          <cell r="BZ578" t="str">
            <v>×</v>
          </cell>
        </row>
        <row r="579">
          <cell r="C579" t="str">
            <v>劇場型建物　軽量</v>
          </cell>
          <cell r="D579" t="str">
            <v>不能</v>
          </cell>
          <cell r="E579" t="str">
            <v>不能</v>
          </cell>
          <cell r="F579" t="str">
            <v>不能</v>
          </cell>
          <cell r="G579" t="str">
            <v>不能</v>
          </cell>
          <cell r="H579" t="str">
            <v>不能</v>
          </cell>
          <cell r="I579" t="str">
            <v>不能</v>
          </cell>
          <cell r="J579" t="str">
            <v>不能</v>
          </cell>
          <cell r="K579" t="str">
            <v>不能</v>
          </cell>
          <cell r="L579" t="str">
            <v>不能</v>
          </cell>
          <cell r="M579" t="str">
            <v>不能</v>
          </cell>
          <cell r="N579" t="str">
            <v>不能</v>
          </cell>
          <cell r="O579" t="str">
            <v>不能</v>
          </cell>
          <cell r="P579" t="str">
            <v>不能</v>
          </cell>
          <cell r="Q579" t="str">
            <v>不能</v>
          </cell>
          <cell r="R579" t="str">
            <v>不能</v>
          </cell>
          <cell r="S579" t="str">
            <v>不能</v>
          </cell>
          <cell r="T579" t="str">
            <v>不能</v>
          </cell>
          <cell r="U579" t="str">
            <v>不能</v>
          </cell>
          <cell r="V579" t="str">
            <v>不能</v>
          </cell>
          <cell r="W579" t="str">
            <v>不能</v>
          </cell>
          <cell r="X579" t="str">
            <v>不能</v>
          </cell>
          <cell r="Y579" t="str">
            <v>不能</v>
          </cell>
          <cell r="Z579" t="str">
            <v>不能</v>
          </cell>
          <cell r="AA579" t="str">
            <v>不能</v>
          </cell>
          <cell r="AB579" t="str">
            <v>不能</v>
          </cell>
          <cell r="AC579" t="str">
            <v>不能</v>
          </cell>
          <cell r="AH579" t="str">
            <v>不能</v>
          </cell>
          <cell r="AI579" t="str">
            <v>不能</v>
          </cell>
          <cell r="AJ579" t="str">
            <v>不能</v>
          </cell>
          <cell r="AK579" t="str">
            <v>不能</v>
          </cell>
          <cell r="AL579" t="str">
            <v>不能</v>
          </cell>
          <cell r="AM579" t="str">
            <v>不能</v>
          </cell>
          <cell r="AN579" t="str">
            <v>不能</v>
          </cell>
          <cell r="AO579" t="str">
            <v>不能</v>
          </cell>
          <cell r="AP579" t="str">
            <v>不能</v>
          </cell>
          <cell r="AQ579" t="str">
            <v>不能</v>
          </cell>
          <cell r="AR579" t="str">
            <v>不能</v>
          </cell>
          <cell r="AS579" t="str">
            <v>不能</v>
          </cell>
          <cell r="AT579" t="str">
            <v>不能</v>
          </cell>
          <cell r="AU579" t="str">
            <v>不能</v>
          </cell>
          <cell r="AV579" t="str">
            <v>不能</v>
          </cell>
          <cell r="AW579" t="str">
            <v>不能</v>
          </cell>
          <cell r="AX579" t="str">
            <v>不能</v>
          </cell>
          <cell r="AY579" t="str">
            <v>不能</v>
          </cell>
          <cell r="AZ579" t="str">
            <v>不能</v>
          </cell>
          <cell r="BA579" t="str">
            <v>不能</v>
          </cell>
          <cell r="BB579" t="str">
            <v>不能</v>
          </cell>
          <cell r="BC579" t="str">
            <v>不能</v>
          </cell>
          <cell r="BD579" t="str">
            <v>不能</v>
          </cell>
          <cell r="BE579" t="str">
            <v>不能</v>
          </cell>
          <cell r="BF579" t="str">
            <v>不能</v>
          </cell>
          <cell r="BG579" t="str">
            <v>不能</v>
          </cell>
          <cell r="BH579" t="str">
            <v>不能</v>
          </cell>
          <cell r="BI579" t="str">
            <v>不能</v>
          </cell>
          <cell r="BJ579" t="str">
            <v>不能</v>
          </cell>
          <cell r="BK579" t="str">
            <v>不能</v>
          </cell>
          <cell r="BL579" t="str">
            <v>不能</v>
          </cell>
          <cell r="BM579" t="str">
            <v>不能</v>
          </cell>
          <cell r="BN579" t="str">
            <v>不能</v>
          </cell>
          <cell r="BO579" t="str">
            <v>不能</v>
          </cell>
          <cell r="BP579" t="str">
            <v>不能</v>
          </cell>
          <cell r="BQ579" t="str">
            <v>不能</v>
          </cell>
          <cell r="BR579" t="str">
            <v>不能</v>
          </cell>
          <cell r="BS579" t="str">
            <v>不能</v>
          </cell>
          <cell r="BT579" t="str">
            <v>不能</v>
          </cell>
          <cell r="BU579" t="str">
            <v>不能</v>
          </cell>
          <cell r="BV579" t="str">
            <v>不能</v>
          </cell>
          <cell r="BW579" t="str">
            <v>不能</v>
          </cell>
          <cell r="BX579" t="str">
            <v>不能</v>
          </cell>
          <cell r="BY579" t="str">
            <v>不能</v>
          </cell>
          <cell r="BZ579" t="str">
            <v>×</v>
          </cell>
        </row>
        <row r="583">
          <cell r="C583" t="str">
            <v>事務所・店舗・百貨店</v>
          </cell>
          <cell r="D583" t="str">
            <v>複雑</v>
          </cell>
          <cell r="E583">
            <v>1.05</v>
          </cell>
          <cell r="F583" t="str">
            <v>普通</v>
          </cell>
          <cell r="G583">
            <v>1</v>
          </cell>
          <cell r="H583" t="str">
            <v>単純</v>
          </cell>
          <cell r="I583">
            <v>0.95</v>
          </cell>
          <cell r="J583">
            <v>1000</v>
          </cell>
          <cell r="K583">
            <v>1.06</v>
          </cell>
          <cell r="L583">
            <v>3000</v>
          </cell>
          <cell r="M583">
            <v>1</v>
          </cell>
          <cell r="N583">
            <v>10000</v>
          </cell>
          <cell r="O583">
            <v>0.93</v>
          </cell>
          <cell r="P583" t="str">
            <v>複雑</v>
          </cell>
          <cell r="Q583">
            <v>1.1000000000000001</v>
          </cell>
          <cell r="R583" t="str">
            <v>普通</v>
          </cell>
          <cell r="S583">
            <v>1</v>
          </cell>
          <cell r="T583" t="str">
            <v>単純</v>
          </cell>
          <cell r="U583">
            <v>0.8</v>
          </cell>
          <cell r="V583">
            <v>300</v>
          </cell>
          <cell r="W583">
            <v>1.1200000000000001</v>
          </cell>
          <cell r="X583">
            <v>20000</v>
          </cell>
          <cell r="Y583">
            <v>0.91</v>
          </cell>
          <cell r="AB583" t="str">
            <v>複雑</v>
          </cell>
          <cell r="AC583">
            <v>1.05</v>
          </cell>
          <cell r="AD583" t="str">
            <v>普通</v>
          </cell>
          <cell r="AE583">
            <v>1</v>
          </cell>
          <cell r="AF583" t="str">
            <v>単純</v>
          </cell>
          <cell r="AG583">
            <v>0.95</v>
          </cell>
          <cell r="AH583">
            <v>3670</v>
          </cell>
          <cell r="AJ583">
            <v>2360</v>
          </cell>
          <cell r="AL583" t="str">
            <v>複雑</v>
          </cell>
          <cell r="AM583">
            <v>1.1000000000000001</v>
          </cell>
          <cell r="AN583" t="str">
            <v>普通</v>
          </cell>
          <cell r="AO583">
            <v>1</v>
          </cell>
          <cell r="AP583" t="str">
            <v>単純</v>
          </cell>
          <cell r="AQ583">
            <v>0.8</v>
          </cell>
        </row>
        <row r="584">
          <cell r="C584" t="str">
            <v>住宅・アパート</v>
          </cell>
          <cell r="D584" t="str">
            <v>複雑</v>
          </cell>
          <cell r="E584">
            <v>1.05</v>
          </cell>
          <cell r="F584" t="str">
            <v>普通</v>
          </cell>
          <cell r="G584">
            <v>1</v>
          </cell>
          <cell r="H584" t="str">
            <v>単純</v>
          </cell>
          <cell r="I584">
            <v>0.95</v>
          </cell>
          <cell r="J584">
            <v>360</v>
          </cell>
          <cell r="K584">
            <v>1.06</v>
          </cell>
          <cell r="L584">
            <v>1800</v>
          </cell>
          <cell r="M584">
            <v>1</v>
          </cell>
          <cell r="N584">
            <v>3600</v>
          </cell>
          <cell r="O584">
            <v>0.94</v>
          </cell>
          <cell r="P584" t="str">
            <v>複雑</v>
          </cell>
          <cell r="Q584">
            <v>1.05</v>
          </cell>
          <cell r="R584" t="str">
            <v>普通</v>
          </cell>
          <cell r="S584">
            <v>1</v>
          </cell>
          <cell r="T584" t="str">
            <v>単純</v>
          </cell>
          <cell r="U584">
            <v>0.95</v>
          </cell>
          <cell r="V584">
            <v>300</v>
          </cell>
          <cell r="W584">
            <v>1.08</v>
          </cell>
          <cell r="X584">
            <v>7200</v>
          </cell>
          <cell r="Y584">
            <v>0.91</v>
          </cell>
          <cell r="AB584" t="str">
            <v>複雑</v>
          </cell>
          <cell r="AC584">
            <v>1.05</v>
          </cell>
          <cell r="AD584" t="str">
            <v>普通</v>
          </cell>
          <cell r="AE584">
            <v>1</v>
          </cell>
          <cell r="AF584" t="str">
            <v>単純</v>
          </cell>
          <cell r="AG584">
            <v>0.95</v>
          </cell>
          <cell r="AH584">
            <v>3300</v>
          </cell>
          <cell r="AJ584">
            <v>2360</v>
          </cell>
          <cell r="AL584" t="str">
            <v>複雑</v>
          </cell>
          <cell r="AM584">
            <v>1.1000000000000001</v>
          </cell>
          <cell r="AN584" t="str">
            <v>普通</v>
          </cell>
          <cell r="AO584">
            <v>1</v>
          </cell>
          <cell r="AP584" t="str">
            <v>単純</v>
          </cell>
          <cell r="AQ584">
            <v>0.8</v>
          </cell>
        </row>
        <row r="585">
          <cell r="C585" t="str">
            <v>病院・ホテル</v>
          </cell>
          <cell r="D585" t="str">
            <v>複雑</v>
          </cell>
          <cell r="E585">
            <v>1.05</v>
          </cell>
          <cell r="F585" t="str">
            <v>普通</v>
          </cell>
          <cell r="G585">
            <v>1</v>
          </cell>
          <cell r="H585" t="str">
            <v>単純</v>
          </cell>
          <cell r="I585">
            <v>0.95</v>
          </cell>
          <cell r="J585">
            <v>1000</v>
          </cell>
          <cell r="K585">
            <v>1.06</v>
          </cell>
          <cell r="L585">
            <v>3000</v>
          </cell>
          <cell r="M585">
            <v>1</v>
          </cell>
          <cell r="N585">
            <v>10000</v>
          </cell>
          <cell r="O585">
            <v>0.93</v>
          </cell>
          <cell r="P585" t="str">
            <v>複雑</v>
          </cell>
          <cell r="Q585">
            <v>1.05</v>
          </cell>
          <cell r="R585" t="str">
            <v>普通</v>
          </cell>
          <cell r="S585">
            <v>1</v>
          </cell>
          <cell r="T585" t="str">
            <v>単純</v>
          </cell>
          <cell r="U585">
            <v>0.95</v>
          </cell>
          <cell r="V585">
            <v>300</v>
          </cell>
          <cell r="W585">
            <v>1.1200000000000001</v>
          </cell>
          <cell r="X585">
            <v>20000</v>
          </cell>
          <cell r="Y585">
            <v>0.91</v>
          </cell>
          <cell r="AB585" t="str">
            <v>複雑</v>
          </cell>
          <cell r="AC585">
            <v>1.05</v>
          </cell>
          <cell r="AD585" t="str">
            <v>普通</v>
          </cell>
          <cell r="AE585">
            <v>1</v>
          </cell>
          <cell r="AF585" t="str">
            <v>単純</v>
          </cell>
          <cell r="AG585">
            <v>0.95</v>
          </cell>
          <cell r="AH585">
            <v>3490</v>
          </cell>
          <cell r="AJ585">
            <v>2360</v>
          </cell>
          <cell r="AL585" t="str">
            <v>×</v>
          </cell>
          <cell r="AM585" t="str">
            <v>×</v>
          </cell>
          <cell r="AN585" t="str">
            <v>×</v>
          </cell>
          <cell r="AO585" t="str">
            <v>×</v>
          </cell>
          <cell r="AP585" t="str">
            <v>×</v>
          </cell>
          <cell r="AQ585" t="str">
            <v>×</v>
          </cell>
        </row>
        <row r="586">
          <cell r="C586" t="str">
            <v>工場・倉庫・市場</v>
          </cell>
          <cell r="D586" t="str">
            <v>複雑</v>
          </cell>
          <cell r="E586">
            <v>1.05</v>
          </cell>
          <cell r="F586" t="str">
            <v>普通</v>
          </cell>
          <cell r="G586">
            <v>1</v>
          </cell>
          <cell r="H586" t="str">
            <v>単純</v>
          </cell>
          <cell r="I586">
            <v>0.95</v>
          </cell>
          <cell r="J586">
            <v>1000</v>
          </cell>
          <cell r="K586">
            <v>1.06</v>
          </cell>
          <cell r="L586">
            <v>3000</v>
          </cell>
          <cell r="M586">
            <v>1</v>
          </cell>
          <cell r="N586">
            <v>10000</v>
          </cell>
          <cell r="O586">
            <v>0.93</v>
          </cell>
          <cell r="P586" t="str">
            <v>複雑</v>
          </cell>
          <cell r="Q586">
            <v>1.1000000000000001</v>
          </cell>
          <cell r="R586" t="str">
            <v>普通</v>
          </cell>
          <cell r="S586">
            <v>1</v>
          </cell>
          <cell r="T586" t="str">
            <v>単純</v>
          </cell>
          <cell r="U586">
            <v>0.8</v>
          </cell>
          <cell r="V586">
            <v>300</v>
          </cell>
          <cell r="W586">
            <v>1.1200000000000001</v>
          </cell>
          <cell r="X586">
            <v>20000</v>
          </cell>
          <cell r="Y586">
            <v>0.91</v>
          </cell>
          <cell r="AB586" t="str">
            <v>複雑</v>
          </cell>
          <cell r="AC586">
            <v>1.05</v>
          </cell>
          <cell r="AD586" t="str">
            <v>普通</v>
          </cell>
          <cell r="AE586">
            <v>1</v>
          </cell>
          <cell r="AF586" t="str">
            <v>単純</v>
          </cell>
          <cell r="AG586">
            <v>0.95</v>
          </cell>
          <cell r="AH586">
            <v>2380</v>
          </cell>
          <cell r="AJ586">
            <v>1260</v>
          </cell>
          <cell r="AL586" t="str">
            <v>複雑</v>
          </cell>
          <cell r="AM586">
            <v>1.1000000000000001</v>
          </cell>
          <cell r="AN586" t="str">
            <v>普通</v>
          </cell>
          <cell r="AO586">
            <v>1</v>
          </cell>
          <cell r="AP586" t="str">
            <v>単純</v>
          </cell>
          <cell r="AQ586">
            <v>0.8</v>
          </cell>
        </row>
        <row r="587">
          <cell r="C587" t="str">
            <v>銀行用建物</v>
          </cell>
          <cell r="D587" t="str">
            <v>複雑</v>
          </cell>
          <cell r="E587">
            <v>1.05</v>
          </cell>
          <cell r="F587" t="str">
            <v>普通</v>
          </cell>
          <cell r="G587">
            <v>1</v>
          </cell>
          <cell r="H587" t="str">
            <v>単純</v>
          </cell>
          <cell r="I587">
            <v>0.95</v>
          </cell>
          <cell r="J587">
            <v>900</v>
          </cell>
          <cell r="K587">
            <v>1.02</v>
          </cell>
          <cell r="L587">
            <v>1800</v>
          </cell>
          <cell r="M587">
            <v>1</v>
          </cell>
          <cell r="N587">
            <v>3600</v>
          </cell>
          <cell r="O587">
            <v>0.96</v>
          </cell>
          <cell r="P587" t="str">
            <v>複雑</v>
          </cell>
          <cell r="Q587">
            <v>1.05</v>
          </cell>
          <cell r="R587" t="str">
            <v>普通</v>
          </cell>
          <cell r="S587">
            <v>1</v>
          </cell>
          <cell r="T587" t="str">
            <v>単純</v>
          </cell>
          <cell r="U587">
            <v>0.95</v>
          </cell>
          <cell r="V587">
            <v>300</v>
          </cell>
          <cell r="W587">
            <v>1.08</v>
          </cell>
          <cell r="X587">
            <v>7200</v>
          </cell>
          <cell r="Y587">
            <v>0.91</v>
          </cell>
          <cell r="AB587" t="str">
            <v>複雑</v>
          </cell>
          <cell r="AC587">
            <v>1.05</v>
          </cell>
          <cell r="AD587" t="str">
            <v>普通</v>
          </cell>
          <cell r="AE587">
            <v>1</v>
          </cell>
          <cell r="AF587" t="str">
            <v>単純</v>
          </cell>
          <cell r="AG587">
            <v>0.95</v>
          </cell>
          <cell r="AH587">
            <v>3670</v>
          </cell>
          <cell r="AJ587">
            <v>2500</v>
          </cell>
          <cell r="AL587" t="str">
            <v>×</v>
          </cell>
          <cell r="AM587" t="str">
            <v>×</v>
          </cell>
          <cell r="AN587" t="str">
            <v>×</v>
          </cell>
          <cell r="AO587" t="str">
            <v>×</v>
          </cell>
          <cell r="AP587" t="str">
            <v>×</v>
          </cell>
          <cell r="AQ587" t="str">
            <v>×</v>
          </cell>
        </row>
        <row r="588">
          <cell r="C588" t="str">
            <v>劇場型建物</v>
          </cell>
          <cell r="D588" t="str">
            <v>複雑</v>
          </cell>
          <cell r="E588">
            <v>1.05</v>
          </cell>
          <cell r="F588" t="str">
            <v>普通</v>
          </cell>
          <cell r="G588">
            <v>1</v>
          </cell>
          <cell r="H588" t="str">
            <v>単純</v>
          </cell>
          <cell r="I588">
            <v>0.85</v>
          </cell>
          <cell r="J588">
            <v>900</v>
          </cell>
          <cell r="K588">
            <v>1.02</v>
          </cell>
          <cell r="L588">
            <v>1800</v>
          </cell>
          <cell r="M588">
            <v>1</v>
          </cell>
          <cell r="N588">
            <v>3600</v>
          </cell>
          <cell r="O588">
            <v>0.94</v>
          </cell>
          <cell r="P588" t="str">
            <v>複雑</v>
          </cell>
          <cell r="Q588">
            <v>1.05</v>
          </cell>
          <cell r="R588" t="str">
            <v>普通</v>
          </cell>
          <cell r="S588">
            <v>1</v>
          </cell>
          <cell r="T588" t="str">
            <v>単純</v>
          </cell>
          <cell r="U588">
            <v>0.95</v>
          </cell>
          <cell r="V588">
            <v>300</v>
          </cell>
          <cell r="W588">
            <v>1.08</v>
          </cell>
          <cell r="X588">
            <v>7200</v>
          </cell>
          <cell r="Y588">
            <v>0.91</v>
          </cell>
          <cell r="AB588" t="str">
            <v>複雑</v>
          </cell>
          <cell r="AC588">
            <v>1.05</v>
          </cell>
          <cell r="AD588" t="str">
            <v>普通</v>
          </cell>
          <cell r="AE588">
            <v>1</v>
          </cell>
          <cell r="AF588" t="str">
            <v>単純</v>
          </cell>
          <cell r="AG588">
            <v>0.95</v>
          </cell>
          <cell r="AH588">
            <v>3490</v>
          </cell>
          <cell r="AJ588">
            <v>2570</v>
          </cell>
          <cell r="AL588" t="str">
            <v>×</v>
          </cell>
          <cell r="AM588" t="str">
            <v>×</v>
          </cell>
          <cell r="AN588" t="str">
            <v>×</v>
          </cell>
          <cell r="AO588" t="str">
            <v>×</v>
          </cell>
          <cell r="AP588" t="str">
            <v>×</v>
          </cell>
          <cell r="AQ588" t="str">
            <v>×</v>
          </cell>
        </row>
        <row r="591">
          <cell r="G591" t="str">
            <v>構造コード</v>
          </cell>
          <cell r="K591" t="str">
            <v>取得事由コード</v>
          </cell>
        </row>
        <row r="592">
          <cell r="G592" t="str">
            <v>W</v>
          </cell>
          <cell r="H592" t="str">
            <v>木</v>
          </cell>
          <cell r="I592">
            <v>1</v>
          </cell>
          <cell r="K592" t="str">
            <v>新築</v>
          </cell>
          <cell r="L592">
            <v>1</v>
          </cell>
        </row>
        <row r="593">
          <cell r="G593" t="str">
            <v>S</v>
          </cell>
          <cell r="H593" t="str">
            <v>鉄骨</v>
          </cell>
          <cell r="I593">
            <v>2</v>
          </cell>
          <cell r="K593" t="str">
            <v>増築</v>
          </cell>
          <cell r="L593">
            <v>2</v>
          </cell>
        </row>
        <row r="594">
          <cell r="G594" t="str">
            <v>RC</v>
          </cell>
          <cell r="H594" t="str">
            <v>鉄筋コンクリート</v>
          </cell>
          <cell r="I594">
            <v>3</v>
          </cell>
          <cell r="K594" t="str">
            <v>改築</v>
          </cell>
          <cell r="L594">
            <v>3</v>
          </cell>
        </row>
        <row r="595">
          <cell r="G595" t="str">
            <v>SRC</v>
          </cell>
          <cell r="H595" t="str">
            <v>鉄骨鉄筋コンクリート</v>
          </cell>
          <cell r="I595">
            <v>4</v>
          </cell>
          <cell r="K595" t="str">
            <v>その他</v>
          </cell>
          <cell r="L595">
            <v>21</v>
          </cell>
        </row>
        <row r="596">
          <cell r="G596" t="str">
            <v>LGS</v>
          </cell>
          <cell r="H596" t="str">
            <v>軽量鉄骨</v>
          </cell>
          <cell r="I596">
            <v>5</v>
          </cell>
        </row>
        <row r="597">
          <cell r="G597" t="str">
            <v>CB</v>
          </cell>
          <cell r="H597" t="str">
            <v>コンクリートブロック</v>
          </cell>
          <cell r="I597">
            <v>6</v>
          </cell>
        </row>
        <row r="598">
          <cell r="G598" t="str">
            <v>Wプレ</v>
          </cell>
          <cell r="H598" t="str">
            <v>木造プレハブ</v>
          </cell>
          <cell r="I598">
            <v>7</v>
          </cell>
        </row>
        <row r="599">
          <cell r="G599" t="str">
            <v>RCプレ</v>
          </cell>
          <cell r="H599" t="str">
            <v>鉄筋コンクリートプレハブ</v>
          </cell>
          <cell r="I599">
            <v>8</v>
          </cell>
        </row>
        <row r="600">
          <cell r="G600" t="str">
            <v>LGSプレ</v>
          </cell>
          <cell r="H600" t="str">
            <v>軽量鉄骨プレハブ</v>
          </cell>
          <cell r="I600">
            <v>9</v>
          </cell>
        </row>
        <row r="601">
          <cell r="G601" t="str">
            <v>その他</v>
          </cell>
          <cell r="H601" t="str">
            <v>その他</v>
          </cell>
          <cell r="I601">
            <v>19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89"/>
  <sheetViews>
    <sheetView topLeftCell="A52" workbookViewId="0">
      <selection activeCell="L95" sqref="L95"/>
    </sheetView>
  </sheetViews>
  <sheetFormatPr defaultColWidth="9.33203125" defaultRowHeight="13"/>
  <cols>
    <col min="1" max="2" width="9.33203125" style="794"/>
    <col min="3" max="3" width="51.6640625" style="794" customWidth="1"/>
    <col min="4" max="4" width="7" style="794" customWidth="1"/>
    <col min="5" max="5" width="9.33203125" style="794"/>
    <col min="6" max="6" width="28.109375" style="794" customWidth="1"/>
    <col min="7" max="7" width="9.33203125" style="794"/>
    <col min="8" max="8" width="7.109375" style="794" customWidth="1"/>
    <col min="9" max="10" width="9.33203125" style="794"/>
    <col min="11" max="11" width="5" style="794" customWidth="1"/>
    <col min="12" max="12" width="6.77734375" style="794" customWidth="1"/>
    <col min="13" max="16384" width="9.33203125" style="794"/>
  </cols>
  <sheetData>
    <row r="1" spans="1:49">
      <c r="A1" s="794" t="s">
        <v>1589</v>
      </c>
    </row>
    <row r="2" spans="1:49">
      <c r="B2" s="794" t="s">
        <v>5216</v>
      </c>
      <c r="D2" s="794" t="s">
        <v>5215</v>
      </c>
    </row>
    <row r="3" spans="1:49">
      <c r="B3" s="794" t="s">
        <v>5218</v>
      </c>
      <c r="D3" s="794" t="s">
        <v>5217</v>
      </c>
      <c r="AW3" s="794" t="s">
        <v>1547</v>
      </c>
    </row>
    <row r="4" spans="1:49">
      <c r="B4" s="794" t="s">
        <v>5220</v>
      </c>
      <c r="D4" s="794" t="s">
        <v>5219</v>
      </c>
    </row>
    <row r="5" spans="1:49">
      <c r="B5" s="794" t="s">
        <v>5222</v>
      </c>
      <c r="D5" s="794" t="s">
        <v>5221</v>
      </c>
    </row>
    <row r="6" spans="1:49">
      <c r="B6" s="794" t="s">
        <v>5224</v>
      </c>
      <c r="D6" s="794" t="s">
        <v>5223</v>
      </c>
    </row>
    <row r="7" spans="1:49">
      <c r="B7" s="794" t="s">
        <v>5226</v>
      </c>
      <c r="D7" s="794" t="s">
        <v>5225</v>
      </c>
    </row>
    <row r="8" spans="1:49">
      <c r="B8" s="794" t="s">
        <v>5228</v>
      </c>
      <c r="D8" s="794" t="s">
        <v>5227</v>
      </c>
    </row>
    <row r="9" spans="1:49">
      <c r="B9" s="794" t="s">
        <v>5230</v>
      </c>
      <c r="D9" s="794" t="s">
        <v>5229</v>
      </c>
    </row>
    <row r="10" spans="1:49">
      <c r="B10" s="794" t="s">
        <v>5232</v>
      </c>
      <c r="D10" s="794" t="s">
        <v>5231</v>
      </c>
    </row>
    <row r="11" spans="1:49">
      <c r="B11" s="794" t="s">
        <v>5234</v>
      </c>
      <c r="D11" s="794" t="s">
        <v>5233</v>
      </c>
    </row>
    <row r="12" spans="1:49">
      <c r="B12" s="794" t="s">
        <v>5236</v>
      </c>
      <c r="D12" s="794" t="s">
        <v>5235</v>
      </c>
    </row>
    <row r="13" spans="1:49">
      <c r="B13" s="794" t="s">
        <v>5238</v>
      </c>
      <c r="D13" s="794" t="s">
        <v>5237</v>
      </c>
    </row>
    <row r="14" spans="1:49">
      <c r="B14" s="794" t="s">
        <v>5240</v>
      </c>
      <c r="D14" s="794" t="s">
        <v>5239</v>
      </c>
    </row>
    <row r="15" spans="1:49">
      <c r="B15" s="794" t="s">
        <v>5242</v>
      </c>
      <c r="D15" s="794" t="s">
        <v>5241</v>
      </c>
    </row>
    <row r="16" spans="1:49">
      <c r="B16" s="794" t="s">
        <v>5244</v>
      </c>
      <c r="D16" s="794" t="s">
        <v>5243</v>
      </c>
    </row>
    <row r="17" spans="2:4">
      <c r="B17" s="794" t="s">
        <v>5246</v>
      </c>
      <c r="D17" s="794" t="s">
        <v>5245</v>
      </c>
    </row>
    <row r="18" spans="2:4">
      <c r="B18" s="794" t="s">
        <v>5248</v>
      </c>
      <c r="D18" s="794" t="s">
        <v>5247</v>
      </c>
    </row>
    <row r="19" spans="2:4">
      <c r="B19" s="794" t="s">
        <v>5250</v>
      </c>
      <c r="D19" s="794" t="s">
        <v>5249</v>
      </c>
    </row>
    <row r="20" spans="2:4">
      <c r="B20" s="794" t="s">
        <v>5252</v>
      </c>
      <c r="D20" s="794" t="s">
        <v>5251</v>
      </c>
    </row>
    <row r="21" spans="2:4">
      <c r="B21" s="794" t="s">
        <v>5254</v>
      </c>
      <c r="D21" s="794" t="s">
        <v>5253</v>
      </c>
    </row>
    <row r="22" spans="2:4">
      <c r="B22" s="794" t="s">
        <v>5256</v>
      </c>
      <c r="D22" s="794" t="s">
        <v>5255</v>
      </c>
    </row>
    <row r="23" spans="2:4">
      <c r="B23" s="794" t="s">
        <v>5258</v>
      </c>
      <c r="D23" s="794" t="s">
        <v>5257</v>
      </c>
    </row>
    <row r="24" spans="2:4">
      <c r="B24" s="794" t="s">
        <v>5260</v>
      </c>
      <c r="D24" s="794" t="s">
        <v>5259</v>
      </c>
    </row>
    <row r="25" spans="2:4">
      <c r="B25" s="794" t="s">
        <v>5262</v>
      </c>
      <c r="D25" s="794" t="s">
        <v>5261</v>
      </c>
    </row>
    <row r="26" spans="2:4">
      <c r="B26" s="794" t="s">
        <v>5264</v>
      </c>
      <c r="D26" s="794" t="s">
        <v>5263</v>
      </c>
    </row>
    <row r="27" spans="2:4">
      <c r="B27" s="794" t="s">
        <v>5266</v>
      </c>
      <c r="D27" s="794" t="s">
        <v>5265</v>
      </c>
    </row>
    <row r="28" spans="2:4">
      <c r="B28" s="794" t="s">
        <v>5268</v>
      </c>
      <c r="D28" s="794" t="s">
        <v>5267</v>
      </c>
    </row>
    <row r="29" spans="2:4">
      <c r="B29" s="794" t="s">
        <v>5270</v>
      </c>
      <c r="D29" s="794" t="s">
        <v>5269</v>
      </c>
    </row>
    <row r="30" spans="2:4">
      <c r="B30" s="794" t="s">
        <v>5272</v>
      </c>
      <c r="D30" s="794" t="s">
        <v>5271</v>
      </c>
    </row>
    <row r="31" spans="2:4">
      <c r="B31" s="794" t="s">
        <v>5274</v>
      </c>
      <c r="D31" s="794" t="s">
        <v>5273</v>
      </c>
    </row>
    <row r="32" spans="2:4">
      <c r="B32" s="794" t="s">
        <v>5276</v>
      </c>
      <c r="D32" s="794" t="s">
        <v>5275</v>
      </c>
    </row>
    <row r="33" spans="1:12">
      <c r="B33" s="794" t="s">
        <v>5278</v>
      </c>
      <c r="D33" s="794" t="s">
        <v>5277</v>
      </c>
    </row>
    <row r="34" spans="1:12">
      <c r="B34" s="794" t="s">
        <v>5280</v>
      </c>
      <c r="D34" s="794" t="s">
        <v>5279</v>
      </c>
    </row>
    <row r="35" spans="1:12">
      <c r="B35" s="794" t="s">
        <v>5282</v>
      </c>
      <c r="D35" s="794" t="s">
        <v>5281</v>
      </c>
    </row>
    <row r="36" spans="1:12">
      <c r="B36" s="794" t="s">
        <v>5284</v>
      </c>
      <c r="D36" s="794" t="s">
        <v>5283</v>
      </c>
    </row>
    <row r="37" spans="1:12">
      <c r="B37" s="794" t="s">
        <v>5286</v>
      </c>
      <c r="D37" s="794" t="s">
        <v>5285</v>
      </c>
    </row>
    <row r="38" spans="1:12">
      <c r="B38" s="794" t="s">
        <v>5288</v>
      </c>
      <c r="D38" s="794" t="s">
        <v>5287</v>
      </c>
    </row>
    <row r="40" spans="1:12">
      <c r="A40" s="794" t="s">
        <v>1588</v>
      </c>
    </row>
    <row r="41" spans="1:12">
      <c r="C41" s="799"/>
      <c r="L41" s="799"/>
    </row>
    <row r="42" spans="1:12">
      <c r="B42" s="794" t="s">
        <v>1587</v>
      </c>
      <c r="C42" s="794" t="s">
        <v>1586</v>
      </c>
      <c r="D42" s="799">
        <v>1</v>
      </c>
      <c r="I42" s="799"/>
      <c r="L42" s="799"/>
    </row>
    <row r="43" spans="1:12">
      <c r="B43" s="794" t="s">
        <v>1489</v>
      </c>
      <c r="C43" s="794" t="s">
        <v>1490</v>
      </c>
      <c r="D43" s="799">
        <v>2</v>
      </c>
      <c r="I43" s="799"/>
      <c r="L43" s="799"/>
    </row>
    <row r="44" spans="1:12">
      <c r="B44" s="794" t="s">
        <v>1585</v>
      </c>
      <c r="C44" s="794" t="s">
        <v>1488</v>
      </c>
      <c r="D44" s="799">
        <v>3</v>
      </c>
      <c r="I44" s="799"/>
      <c r="L44" s="799"/>
    </row>
    <row r="45" spans="1:12">
      <c r="B45" s="794" t="s">
        <v>1486</v>
      </c>
      <c r="C45" s="794" t="s">
        <v>671</v>
      </c>
      <c r="D45" s="799">
        <v>4</v>
      </c>
      <c r="I45" s="799"/>
    </row>
    <row r="46" spans="1:12">
      <c r="B46" s="794" t="s">
        <v>1584</v>
      </c>
      <c r="C46" s="794" t="s">
        <v>675</v>
      </c>
      <c r="D46" s="799">
        <v>5</v>
      </c>
      <c r="I46" s="799"/>
    </row>
    <row r="47" spans="1:12">
      <c r="B47" s="794" t="s">
        <v>1583</v>
      </c>
      <c r="C47" s="794" t="s">
        <v>1582</v>
      </c>
      <c r="D47" s="799">
        <v>6</v>
      </c>
      <c r="I47" s="799"/>
    </row>
    <row r="48" spans="1:12">
      <c r="B48" s="794" t="s">
        <v>1581</v>
      </c>
      <c r="C48" s="794" t="s">
        <v>1580</v>
      </c>
      <c r="D48" s="799">
        <v>9</v>
      </c>
      <c r="I48" s="799"/>
    </row>
    <row r="49" spans="1:9">
      <c r="B49" s="794" t="s">
        <v>1577</v>
      </c>
      <c r="C49" s="794" t="s">
        <v>1576</v>
      </c>
      <c r="D49" s="799">
        <v>10</v>
      </c>
      <c r="I49" s="799"/>
    </row>
    <row r="50" spans="1:9">
      <c r="B50" s="794" t="s">
        <v>1579</v>
      </c>
      <c r="C50" s="794" t="s">
        <v>1578</v>
      </c>
      <c r="D50" s="799">
        <v>11</v>
      </c>
      <c r="I50" s="799"/>
    </row>
    <row r="51" spans="1:9">
      <c r="B51" s="794" t="s">
        <v>1099</v>
      </c>
      <c r="C51" s="794" t="s">
        <v>1099</v>
      </c>
      <c r="D51" s="799">
        <v>99</v>
      </c>
      <c r="I51" s="799"/>
    </row>
    <row r="53" spans="1:9">
      <c r="A53" s="794" t="s">
        <v>1575</v>
      </c>
    </row>
    <row r="55" spans="1:9">
      <c r="B55" s="794" t="s">
        <v>1574</v>
      </c>
      <c r="D55" s="799">
        <v>1</v>
      </c>
    </row>
    <row r="56" spans="1:9">
      <c r="B56" s="794" t="s">
        <v>1573</v>
      </c>
      <c r="D56" s="799">
        <v>2</v>
      </c>
    </row>
    <row r="57" spans="1:9">
      <c r="B57" s="794" t="s">
        <v>1572</v>
      </c>
      <c r="D57" s="799">
        <v>3</v>
      </c>
    </row>
    <row r="58" spans="1:9">
      <c r="B58" s="794" t="s">
        <v>5289</v>
      </c>
      <c r="D58" s="799">
        <v>4</v>
      </c>
    </row>
    <row r="59" spans="1:9">
      <c r="B59" s="794" t="s">
        <v>5290</v>
      </c>
      <c r="D59" s="799">
        <v>5</v>
      </c>
    </row>
    <row r="60" spans="1:9">
      <c r="B60" s="794" t="s">
        <v>5291</v>
      </c>
      <c r="D60" s="799">
        <v>6</v>
      </c>
    </row>
    <row r="62" spans="1:9">
      <c r="A62" s="794" t="s">
        <v>1571</v>
      </c>
    </row>
    <row r="63" spans="1:9">
      <c r="B63" s="794" t="s">
        <v>1570</v>
      </c>
      <c r="C63" s="794" t="s">
        <v>1569</v>
      </c>
      <c r="D63" s="799">
        <v>1</v>
      </c>
    </row>
    <row r="64" spans="1:9">
      <c r="B64" s="794" t="s">
        <v>1568</v>
      </c>
      <c r="C64" s="794" t="s">
        <v>1567</v>
      </c>
      <c r="D64" s="799">
        <v>2</v>
      </c>
    </row>
    <row r="65" spans="1:4">
      <c r="B65" s="794" t="s">
        <v>1566</v>
      </c>
      <c r="C65" s="794" t="s">
        <v>1565</v>
      </c>
      <c r="D65" s="799">
        <v>3</v>
      </c>
    </row>
    <row r="66" spans="1:4">
      <c r="B66" s="794" t="s">
        <v>1564</v>
      </c>
      <c r="C66" s="794" t="s">
        <v>1563</v>
      </c>
      <c r="D66" s="799">
        <v>4</v>
      </c>
    </row>
    <row r="67" spans="1:4">
      <c r="B67" s="794" t="s">
        <v>5293</v>
      </c>
      <c r="C67" s="794" t="s">
        <v>5294</v>
      </c>
      <c r="D67" s="799">
        <v>5</v>
      </c>
    </row>
    <row r="69" spans="1:4">
      <c r="A69" s="794" t="s">
        <v>1562</v>
      </c>
    </row>
    <row r="70" spans="1:4">
      <c r="B70" s="798" t="s">
        <v>1561</v>
      </c>
      <c r="C70" s="798"/>
      <c r="D70" s="795" t="s">
        <v>1560</v>
      </c>
    </row>
    <row r="71" spans="1:4">
      <c r="B71" s="796" t="s">
        <v>1559</v>
      </c>
      <c r="C71" s="796"/>
      <c r="D71" s="795">
        <v>0</v>
      </c>
    </row>
    <row r="72" spans="1:4">
      <c r="B72" s="796" t="s">
        <v>1558</v>
      </c>
      <c r="C72" s="796"/>
      <c r="D72" s="795">
        <v>1</v>
      </c>
    </row>
    <row r="73" spans="1:4">
      <c r="B73" s="796" t="s">
        <v>1557</v>
      </c>
      <c r="C73" s="796"/>
      <c r="D73" s="795">
        <v>2</v>
      </c>
    </row>
    <row r="74" spans="1:4">
      <c r="B74" s="797" t="s">
        <v>1556</v>
      </c>
      <c r="C74" s="797"/>
      <c r="D74" s="795">
        <v>7</v>
      </c>
    </row>
    <row r="75" spans="1:4">
      <c r="B75" s="797" t="s">
        <v>1555</v>
      </c>
      <c r="C75" s="797"/>
      <c r="D75" s="795">
        <v>8</v>
      </c>
    </row>
    <row r="76" spans="1:4">
      <c r="B76" s="797" t="s">
        <v>1554</v>
      </c>
      <c r="C76" s="797"/>
      <c r="D76" s="795">
        <v>13</v>
      </c>
    </row>
    <row r="77" spans="1:4">
      <c r="B77" s="797" t="s">
        <v>1553</v>
      </c>
      <c r="C77" s="797"/>
      <c r="D77" s="795">
        <v>14</v>
      </c>
    </row>
    <row r="78" spans="1:4">
      <c r="B78" s="797" t="s">
        <v>1552</v>
      </c>
      <c r="C78" s="797"/>
      <c r="D78" s="795">
        <v>15</v>
      </c>
    </row>
    <row r="79" spans="1:4">
      <c r="B79" s="797" t="s">
        <v>1551</v>
      </c>
      <c r="C79" s="797"/>
      <c r="D79" s="795">
        <v>16</v>
      </c>
    </row>
    <row r="80" spans="1:4">
      <c r="B80" s="797" t="s">
        <v>1550</v>
      </c>
      <c r="C80" s="797"/>
      <c r="D80" s="795">
        <v>53</v>
      </c>
    </row>
    <row r="81" spans="1:4">
      <c r="B81" s="797" t="s">
        <v>1549</v>
      </c>
      <c r="C81" s="797"/>
      <c r="D81" s="795">
        <v>54</v>
      </c>
    </row>
    <row r="82" spans="1:4">
      <c r="B82" s="796" t="s">
        <v>1548</v>
      </c>
      <c r="C82" s="796"/>
      <c r="D82" s="795">
        <v>99</v>
      </c>
    </row>
    <row r="84" spans="1:4">
      <c r="A84" s="794" t="s">
        <v>5292</v>
      </c>
    </row>
    <row r="85" spans="1:4">
      <c r="B85" s="794" t="s">
        <v>5772</v>
      </c>
      <c r="D85" s="794">
        <v>1</v>
      </c>
    </row>
    <row r="86" spans="1:4">
      <c r="B86" s="794" t="s">
        <v>5594</v>
      </c>
      <c r="D86" s="794">
        <v>2</v>
      </c>
    </row>
    <row r="87" spans="1:4">
      <c r="B87" s="794" t="s">
        <v>332</v>
      </c>
      <c r="D87" s="794">
        <v>3</v>
      </c>
    </row>
    <row r="88" spans="1:4">
      <c r="B88" s="794" t="s">
        <v>5773</v>
      </c>
      <c r="D88" s="794">
        <v>6</v>
      </c>
    </row>
    <row r="89" spans="1:4">
      <c r="B89" s="794" t="s">
        <v>5595</v>
      </c>
      <c r="D89" s="794">
        <v>2</v>
      </c>
    </row>
  </sheetData>
  <customSheetViews>
    <customSheetView guid="{6CFAA980-29D1-42A9-8342-BF14629EBE3B}" state="hidden">
      <selection activeCell="A2" sqref="A2:F2"/>
      <pageMargins left="0.75" right="0.75" top="1" bottom="1" header="0.51200000000000001" footer="0.51200000000000001"/>
      <headerFooter alignWithMargins="0"/>
    </customSheetView>
  </customSheetViews>
  <phoneticPr fontId="8"/>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74"/>
  <sheetViews>
    <sheetView workbookViewId="0"/>
  </sheetViews>
  <sheetFormatPr defaultColWidth="9.33203125" defaultRowHeight="13"/>
  <cols>
    <col min="1" max="1" width="29.44140625" style="800" customWidth="1"/>
    <col min="2" max="2" width="25.109375" style="801" customWidth="1"/>
    <col min="3" max="5" width="9.33203125" style="800"/>
    <col min="6" max="6" width="9.33203125" style="801"/>
    <col min="7" max="7" width="9.33203125" style="800"/>
    <col min="8" max="8" width="9.33203125" style="801"/>
    <col min="9" max="16384" width="9.33203125" style="800"/>
  </cols>
  <sheetData>
    <row r="1" spans="1:5">
      <c r="A1" s="803" t="s">
        <v>5214</v>
      </c>
      <c r="B1" s="802" t="s">
        <v>5213</v>
      </c>
    </row>
    <row r="2" spans="1:5">
      <c r="A2" s="803"/>
      <c r="B2" s="802">
        <v>31000000000</v>
      </c>
    </row>
    <row r="3" spans="1:5">
      <c r="A3" s="803" t="s">
        <v>5212</v>
      </c>
      <c r="B3" s="802">
        <v>31201000000</v>
      </c>
    </row>
    <row r="4" spans="1:5">
      <c r="A4" s="803" t="s">
        <v>5211</v>
      </c>
      <c r="B4" s="802">
        <v>31201001001</v>
      </c>
    </row>
    <row r="5" spans="1:5">
      <c r="A5" s="803" t="s">
        <v>5210</v>
      </c>
      <c r="B5" s="802">
        <v>31201001002</v>
      </c>
      <c r="D5" s="800" t="str">
        <f t="shared" ref="D5:D36" si="0">MID(A5,7,100)</f>
        <v>2丁目</v>
      </c>
      <c r="E5" s="800" t="s">
        <v>5209</v>
      </c>
    </row>
    <row r="6" spans="1:5">
      <c r="A6" s="803" t="s">
        <v>5208</v>
      </c>
      <c r="B6" s="802">
        <v>31201001003</v>
      </c>
      <c r="D6" s="800" t="str">
        <f t="shared" si="0"/>
        <v>3丁目</v>
      </c>
      <c r="E6" s="800" t="s">
        <v>5207</v>
      </c>
    </row>
    <row r="7" spans="1:5">
      <c r="A7" s="803" t="s">
        <v>5206</v>
      </c>
      <c r="B7" s="802">
        <v>31201001004</v>
      </c>
      <c r="D7" s="800" t="str">
        <f t="shared" si="0"/>
        <v>4丁目</v>
      </c>
      <c r="E7" s="800" t="s">
        <v>5205</v>
      </c>
    </row>
    <row r="8" spans="1:5">
      <c r="A8" s="803" t="s">
        <v>5204</v>
      </c>
      <c r="B8" s="802">
        <v>31201002001</v>
      </c>
      <c r="D8" s="800" t="str">
        <f t="shared" si="0"/>
        <v>1丁目</v>
      </c>
      <c r="E8" s="800" t="s">
        <v>5203</v>
      </c>
    </row>
    <row r="9" spans="1:5">
      <c r="A9" s="803" t="s">
        <v>5202</v>
      </c>
      <c r="B9" s="802">
        <v>31201002002</v>
      </c>
      <c r="D9" s="800" t="str">
        <f t="shared" si="0"/>
        <v>2丁目</v>
      </c>
      <c r="E9" s="800" t="s">
        <v>5201</v>
      </c>
    </row>
    <row r="10" spans="1:5">
      <c r="A10" s="803" t="s">
        <v>5200</v>
      </c>
      <c r="B10" s="802">
        <v>31201002003</v>
      </c>
      <c r="D10" s="800" t="str">
        <f t="shared" si="0"/>
        <v>3丁目</v>
      </c>
      <c r="E10" s="800" t="s">
        <v>5199</v>
      </c>
    </row>
    <row r="11" spans="1:5">
      <c r="A11" s="803" t="s">
        <v>5198</v>
      </c>
      <c r="B11" s="802">
        <v>31201003000</v>
      </c>
      <c r="D11" s="800" t="str">
        <f t="shared" si="0"/>
        <v/>
      </c>
      <c r="E11" s="800" t="s">
        <v>5197</v>
      </c>
    </row>
    <row r="12" spans="1:5">
      <c r="A12" s="803" t="s">
        <v>5196</v>
      </c>
      <c r="B12" s="802">
        <v>31201004000</v>
      </c>
      <c r="D12" s="800" t="str">
        <f t="shared" si="0"/>
        <v/>
      </c>
      <c r="E12" s="800" t="s">
        <v>5195</v>
      </c>
    </row>
    <row r="13" spans="1:5">
      <c r="A13" s="803" t="s">
        <v>5194</v>
      </c>
      <c r="B13" s="802">
        <v>31201005000</v>
      </c>
      <c r="D13" s="800" t="str">
        <f t="shared" si="0"/>
        <v/>
      </c>
      <c r="E13" s="800" t="s">
        <v>5193</v>
      </c>
    </row>
    <row r="14" spans="1:5">
      <c r="A14" s="803" t="s">
        <v>5192</v>
      </c>
      <c r="B14" s="802">
        <v>31201006000</v>
      </c>
      <c r="D14" s="800" t="str">
        <f t="shared" si="0"/>
        <v/>
      </c>
      <c r="E14" s="800" t="s">
        <v>5191</v>
      </c>
    </row>
    <row r="15" spans="1:5">
      <c r="A15" s="803" t="s">
        <v>5190</v>
      </c>
      <c r="B15" s="802">
        <v>31201007000</v>
      </c>
      <c r="D15" s="800" t="str">
        <f t="shared" si="0"/>
        <v/>
      </c>
      <c r="E15" s="800" t="s">
        <v>5189</v>
      </c>
    </row>
    <row r="16" spans="1:5">
      <c r="A16" s="803" t="s">
        <v>5188</v>
      </c>
      <c r="B16" s="802">
        <v>31201008001</v>
      </c>
      <c r="D16" s="800" t="str">
        <f t="shared" si="0"/>
        <v>丁目</v>
      </c>
      <c r="E16" s="800" t="s">
        <v>5187</v>
      </c>
    </row>
    <row r="17" spans="1:5">
      <c r="A17" s="803" t="s">
        <v>5186</v>
      </c>
      <c r="B17" s="802">
        <v>31201008002</v>
      </c>
      <c r="D17" s="800" t="str">
        <f t="shared" si="0"/>
        <v>丁目</v>
      </c>
      <c r="E17" s="800" t="s">
        <v>5185</v>
      </c>
    </row>
    <row r="18" spans="1:5">
      <c r="A18" s="803" t="s">
        <v>5184</v>
      </c>
      <c r="B18" s="802">
        <v>31201009000</v>
      </c>
      <c r="D18" s="800" t="str">
        <f t="shared" si="0"/>
        <v/>
      </c>
      <c r="E18" s="800" t="s">
        <v>5183</v>
      </c>
    </row>
    <row r="19" spans="1:5">
      <c r="A19" s="803" t="s">
        <v>5182</v>
      </c>
      <c r="B19" s="802">
        <v>31201010000</v>
      </c>
      <c r="D19" s="800" t="str">
        <f t="shared" si="0"/>
        <v/>
      </c>
      <c r="E19" s="800" t="s">
        <v>5181</v>
      </c>
    </row>
    <row r="20" spans="1:5">
      <c r="A20" s="803" t="s">
        <v>5180</v>
      </c>
      <c r="B20" s="802">
        <v>31201011000</v>
      </c>
      <c r="D20" s="800" t="str">
        <f t="shared" si="0"/>
        <v/>
      </c>
      <c r="E20" s="800" t="s">
        <v>5179</v>
      </c>
    </row>
    <row r="21" spans="1:5">
      <c r="A21" s="803" t="s">
        <v>5178</v>
      </c>
      <c r="B21" s="802">
        <v>31201012000</v>
      </c>
      <c r="D21" s="800" t="str">
        <f t="shared" si="0"/>
        <v/>
      </c>
      <c r="E21" s="800" t="s">
        <v>5177</v>
      </c>
    </row>
    <row r="22" spans="1:5">
      <c r="A22" s="803" t="s">
        <v>5176</v>
      </c>
      <c r="B22" s="802">
        <v>31201013000</v>
      </c>
      <c r="D22" s="800" t="str">
        <f t="shared" si="0"/>
        <v/>
      </c>
      <c r="E22" s="800" t="s">
        <v>5175</v>
      </c>
    </row>
    <row r="23" spans="1:5">
      <c r="A23" s="803" t="s">
        <v>5174</v>
      </c>
      <c r="B23" s="802">
        <v>31201014000</v>
      </c>
      <c r="D23" s="800" t="str">
        <f t="shared" si="0"/>
        <v/>
      </c>
      <c r="E23" s="800" t="s">
        <v>5173</v>
      </c>
    </row>
    <row r="24" spans="1:5">
      <c r="A24" s="803" t="s">
        <v>5172</v>
      </c>
      <c r="B24" s="802">
        <v>31201015000</v>
      </c>
      <c r="D24" s="800" t="str">
        <f t="shared" si="0"/>
        <v>泉町</v>
      </c>
      <c r="E24" s="800" t="s">
        <v>5171</v>
      </c>
    </row>
    <row r="25" spans="1:5">
      <c r="A25" s="803" t="s">
        <v>5170</v>
      </c>
      <c r="B25" s="802">
        <v>31201016000</v>
      </c>
      <c r="D25" s="800" t="str">
        <f t="shared" si="0"/>
        <v/>
      </c>
      <c r="E25" s="800" t="s">
        <v>5169</v>
      </c>
    </row>
    <row r="26" spans="1:5">
      <c r="A26" s="803" t="s">
        <v>5168</v>
      </c>
      <c r="B26" s="802">
        <v>31201017000</v>
      </c>
      <c r="D26" s="800" t="str">
        <f t="shared" si="0"/>
        <v/>
      </c>
      <c r="E26" s="800" t="s">
        <v>5167</v>
      </c>
    </row>
    <row r="27" spans="1:5">
      <c r="A27" s="803" t="s">
        <v>5166</v>
      </c>
      <c r="B27" s="802">
        <v>31201018000</v>
      </c>
      <c r="D27" s="800" t="str">
        <f t="shared" si="0"/>
        <v/>
      </c>
      <c r="E27" s="800" t="s">
        <v>5165</v>
      </c>
    </row>
    <row r="28" spans="1:5">
      <c r="A28" s="803" t="s">
        <v>5164</v>
      </c>
      <c r="B28" s="802">
        <v>31201019000</v>
      </c>
      <c r="D28" s="800" t="str">
        <f t="shared" si="0"/>
        <v/>
      </c>
      <c r="E28" s="800" t="s">
        <v>5163</v>
      </c>
    </row>
    <row r="29" spans="1:5">
      <c r="A29" s="803" t="s">
        <v>5162</v>
      </c>
      <c r="B29" s="802">
        <v>31201020000</v>
      </c>
      <c r="D29" s="800" t="str">
        <f t="shared" si="0"/>
        <v/>
      </c>
      <c r="E29" s="800" t="s">
        <v>5161</v>
      </c>
    </row>
    <row r="30" spans="1:5">
      <c r="A30" s="803" t="s">
        <v>5160</v>
      </c>
      <c r="B30" s="802">
        <v>31201021000</v>
      </c>
      <c r="D30" s="800" t="str">
        <f t="shared" si="0"/>
        <v/>
      </c>
      <c r="E30" s="800" t="s">
        <v>5159</v>
      </c>
    </row>
    <row r="31" spans="1:5">
      <c r="A31" s="803" t="s">
        <v>5158</v>
      </c>
      <c r="B31" s="802">
        <v>31201022000</v>
      </c>
      <c r="D31" s="800" t="str">
        <f t="shared" si="0"/>
        <v/>
      </c>
      <c r="E31" s="800" t="s">
        <v>5157</v>
      </c>
    </row>
    <row r="32" spans="1:5">
      <c r="A32" s="803" t="s">
        <v>5156</v>
      </c>
      <c r="B32" s="802">
        <v>31201023000</v>
      </c>
      <c r="D32" s="800" t="str">
        <f t="shared" si="0"/>
        <v/>
      </c>
      <c r="E32" s="800" t="s">
        <v>5155</v>
      </c>
    </row>
    <row r="33" spans="1:5">
      <c r="A33" s="803" t="s">
        <v>5154</v>
      </c>
      <c r="B33" s="802">
        <v>31201024000</v>
      </c>
      <c r="D33" s="800" t="str">
        <f t="shared" si="0"/>
        <v/>
      </c>
      <c r="E33" s="800" t="s">
        <v>5153</v>
      </c>
    </row>
    <row r="34" spans="1:5">
      <c r="A34" s="803" t="s">
        <v>5152</v>
      </c>
      <c r="B34" s="802">
        <v>31201025000</v>
      </c>
      <c r="D34" s="800" t="str">
        <f t="shared" si="0"/>
        <v/>
      </c>
      <c r="E34" s="800" t="s">
        <v>5151</v>
      </c>
    </row>
    <row r="35" spans="1:5">
      <c r="A35" s="803" t="s">
        <v>5150</v>
      </c>
      <c r="B35" s="802">
        <v>31201026000</v>
      </c>
      <c r="D35" s="800" t="str">
        <f t="shared" si="0"/>
        <v/>
      </c>
      <c r="E35" s="800" t="s">
        <v>5149</v>
      </c>
    </row>
    <row r="36" spans="1:5">
      <c r="A36" s="803" t="s">
        <v>5148</v>
      </c>
      <c r="B36" s="802">
        <v>31201027000</v>
      </c>
      <c r="D36" s="800" t="str">
        <f t="shared" si="0"/>
        <v/>
      </c>
      <c r="E36" s="800" t="s">
        <v>5147</v>
      </c>
    </row>
    <row r="37" spans="1:5">
      <c r="A37" s="803" t="s">
        <v>5146</v>
      </c>
      <c r="B37" s="802">
        <v>31201028000</v>
      </c>
      <c r="D37" s="800" t="str">
        <f t="shared" ref="D37:D71" si="1">MID(A37,7,100)</f>
        <v/>
      </c>
      <c r="E37" s="800" t="s">
        <v>5145</v>
      </c>
    </row>
    <row r="38" spans="1:5">
      <c r="A38" s="803" t="s">
        <v>5144</v>
      </c>
      <c r="B38" s="802">
        <v>31201029000</v>
      </c>
      <c r="D38" s="800" t="str">
        <f t="shared" si="1"/>
        <v/>
      </c>
      <c r="E38" s="800" t="s">
        <v>5143</v>
      </c>
    </row>
    <row r="39" spans="1:5">
      <c r="A39" s="803" t="s">
        <v>5142</v>
      </c>
      <c r="B39" s="802">
        <v>31201030000</v>
      </c>
      <c r="D39" s="800" t="str">
        <f t="shared" si="1"/>
        <v/>
      </c>
      <c r="E39" s="800" t="s">
        <v>5141</v>
      </c>
    </row>
    <row r="40" spans="1:5">
      <c r="A40" s="803" t="s">
        <v>5140</v>
      </c>
      <c r="B40" s="802">
        <v>31201031000</v>
      </c>
      <c r="D40" s="800" t="str">
        <f t="shared" si="1"/>
        <v/>
      </c>
      <c r="E40" s="800" t="s">
        <v>5139</v>
      </c>
    </row>
    <row r="41" spans="1:5">
      <c r="A41" s="803" t="s">
        <v>5138</v>
      </c>
      <c r="B41" s="802">
        <v>31201032000</v>
      </c>
      <c r="D41" s="800" t="str">
        <f t="shared" si="1"/>
        <v/>
      </c>
      <c r="E41" s="800" t="s">
        <v>5137</v>
      </c>
    </row>
    <row r="42" spans="1:5">
      <c r="A42" s="803" t="s">
        <v>5136</v>
      </c>
      <c r="B42" s="802">
        <v>31201033000</v>
      </c>
      <c r="D42" s="800" t="str">
        <f t="shared" si="1"/>
        <v/>
      </c>
      <c r="E42" s="800" t="s">
        <v>5135</v>
      </c>
    </row>
    <row r="43" spans="1:5">
      <c r="A43" s="803" t="s">
        <v>5134</v>
      </c>
      <c r="B43" s="802">
        <v>31201034000</v>
      </c>
      <c r="D43" s="800" t="str">
        <f t="shared" si="1"/>
        <v/>
      </c>
      <c r="E43" s="800" t="s">
        <v>5133</v>
      </c>
    </row>
    <row r="44" spans="1:5">
      <c r="A44" s="803" t="s">
        <v>5132</v>
      </c>
      <c r="B44" s="802">
        <v>31201035001</v>
      </c>
      <c r="D44" s="800" t="str">
        <f t="shared" si="1"/>
        <v>丁目</v>
      </c>
      <c r="E44" s="800" t="s">
        <v>5131</v>
      </c>
    </row>
    <row r="45" spans="1:5">
      <c r="A45" s="803" t="s">
        <v>5130</v>
      </c>
      <c r="B45" s="802">
        <v>31201035002</v>
      </c>
      <c r="D45" s="800" t="str">
        <f t="shared" si="1"/>
        <v>丁目</v>
      </c>
      <c r="E45" s="800" t="s">
        <v>5129</v>
      </c>
    </row>
    <row r="46" spans="1:5">
      <c r="A46" s="803" t="s">
        <v>5128</v>
      </c>
      <c r="B46" s="802">
        <v>31201035003</v>
      </c>
      <c r="D46" s="800" t="str">
        <f t="shared" si="1"/>
        <v>丁目</v>
      </c>
      <c r="E46" s="800" t="s">
        <v>5127</v>
      </c>
    </row>
    <row r="47" spans="1:5">
      <c r="A47" s="803" t="s">
        <v>5126</v>
      </c>
      <c r="B47" s="802">
        <v>31201035004</v>
      </c>
      <c r="D47" s="800" t="str">
        <f t="shared" si="1"/>
        <v>丁目</v>
      </c>
      <c r="E47" s="800" t="s">
        <v>5125</v>
      </c>
    </row>
    <row r="48" spans="1:5">
      <c r="A48" s="803" t="s">
        <v>5124</v>
      </c>
      <c r="B48" s="802">
        <v>31201035005</v>
      </c>
      <c r="D48" s="800" t="str">
        <f t="shared" si="1"/>
        <v>丁目</v>
      </c>
      <c r="E48" s="800" t="s">
        <v>5123</v>
      </c>
    </row>
    <row r="49" spans="1:5">
      <c r="A49" s="803" t="s">
        <v>5122</v>
      </c>
      <c r="B49" s="802">
        <v>31201036000</v>
      </c>
      <c r="D49" s="800" t="str">
        <f t="shared" si="1"/>
        <v/>
      </c>
      <c r="E49" s="800" t="s">
        <v>5121</v>
      </c>
    </row>
    <row r="50" spans="1:5">
      <c r="A50" s="803" t="s">
        <v>5120</v>
      </c>
      <c r="B50" s="802">
        <v>31201037000</v>
      </c>
      <c r="D50" s="800" t="str">
        <f t="shared" si="1"/>
        <v/>
      </c>
      <c r="E50" s="800" t="s">
        <v>5119</v>
      </c>
    </row>
    <row r="51" spans="1:5">
      <c r="A51" s="803" t="s">
        <v>5118</v>
      </c>
      <c r="B51" s="802">
        <v>31201038000</v>
      </c>
      <c r="D51" s="800" t="str">
        <f t="shared" si="1"/>
        <v/>
      </c>
      <c r="E51" s="800" t="s">
        <v>5117</v>
      </c>
    </row>
    <row r="52" spans="1:5">
      <c r="A52" s="803" t="s">
        <v>5116</v>
      </c>
      <c r="B52" s="802">
        <v>31201039000</v>
      </c>
      <c r="D52" s="800" t="str">
        <f t="shared" si="1"/>
        <v/>
      </c>
      <c r="E52" s="800" t="s">
        <v>5115</v>
      </c>
    </row>
    <row r="53" spans="1:5">
      <c r="A53" s="803" t="s">
        <v>5114</v>
      </c>
      <c r="B53" s="802">
        <v>31201040000</v>
      </c>
      <c r="D53" s="800" t="str">
        <f t="shared" si="1"/>
        <v/>
      </c>
      <c r="E53" s="800" t="s">
        <v>5113</v>
      </c>
    </row>
    <row r="54" spans="1:5">
      <c r="A54" s="803" t="s">
        <v>5112</v>
      </c>
      <c r="B54" s="802">
        <v>31201040001</v>
      </c>
      <c r="D54" s="800" t="str">
        <f t="shared" si="1"/>
        <v>目</v>
      </c>
      <c r="E54" s="800" t="s">
        <v>5111</v>
      </c>
    </row>
    <row r="55" spans="1:5">
      <c r="A55" s="803" t="s">
        <v>5110</v>
      </c>
      <c r="B55" s="802">
        <v>31201041000</v>
      </c>
      <c r="D55" s="800" t="str">
        <f t="shared" si="1"/>
        <v/>
      </c>
      <c r="E55" s="800" t="s">
        <v>5109</v>
      </c>
    </row>
    <row r="56" spans="1:5">
      <c r="A56" s="803" t="s">
        <v>5108</v>
      </c>
      <c r="B56" s="802">
        <v>31201042000</v>
      </c>
      <c r="D56" s="800" t="str">
        <f t="shared" si="1"/>
        <v/>
      </c>
      <c r="E56" s="800" t="s">
        <v>5107</v>
      </c>
    </row>
    <row r="57" spans="1:5">
      <c r="A57" s="803" t="s">
        <v>5106</v>
      </c>
      <c r="B57" s="802">
        <v>31201043000</v>
      </c>
      <c r="D57" s="800" t="str">
        <f t="shared" si="1"/>
        <v/>
      </c>
      <c r="E57" s="800" t="s">
        <v>5105</v>
      </c>
    </row>
    <row r="58" spans="1:5">
      <c r="A58" s="803" t="s">
        <v>5104</v>
      </c>
      <c r="B58" s="802">
        <v>31201044000</v>
      </c>
      <c r="D58" s="800" t="str">
        <f t="shared" si="1"/>
        <v/>
      </c>
      <c r="E58" s="800" t="s">
        <v>5103</v>
      </c>
    </row>
    <row r="59" spans="1:5">
      <c r="A59" s="803" t="s">
        <v>5102</v>
      </c>
      <c r="B59" s="802">
        <v>31201045000</v>
      </c>
      <c r="D59" s="800" t="str">
        <f t="shared" si="1"/>
        <v/>
      </c>
      <c r="E59" s="800" t="s">
        <v>5101</v>
      </c>
    </row>
    <row r="60" spans="1:5">
      <c r="A60" s="803" t="s">
        <v>5100</v>
      </c>
      <c r="B60" s="802">
        <v>31201046001</v>
      </c>
      <c r="D60" s="800" t="str">
        <f t="shared" si="1"/>
        <v>丁目</v>
      </c>
      <c r="E60" s="800" t="s">
        <v>5099</v>
      </c>
    </row>
    <row r="61" spans="1:5">
      <c r="A61" s="803" t="s">
        <v>5098</v>
      </c>
      <c r="B61" s="802">
        <v>31201046002</v>
      </c>
      <c r="D61" s="800" t="str">
        <f t="shared" si="1"/>
        <v>丁目</v>
      </c>
      <c r="E61" s="800" t="s">
        <v>5097</v>
      </c>
    </row>
    <row r="62" spans="1:5">
      <c r="A62" s="803" t="s">
        <v>5096</v>
      </c>
      <c r="B62" s="802">
        <v>31201046003</v>
      </c>
      <c r="D62" s="800" t="str">
        <f t="shared" si="1"/>
        <v>丁目</v>
      </c>
      <c r="E62" s="800" t="s">
        <v>5095</v>
      </c>
    </row>
    <row r="63" spans="1:5">
      <c r="A63" s="803" t="s">
        <v>5094</v>
      </c>
      <c r="B63" s="802">
        <v>31201046004</v>
      </c>
      <c r="D63" s="800" t="str">
        <f t="shared" si="1"/>
        <v>丁目</v>
      </c>
      <c r="E63" s="800" t="s">
        <v>5093</v>
      </c>
    </row>
    <row r="64" spans="1:5">
      <c r="A64" s="803" t="s">
        <v>5092</v>
      </c>
      <c r="B64" s="802">
        <v>31201046005</v>
      </c>
      <c r="D64" s="800" t="str">
        <f t="shared" si="1"/>
        <v>丁目</v>
      </c>
      <c r="E64" s="800" t="s">
        <v>5091</v>
      </c>
    </row>
    <row r="65" spans="1:10">
      <c r="A65" s="803" t="s">
        <v>5090</v>
      </c>
      <c r="B65" s="802">
        <v>31201047000</v>
      </c>
      <c r="D65" s="800" t="str">
        <f t="shared" si="1"/>
        <v/>
      </c>
      <c r="E65" s="800" t="s">
        <v>5089</v>
      </c>
    </row>
    <row r="66" spans="1:10">
      <c r="A66" s="803" t="s">
        <v>5088</v>
      </c>
      <c r="B66" s="802">
        <v>31201048000</v>
      </c>
      <c r="D66" s="800" t="str">
        <f t="shared" si="1"/>
        <v/>
      </c>
      <c r="E66" s="800" t="s">
        <v>5087</v>
      </c>
    </row>
    <row r="67" spans="1:10">
      <c r="A67" s="803" t="s">
        <v>5086</v>
      </c>
      <c r="B67" s="802">
        <v>31201049000</v>
      </c>
      <c r="D67" s="800" t="str">
        <f t="shared" si="1"/>
        <v/>
      </c>
      <c r="E67" s="800" t="s">
        <v>5085</v>
      </c>
    </row>
    <row r="68" spans="1:10">
      <c r="A68" s="803" t="s">
        <v>5084</v>
      </c>
      <c r="B68" s="802">
        <v>31201049001</v>
      </c>
      <c r="D68" s="800" t="str">
        <f t="shared" si="1"/>
        <v>丁目</v>
      </c>
      <c r="E68" s="800" t="s">
        <v>5083</v>
      </c>
    </row>
    <row r="69" spans="1:10">
      <c r="A69" s="803" t="s">
        <v>5082</v>
      </c>
      <c r="B69" s="802">
        <v>31201049002</v>
      </c>
      <c r="D69" s="800" t="str">
        <f t="shared" si="1"/>
        <v>丁目</v>
      </c>
      <c r="E69" s="800" t="s">
        <v>5081</v>
      </c>
    </row>
    <row r="70" spans="1:10">
      <c r="A70" s="803" t="s">
        <v>5080</v>
      </c>
      <c r="B70" s="802">
        <v>31201049003</v>
      </c>
      <c r="D70" s="800" t="str">
        <f t="shared" si="1"/>
        <v>丁目</v>
      </c>
      <c r="E70" s="800" t="s">
        <v>5079</v>
      </c>
    </row>
    <row r="71" spans="1:10">
      <c r="A71" s="803" t="s">
        <v>5078</v>
      </c>
      <c r="B71" s="802">
        <v>31201050000</v>
      </c>
      <c r="D71" s="800" t="str">
        <f t="shared" si="1"/>
        <v/>
      </c>
      <c r="E71" s="800" t="s">
        <v>5077</v>
      </c>
    </row>
    <row r="72" spans="1:10">
      <c r="A72" s="800" t="s">
        <v>5076</v>
      </c>
      <c r="B72" s="801">
        <v>31201051000</v>
      </c>
      <c r="D72" s="800" t="s">
        <v>4971</v>
      </c>
      <c r="E72" s="800" t="s">
        <v>5075</v>
      </c>
      <c r="F72" s="801" t="s">
        <v>5074</v>
      </c>
      <c r="G72" s="800">
        <v>31389</v>
      </c>
      <c r="H72" s="801" t="s">
        <v>4821</v>
      </c>
      <c r="I72" s="800" t="str">
        <f t="shared" ref="I72:I103" si="2">G72&amp;F72&amp;H72</f>
        <v>31389001000</v>
      </c>
      <c r="J72" s="800" t="str">
        <f t="shared" ref="J72:J103" si="3">D72&amp;E72</f>
        <v>西伯郡南部町阿賀</v>
      </c>
    </row>
    <row r="73" spans="1:10">
      <c r="A73" s="800" t="s">
        <v>5073</v>
      </c>
      <c r="B73" s="801">
        <v>31201052000</v>
      </c>
      <c r="D73" s="800" t="s">
        <v>4971</v>
      </c>
      <c r="E73" s="800" t="s">
        <v>5072</v>
      </c>
      <c r="F73" s="801" t="s">
        <v>4658</v>
      </c>
      <c r="G73" s="800">
        <v>31389</v>
      </c>
      <c r="H73" s="801" t="s">
        <v>4817</v>
      </c>
      <c r="I73" s="800" t="str">
        <f t="shared" si="2"/>
        <v>31389002000</v>
      </c>
      <c r="J73" s="800" t="str">
        <f t="shared" si="3"/>
        <v>西伯郡南部町浅井</v>
      </c>
    </row>
    <row r="74" spans="1:10">
      <c r="A74" s="800" t="s">
        <v>5071</v>
      </c>
      <c r="B74" s="801">
        <v>31201053000</v>
      </c>
      <c r="D74" s="800" t="s">
        <v>4971</v>
      </c>
      <c r="E74" s="800" t="s">
        <v>5070</v>
      </c>
      <c r="F74" s="801" t="s">
        <v>4655</v>
      </c>
      <c r="G74" s="800">
        <v>31389</v>
      </c>
      <c r="H74" s="801" t="s">
        <v>4817</v>
      </c>
      <c r="I74" s="800" t="str">
        <f t="shared" si="2"/>
        <v>31389003000</v>
      </c>
      <c r="J74" s="800" t="str">
        <f t="shared" si="3"/>
        <v>西伯郡南部町朝金</v>
      </c>
    </row>
    <row r="75" spans="1:10">
      <c r="A75" s="800" t="s">
        <v>5069</v>
      </c>
      <c r="B75" s="801">
        <v>31201054000</v>
      </c>
      <c r="D75" s="800" t="s">
        <v>4971</v>
      </c>
      <c r="E75" s="800" t="s">
        <v>5068</v>
      </c>
      <c r="F75" s="801" t="s">
        <v>4652</v>
      </c>
      <c r="G75" s="800">
        <v>31389</v>
      </c>
      <c r="H75" s="801" t="s">
        <v>4940</v>
      </c>
      <c r="I75" s="800" t="str">
        <f t="shared" si="2"/>
        <v>31389004000</v>
      </c>
      <c r="J75" s="800" t="str">
        <f t="shared" si="3"/>
        <v>西伯郡南部町池野</v>
      </c>
    </row>
    <row r="76" spans="1:10">
      <c r="A76" s="800" t="s">
        <v>5067</v>
      </c>
      <c r="B76" s="801">
        <v>31201055000</v>
      </c>
      <c r="D76" s="800" t="s">
        <v>4971</v>
      </c>
      <c r="E76" s="800" t="s">
        <v>5066</v>
      </c>
      <c r="F76" s="801" t="s">
        <v>4649</v>
      </c>
      <c r="G76" s="800">
        <v>31389</v>
      </c>
      <c r="H76" s="801" t="s">
        <v>4940</v>
      </c>
      <c r="I76" s="800" t="str">
        <f t="shared" si="2"/>
        <v>31389005000</v>
      </c>
      <c r="J76" s="800" t="str">
        <f t="shared" si="3"/>
        <v>西伯郡南部町市山</v>
      </c>
    </row>
    <row r="77" spans="1:10">
      <c r="A77" s="800" t="s">
        <v>5065</v>
      </c>
      <c r="B77" s="801">
        <v>31201056000</v>
      </c>
      <c r="D77" s="800" t="s">
        <v>4971</v>
      </c>
      <c r="E77" s="800" t="s">
        <v>5064</v>
      </c>
      <c r="F77" s="801" t="s">
        <v>4646</v>
      </c>
      <c r="G77" s="800">
        <v>31389</v>
      </c>
      <c r="H77" s="801" t="s">
        <v>4940</v>
      </c>
      <c r="I77" s="800" t="str">
        <f t="shared" si="2"/>
        <v>31389006000</v>
      </c>
      <c r="J77" s="800" t="str">
        <f t="shared" si="3"/>
        <v>西伯郡南部町井上</v>
      </c>
    </row>
    <row r="78" spans="1:10">
      <c r="A78" s="800" t="s">
        <v>5063</v>
      </c>
      <c r="B78" s="801">
        <v>31201057000</v>
      </c>
      <c r="D78" s="800" t="s">
        <v>4971</v>
      </c>
      <c r="E78" s="800" t="s">
        <v>5062</v>
      </c>
      <c r="F78" s="801" t="s">
        <v>4643</v>
      </c>
      <c r="G78" s="800">
        <v>31389</v>
      </c>
      <c r="H78" s="801" t="s">
        <v>4940</v>
      </c>
      <c r="I78" s="800" t="str">
        <f t="shared" si="2"/>
        <v>31389007000</v>
      </c>
      <c r="J78" s="800" t="str">
        <f t="shared" si="3"/>
        <v>西伯郡南部町猪小路</v>
      </c>
    </row>
    <row r="79" spans="1:10">
      <c r="A79" s="800" t="s">
        <v>5061</v>
      </c>
      <c r="B79" s="801">
        <v>31201058000</v>
      </c>
      <c r="D79" s="800" t="s">
        <v>4971</v>
      </c>
      <c r="E79" s="800" t="s">
        <v>5060</v>
      </c>
      <c r="F79" s="801" t="s">
        <v>4640</v>
      </c>
      <c r="G79" s="800">
        <v>31389</v>
      </c>
      <c r="H79" s="801" t="s">
        <v>4940</v>
      </c>
      <c r="I79" s="800" t="str">
        <f t="shared" si="2"/>
        <v>31389008000</v>
      </c>
      <c r="J79" s="800" t="str">
        <f t="shared" si="3"/>
        <v>西伯郡南部町大木屋</v>
      </c>
    </row>
    <row r="80" spans="1:10">
      <c r="A80" s="800" t="s">
        <v>5059</v>
      </c>
      <c r="B80" s="801">
        <v>31201059000</v>
      </c>
      <c r="D80" s="800" t="s">
        <v>4971</v>
      </c>
      <c r="E80" s="800" t="s">
        <v>5058</v>
      </c>
      <c r="F80" s="801" t="s">
        <v>4637</v>
      </c>
      <c r="G80" s="800">
        <v>31389</v>
      </c>
      <c r="H80" s="801" t="s">
        <v>4727</v>
      </c>
      <c r="I80" s="800" t="str">
        <f t="shared" si="2"/>
        <v>31389009000</v>
      </c>
      <c r="J80" s="800" t="str">
        <f t="shared" si="3"/>
        <v>西伯郡南部町荻名</v>
      </c>
    </row>
    <row r="81" spans="1:10">
      <c r="A81" s="800" t="s">
        <v>5057</v>
      </c>
      <c r="B81" s="801">
        <v>31201060000</v>
      </c>
      <c r="D81" s="800" t="s">
        <v>4971</v>
      </c>
      <c r="E81" s="800" t="s">
        <v>5056</v>
      </c>
      <c r="F81" s="801" t="s">
        <v>4634</v>
      </c>
      <c r="G81" s="800">
        <v>31389</v>
      </c>
      <c r="H81" s="801" t="s">
        <v>4727</v>
      </c>
      <c r="I81" s="800" t="str">
        <f t="shared" si="2"/>
        <v>31389010000</v>
      </c>
      <c r="J81" s="800" t="str">
        <f t="shared" si="3"/>
        <v>西伯郡南部町落合</v>
      </c>
    </row>
    <row r="82" spans="1:10">
      <c r="A82" s="800" t="s">
        <v>5055</v>
      </c>
      <c r="B82" s="801">
        <v>31201061000</v>
      </c>
      <c r="D82" s="800" t="s">
        <v>4971</v>
      </c>
      <c r="E82" s="800" t="s">
        <v>5054</v>
      </c>
      <c r="F82" s="801" t="s">
        <v>4631</v>
      </c>
      <c r="G82" s="800">
        <v>31389</v>
      </c>
      <c r="H82" s="801" t="s">
        <v>4727</v>
      </c>
      <c r="I82" s="800" t="str">
        <f t="shared" si="2"/>
        <v>31389011000</v>
      </c>
      <c r="J82" s="800" t="str">
        <f t="shared" si="3"/>
        <v>西伯郡南部町掛相</v>
      </c>
    </row>
    <row r="83" spans="1:10">
      <c r="A83" s="800" t="s">
        <v>5053</v>
      </c>
      <c r="B83" s="801">
        <v>31201062000</v>
      </c>
      <c r="D83" s="800" t="s">
        <v>4971</v>
      </c>
      <c r="E83" s="800" t="s">
        <v>5052</v>
      </c>
      <c r="F83" s="801" t="s">
        <v>4628</v>
      </c>
      <c r="G83" s="800">
        <v>31389</v>
      </c>
      <c r="H83" s="801" t="s">
        <v>4727</v>
      </c>
      <c r="I83" s="800" t="str">
        <f t="shared" si="2"/>
        <v>31389012000</v>
      </c>
      <c r="J83" s="800" t="str">
        <f t="shared" si="3"/>
        <v>西伯郡南部町金田</v>
      </c>
    </row>
    <row r="84" spans="1:10">
      <c r="A84" s="800" t="s">
        <v>5051</v>
      </c>
      <c r="B84" s="801">
        <v>31201063000</v>
      </c>
      <c r="D84" s="800" t="s">
        <v>4971</v>
      </c>
      <c r="E84" s="800" t="s">
        <v>5050</v>
      </c>
      <c r="F84" s="801" t="s">
        <v>4625</v>
      </c>
      <c r="G84" s="800">
        <v>31389</v>
      </c>
      <c r="H84" s="801" t="s">
        <v>4727</v>
      </c>
      <c r="I84" s="800" t="str">
        <f t="shared" si="2"/>
        <v>31389013000</v>
      </c>
      <c r="J84" s="800" t="str">
        <f t="shared" si="3"/>
        <v>西伯郡南部町上中谷</v>
      </c>
    </row>
    <row r="85" spans="1:10">
      <c r="A85" s="800" t="s">
        <v>5049</v>
      </c>
      <c r="B85" s="801">
        <v>31201064000</v>
      </c>
      <c r="D85" s="800" t="s">
        <v>4971</v>
      </c>
      <c r="E85" s="800" t="s">
        <v>5048</v>
      </c>
      <c r="F85" s="801" t="s">
        <v>4622</v>
      </c>
      <c r="G85" s="800">
        <v>31389</v>
      </c>
      <c r="H85" s="801" t="s">
        <v>5045</v>
      </c>
      <c r="I85" s="800" t="str">
        <f t="shared" si="2"/>
        <v>31389014000</v>
      </c>
      <c r="J85" s="800" t="str">
        <f t="shared" si="3"/>
        <v>西伯郡南部町鴨部</v>
      </c>
    </row>
    <row r="86" spans="1:10">
      <c r="A86" s="800" t="s">
        <v>5047</v>
      </c>
      <c r="B86" s="801">
        <v>31201065001</v>
      </c>
      <c r="D86" s="800" t="s">
        <v>4971</v>
      </c>
      <c r="E86" s="800" t="s">
        <v>5046</v>
      </c>
      <c r="F86" s="801" t="s">
        <v>4619</v>
      </c>
      <c r="G86" s="800">
        <v>31389</v>
      </c>
      <c r="H86" s="801" t="s">
        <v>5045</v>
      </c>
      <c r="I86" s="800" t="str">
        <f t="shared" si="2"/>
        <v>31389015000</v>
      </c>
      <c r="J86" s="800" t="str">
        <f t="shared" si="3"/>
        <v>西伯郡南部町北方</v>
      </c>
    </row>
    <row r="87" spans="1:10">
      <c r="A87" s="800" t="s">
        <v>5044</v>
      </c>
      <c r="B87" s="801">
        <v>31201065002</v>
      </c>
      <c r="D87" s="800" t="s">
        <v>4971</v>
      </c>
      <c r="E87" s="800" t="s">
        <v>5043</v>
      </c>
      <c r="F87" s="801" t="s">
        <v>4616</v>
      </c>
      <c r="G87" s="800">
        <v>31389</v>
      </c>
      <c r="H87" s="801" t="s">
        <v>4915</v>
      </c>
      <c r="I87" s="800" t="str">
        <f t="shared" si="2"/>
        <v>31389016000</v>
      </c>
      <c r="J87" s="800" t="str">
        <f t="shared" si="3"/>
        <v>西伯郡南部町絹屋</v>
      </c>
    </row>
    <row r="88" spans="1:10">
      <c r="A88" s="800" t="s">
        <v>5042</v>
      </c>
      <c r="B88" s="801">
        <v>31201065003</v>
      </c>
      <c r="D88" s="800" t="s">
        <v>4971</v>
      </c>
      <c r="E88" s="800" t="s">
        <v>5041</v>
      </c>
      <c r="F88" s="801" t="s">
        <v>4613</v>
      </c>
      <c r="G88" s="800">
        <v>31389</v>
      </c>
      <c r="H88" s="801" t="s">
        <v>4915</v>
      </c>
      <c r="I88" s="800" t="str">
        <f t="shared" si="2"/>
        <v>31389017000</v>
      </c>
      <c r="J88" s="800" t="str">
        <f t="shared" si="3"/>
        <v>西伯郡南部町伐株</v>
      </c>
    </row>
    <row r="89" spans="1:10">
      <c r="A89" s="800" t="s">
        <v>5040</v>
      </c>
      <c r="B89" s="801">
        <v>31201065004</v>
      </c>
      <c r="D89" s="800" t="s">
        <v>4971</v>
      </c>
      <c r="E89" s="800" t="s">
        <v>5039</v>
      </c>
      <c r="F89" s="801" t="s">
        <v>4609</v>
      </c>
      <c r="G89" s="800">
        <v>31389</v>
      </c>
      <c r="H89" s="801" t="s">
        <v>4786</v>
      </c>
      <c r="I89" s="800" t="str">
        <f t="shared" si="2"/>
        <v>31389018000</v>
      </c>
      <c r="J89" s="800" t="str">
        <f t="shared" si="3"/>
        <v>西伯郡南部町境</v>
      </c>
    </row>
    <row r="90" spans="1:10">
      <c r="A90" s="800" t="s">
        <v>5038</v>
      </c>
      <c r="B90" s="801">
        <v>31201065005</v>
      </c>
      <c r="D90" s="800" t="s">
        <v>4971</v>
      </c>
      <c r="E90" s="800" t="s">
        <v>5037</v>
      </c>
      <c r="F90" s="801" t="s">
        <v>4697</v>
      </c>
      <c r="G90" s="800">
        <v>31389</v>
      </c>
      <c r="H90" s="801" t="s">
        <v>4786</v>
      </c>
      <c r="I90" s="800" t="str">
        <f t="shared" si="2"/>
        <v>31389019000</v>
      </c>
      <c r="J90" s="800" t="str">
        <f t="shared" si="3"/>
        <v>西伯郡南部町清水川</v>
      </c>
    </row>
    <row r="91" spans="1:10">
      <c r="A91" s="800" t="s">
        <v>5036</v>
      </c>
      <c r="B91" s="801">
        <v>31201065006</v>
      </c>
      <c r="D91" s="800" t="s">
        <v>4971</v>
      </c>
      <c r="E91" s="800" t="s">
        <v>5035</v>
      </c>
      <c r="F91" s="801" t="s">
        <v>4693</v>
      </c>
      <c r="G91" s="800">
        <v>31389</v>
      </c>
      <c r="H91" s="801" t="s">
        <v>4786</v>
      </c>
      <c r="I91" s="800" t="str">
        <f t="shared" si="2"/>
        <v>31389020000</v>
      </c>
      <c r="J91" s="800" t="str">
        <f t="shared" si="3"/>
        <v>西伯郡南部町下中谷</v>
      </c>
    </row>
    <row r="92" spans="1:10">
      <c r="A92" s="800" t="s">
        <v>5034</v>
      </c>
      <c r="B92" s="801">
        <v>31201066001</v>
      </c>
      <c r="D92" s="800" t="s">
        <v>4971</v>
      </c>
      <c r="E92" s="800" t="s">
        <v>5033</v>
      </c>
      <c r="F92" s="801" t="s">
        <v>4689</v>
      </c>
      <c r="G92" s="800">
        <v>31389</v>
      </c>
      <c r="H92" s="801" t="s">
        <v>4786</v>
      </c>
      <c r="I92" s="800" t="str">
        <f t="shared" si="2"/>
        <v>31389021000</v>
      </c>
      <c r="J92" s="800" t="str">
        <f t="shared" si="3"/>
        <v>西伯郡南部町高姫</v>
      </c>
    </row>
    <row r="93" spans="1:10">
      <c r="A93" s="800" t="s">
        <v>5032</v>
      </c>
      <c r="B93" s="801">
        <v>31201066002</v>
      </c>
      <c r="D93" s="800" t="s">
        <v>4971</v>
      </c>
      <c r="E93" s="800" t="s">
        <v>5031</v>
      </c>
      <c r="F93" s="801" t="s">
        <v>4685</v>
      </c>
      <c r="G93" s="800">
        <v>31389</v>
      </c>
      <c r="H93" s="801" t="s">
        <v>4786</v>
      </c>
      <c r="I93" s="800" t="str">
        <f t="shared" si="2"/>
        <v>31389022000</v>
      </c>
      <c r="J93" s="800" t="str">
        <f t="shared" si="3"/>
        <v>西伯郡南部町武信</v>
      </c>
    </row>
    <row r="94" spans="1:10">
      <c r="A94" s="800" t="s">
        <v>5030</v>
      </c>
      <c r="B94" s="801">
        <v>31201066003</v>
      </c>
      <c r="D94" s="800" t="s">
        <v>4971</v>
      </c>
      <c r="E94" s="800" t="s">
        <v>5029</v>
      </c>
      <c r="F94" s="801" t="s">
        <v>4682</v>
      </c>
      <c r="G94" s="800">
        <v>31389</v>
      </c>
      <c r="H94" s="801" t="s">
        <v>5028</v>
      </c>
      <c r="I94" s="800" t="str">
        <f t="shared" si="2"/>
        <v>31389023000</v>
      </c>
      <c r="J94" s="800" t="str">
        <f t="shared" si="3"/>
        <v>西伯郡南部町田住</v>
      </c>
    </row>
    <row r="95" spans="1:10">
      <c r="A95" s="800" t="s">
        <v>5027</v>
      </c>
      <c r="B95" s="801">
        <v>31201066004</v>
      </c>
      <c r="D95" s="800" t="s">
        <v>4971</v>
      </c>
      <c r="E95" s="800" t="s">
        <v>5026</v>
      </c>
      <c r="F95" s="801" t="s">
        <v>4678</v>
      </c>
      <c r="G95" s="800">
        <v>31389</v>
      </c>
      <c r="H95" s="801" t="s">
        <v>4888</v>
      </c>
      <c r="I95" s="800" t="str">
        <f t="shared" si="2"/>
        <v>31389024000</v>
      </c>
      <c r="J95" s="800" t="str">
        <f t="shared" si="3"/>
        <v>西伯郡南部町鶴田</v>
      </c>
    </row>
    <row r="96" spans="1:10">
      <c r="A96" s="800" t="s">
        <v>5025</v>
      </c>
      <c r="B96" s="801">
        <v>31201067001</v>
      </c>
      <c r="D96" s="800" t="s">
        <v>4971</v>
      </c>
      <c r="E96" s="800" t="s">
        <v>5024</v>
      </c>
      <c r="F96" s="801" t="s">
        <v>4674</v>
      </c>
      <c r="G96" s="800">
        <v>31389</v>
      </c>
      <c r="H96" s="801" t="s">
        <v>4888</v>
      </c>
      <c r="I96" s="800" t="str">
        <f t="shared" si="2"/>
        <v>31389025000</v>
      </c>
      <c r="J96" s="800" t="str">
        <f t="shared" si="3"/>
        <v>西伯郡南部町寺内</v>
      </c>
    </row>
    <row r="97" spans="1:10">
      <c r="A97" s="800" t="s">
        <v>5023</v>
      </c>
      <c r="B97" s="801">
        <v>31201067002</v>
      </c>
      <c r="D97" s="800" t="s">
        <v>4971</v>
      </c>
      <c r="E97" s="800" t="s">
        <v>5022</v>
      </c>
      <c r="F97" s="801" t="s">
        <v>4670</v>
      </c>
      <c r="G97" s="800">
        <v>31389</v>
      </c>
      <c r="H97" s="801" t="s">
        <v>4888</v>
      </c>
      <c r="I97" s="800" t="str">
        <f t="shared" si="2"/>
        <v>31389026000</v>
      </c>
      <c r="J97" s="800" t="str">
        <f t="shared" si="3"/>
        <v>西伯郡南部町天萬</v>
      </c>
    </row>
    <row r="98" spans="1:10">
      <c r="A98" s="800" t="s">
        <v>5021</v>
      </c>
      <c r="B98" s="801">
        <v>31201067003</v>
      </c>
      <c r="D98" s="800" t="s">
        <v>4971</v>
      </c>
      <c r="E98" s="800" t="s">
        <v>5020</v>
      </c>
      <c r="F98" s="801" t="s">
        <v>4665</v>
      </c>
      <c r="G98" s="800">
        <v>31389</v>
      </c>
      <c r="H98" s="801" t="s">
        <v>4888</v>
      </c>
      <c r="I98" s="800" t="str">
        <f t="shared" si="2"/>
        <v>31389027000</v>
      </c>
      <c r="J98" s="800" t="str">
        <f t="shared" si="3"/>
        <v>西伯郡南部町道河内</v>
      </c>
    </row>
    <row r="99" spans="1:10">
      <c r="A99" s="800" t="s">
        <v>5019</v>
      </c>
      <c r="B99" s="801">
        <v>31201067004</v>
      </c>
      <c r="D99" s="800" t="s">
        <v>4971</v>
      </c>
      <c r="E99" s="800" t="s">
        <v>5018</v>
      </c>
      <c r="F99" s="801" t="s">
        <v>4759</v>
      </c>
      <c r="G99" s="800">
        <v>31389</v>
      </c>
      <c r="H99" s="801" t="s">
        <v>4888</v>
      </c>
      <c r="I99" s="800" t="str">
        <f t="shared" si="2"/>
        <v>31389028000</v>
      </c>
      <c r="J99" s="800" t="str">
        <f t="shared" si="3"/>
        <v>西伯郡南部町東上</v>
      </c>
    </row>
    <row r="100" spans="1:10">
      <c r="A100" s="800" t="s">
        <v>5017</v>
      </c>
      <c r="B100" s="801">
        <v>31201067005</v>
      </c>
      <c r="D100" s="800" t="s">
        <v>4971</v>
      </c>
      <c r="E100" s="800" t="s">
        <v>5016</v>
      </c>
      <c r="F100" s="801" t="s">
        <v>4756</v>
      </c>
      <c r="G100" s="800">
        <v>31389</v>
      </c>
      <c r="H100" s="801" t="s">
        <v>4888</v>
      </c>
      <c r="I100" s="800" t="str">
        <f t="shared" si="2"/>
        <v>31389029000</v>
      </c>
      <c r="J100" s="800" t="str">
        <f t="shared" si="3"/>
        <v>西伯郡南部町徳長</v>
      </c>
    </row>
    <row r="101" spans="1:10">
      <c r="A101" s="800" t="s">
        <v>5015</v>
      </c>
      <c r="B101" s="801">
        <v>31201068001</v>
      </c>
      <c r="D101" s="800" t="s">
        <v>4971</v>
      </c>
      <c r="E101" s="800" t="s">
        <v>5014</v>
      </c>
      <c r="F101" s="801" t="s">
        <v>4752</v>
      </c>
      <c r="G101" s="800">
        <v>31389</v>
      </c>
      <c r="H101" s="801" t="s">
        <v>5003</v>
      </c>
      <c r="I101" s="800" t="str">
        <f t="shared" si="2"/>
        <v>31389030000</v>
      </c>
      <c r="J101" s="800" t="str">
        <f t="shared" si="3"/>
        <v>西伯郡南部町中</v>
      </c>
    </row>
    <row r="102" spans="1:10">
      <c r="A102" s="800" t="s">
        <v>5013</v>
      </c>
      <c r="B102" s="801">
        <v>31201068002</v>
      </c>
      <c r="D102" s="800" t="s">
        <v>4971</v>
      </c>
      <c r="E102" s="800" t="s">
        <v>5012</v>
      </c>
      <c r="F102" s="801" t="s">
        <v>4748</v>
      </c>
      <c r="G102" s="800">
        <v>31389</v>
      </c>
      <c r="H102" s="801" t="s">
        <v>5003</v>
      </c>
      <c r="I102" s="800" t="str">
        <f t="shared" si="2"/>
        <v>31389031000</v>
      </c>
      <c r="J102" s="800" t="str">
        <f t="shared" si="3"/>
        <v>西伯郡南部町鍋倉</v>
      </c>
    </row>
    <row r="103" spans="1:10">
      <c r="A103" s="800" t="s">
        <v>5011</v>
      </c>
      <c r="B103" s="801">
        <v>31201068003</v>
      </c>
      <c r="D103" s="800" t="s">
        <v>4971</v>
      </c>
      <c r="E103" s="800" t="s">
        <v>5010</v>
      </c>
      <c r="F103" s="801" t="s">
        <v>4743</v>
      </c>
      <c r="G103" s="800">
        <v>31389</v>
      </c>
      <c r="H103" s="801" t="s">
        <v>5003</v>
      </c>
      <c r="I103" s="800" t="str">
        <f t="shared" si="2"/>
        <v>31389032000</v>
      </c>
      <c r="J103" s="800" t="str">
        <f t="shared" si="3"/>
        <v>西伯郡南部町西</v>
      </c>
    </row>
    <row r="104" spans="1:10">
      <c r="A104" s="800" t="s">
        <v>5009</v>
      </c>
      <c r="B104" s="801">
        <v>31201068004</v>
      </c>
      <c r="D104" s="800" t="s">
        <v>4971</v>
      </c>
      <c r="E104" s="800" t="s">
        <v>5008</v>
      </c>
      <c r="F104" s="801" t="s">
        <v>4896</v>
      </c>
      <c r="G104" s="800">
        <v>31389</v>
      </c>
      <c r="H104" s="801" t="s">
        <v>5003</v>
      </c>
      <c r="I104" s="800" t="str">
        <f t="shared" ref="I104:I135" si="4">G104&amp;F104&amp;H104</f>
        <v>31389033000</v>
      </c>
      <c r="J104" s="800" t="str">
        <f t="shared" ref="J104:J135" si="5">D104&amp;E104</f>
        <v>西伯郡南部町西町</v>
      </c>
    </row>
    <row r="105" spans="1:10">
      <c r="A105" s="800" t="s">
        <v>5007</v>
      </c>
      <c r="B105" s="801">
        <v>31201068005</v>
      </c>
      <c r="D105" s="800" t="s">
        <v>4971</v>
      </c>
      <c r="E105" s="800" t="s">
        <v>5006</v>
      </c>
      <c r="F105" s="801" t="s">
        <v>4893</v>
      </c>
      <c r="G105" s="800">
        <v>31389</v>
      </c>
      <c r="H105" s="801" t="s">
        <v>5003</v>
      </c>
      <c r="I105" s="800" t="str">
        <f t="shared" si="4"/>
        <v>31389034000</v>
      </c>
      <c r="J105" s="800" t="str">
        <f t="shared" si="5"/>
        <v>西伯郡南部町能竹</v>
      </c>
    </row>
    <row r="106" spans="1:10">
      <c r="A106" s="800" t="s">
        <v>5005</v>
      </c>
      <c r="B106" s="801">
        <v>31201069000</v>
      </c>
      <c r="D106" s="800" t="s">
        <v>4971</v>
      </c>
      <c r="E106" s="800" t="s">
        <v>5004</v>
      </c>
      <c r="F106" s="801" t="s">
        <v>4889</v>
      </c>
      <c r="G106" s="800">
        <v>31389</v>
      </c>
      <c r="H106" s="801" t="s">
        <v>5003</v>
      </c>
      <c r="I106" s="800" t="str">
        <f t="shared" si="4"/>
        <v>31389035000</v>
      </c>
      <c r="J106" s="800" t="str">
        <f t="shared" si="5"/>
        <v>西伯郡南部町馬佐良</v>
      </c>
    </row>
    <row r="107" spans="1:10">
      <c r="A107" s="800" t="s">
        <v>5002</v>
      </c>
      <c r="B107" s="801">
        <v>31201070000</v>
      </c>
      <c r="D107" s="800" t="s">
        <v>4971</v>
      </c>
      <c r="E107" s="800" t="s">
        <v>5001</v>
      </c>
      <c r="F107" s="801" t="s">
        <v>4885</v>
      </c>
      <c r="G107" s="800">
        <v>31389</v>
      </c>
      <c r="H107" s="801" t="s">
        <v>5000</v>
      </c>
      <c r="I107" s="800" t="str">
        <f t="shared" si="4"/>
        <v>31389036000</v>
      </c>
      <c r="J107" s="800" t="str">
        <f t="shared" si="5"/>
        <v>西伯郡南部町馬場</v>
      </c>
    </row>
    <row r="108" spans="1:10">
      <c r="A108" s="800" t="s">
        <v>4999</v>
      </c>
      <c r="B108" s="801">
        <v>31201071000</v>
      </c>
      <c r="D108" s="800" t="s">
        <v>4971</v>
      </c>
      <c r="E108" s="800" t="s">
        <v>4998</v>
      </c>
      <c r="F108" s="801" t="s">
        <v>4882</v>
      </c>
      <c r="G108" s="800">
        <v>31389</v>
      </c>
      <c r="H108" s="801" t="s">
        <v>4755</v>
      </c>
      <c r="I108" s="800" t="str">
        <f t="shared" si="4"/>
        <v>31389037000</v>
      </c>
      <c r="J108" s="800" t="str">
        <f t="shared" si="5"/>
        <v>西伯郡南部町原</v>
      </c>
    </row>
    <row r="109" spans="1:10">
      <c r="A109" s="800" t="s">
        <v>4997</v>
      </c>
      <c r="B109" s="801">
        <v>31201072000</v>
      </c>
      <c r="D109" s="800" t="s">
        <v>4971</v>
      </c>
      <c r="E109" s="800" t="s">
        <v>4996</v>
      </c>
      <c r="F109" s="801" t="s">
        <v>4879</v>
      </c>
      <c r="G109" s="800">
        <v>31389</v>
      </c>
      <c r="H109" s="801" t="s">
        <v>4755</v>
      </c>
      <c r="I109" s="800" t="str">
        <f t="shared" si="4"/>
        <v>31389038000</v>
      </c>
      <c r="J109" s="800" t="str">
        <f t="shared" si="5"/>
        <v>西伯郡南部町東町</v>
      </c>
    </row>
    <row r="110" spans="1:10">
      <c r="A110" s="800" t="s">
        <v>4995</v>
      </c>
      <c r="B110" s="801">
        <v>31201073000</v>
      </c>
      <c r="D110" s="800" t="s">
        <v>4971</v>
      </c>
      <c r="E110" s="800" t="s">
        <v>4994</v>
      </c>
      <c r="F110" s="801" t="s">
        <v>4876</v>
      </c>
      <c r="G110" s="800">
        <v>31389</v>
      </c>
      <c r="H110" s="801" t="s">
        <v>4755</v>
      </c>
      <c r="I110" s="800" t="str">
        <f t="shared" si="4"/>
        <v>31389039000</v>
      </c>
      <c r="J110" s="800" t="str">
        <f t="shared" si="5"/>
        <v>西伯郡南部町福里</v>
      </c>
    </row>
    <row r="111" spans="1:10">
      <c r="A111" s="800" t="s">
        <v>4993</v>
      </c>
      <c r="B111" s="801">
        <v>31201074000</v>
      </c>
      <c r="D111" s="800" t="s">
        <v>4971</v>
      </c>
      <c r="E111" s="800" t="s">
        <v>4992</v>
      </c>
      <c r="F111" s="801" t="s">
        <v>4872</v>
      </c>
      <c r="G111" s="800">
        <v>31389</v>
      </c>
      <c r="H111" s="801" t="s">
        <v>4755</v>
      </c>
      <c r="I111" s="800" t="str">
        <f t="shared" si="4"/>
        <v>31389040000</v>
      </c>
      <c r="J111" s="800" t="str">
        <f t="shared" si="5"/>
        <v>西伯郡南部町福成</v>
      </c>
    </row>
    <row r="112" spans="1:10">
      <c r="A112" s="800" t="s">
        <v>4991</v>
      </c>
      <c r="B112" s="801">
        <v>31201075000</v>
      </c>
      <c r="D112" s="800" t="s">
        <v>4971</v>
      </c>
      <c r="E112" s="800" t="s">
        <v>4990</v>
      </c>
      <c r="F112" s="801" t="s">
        <v>4869</v>
      </c>
      <c r="G112" s="800">
        <v>31389</v>
      </c>
      <c r="H112" s="801" t="s">
        <v>4755</v>
      </c>
      <c r="I112" s="800" t="str">
        <f t="shared" si="4"/>
        <v>31389041000</v>
      </c>
      <c r="J112" s="800" t="str">
        <f t="shared" si="5"/>
        <v>西伯郡南部町福頼</v>
      </c>
    </row>
    <row r="113" spans="1:10">
      <c r="A113" s="800" t="s">
        <v>4989</v>
      </c>
      <c r="B113" s="801">
        <v>31201076000</v>
      </c>
      <c r="D113" s="800" t="s">
        <v>4971</v>
      </c>
      <c r="E113" s="800" t="s">
        <v>4988</v>
      </c>
      <c r="F113" s="801" t="s">
        <v>4865</v>
      </c>
      <c r="G113" s="800">
        <v>31389</v>
      </c>
      <c r="H113" s="801" t="s">
        <v>4755</v>
      </c>
      <c r="I113" s="800" t="str">
        <f t="shared" si="4"/>
        <v>31389042000</v>
      </c>
      <c r="J113" s="800" t="str">
        <f t="shared" si="5"/>
        <v>西伯郡南部町法勝寺</v>
      </c>
    </row>
    <row r="114" spans="1:10">
      <c r="A114" s="800" t="s">
        <v>4987</v>
      </c>
      <c r="B114" s="801">
        <v>31201077000</v>
      </c>
      <c r="D114" s="800" t="s">
        <v>4971</v>
      </c>
      <c r="E114" s="800" t="s">
        <v>4986</v>
      </c>
      <c r="F114" s="801" t="s">
        <v>4862</v>
      </c>
      <c r="G114" s="800">
        <v>31389</v>
      </c>
      <c r="H114" s="801" t="s">
        <v>4755</v>
      </c>
      <c r="I114" s="800" t="str">
        <f t="shared" si="4"/>
        <v>31389043000</v>
      </c>
      <c r="J114" s="800" t="str">
        <f t="shared" si="5"/>
        <v>西伯郡南部町円山</v>
      </c>
    </row>
    <row r="115" spans="1:10">
      <c r="A115" s="800" t="s">
        <v>4985</v>
      </c>
      <c r="B115" s="801">
        <v>31201078000</v>
      </c>
      <c r="D115" s="800" t="s">
        <v>4971</v>
      </c>
      <c r="E115" s="800" t="s">
        <v>4984</v>
      </c>
      <c r="F115" s="801" t="s">
        <v>4859</v>
      </c>
      <c r="G115" s="800">
        <v>31389</v>
      </c>
      <c r="H115" s="801" t="s">
        <v>4755</v>
      </c>
      <c r="I115" s="800" t="str">
        <f t="shared" si="4"/>
        <v>31389044000</v>
      </c>
      <c r="J115" s="800" t="str">
        <f t="shared" si="5"/>
        <v>西伯郡南部町御内谷</v>
      </c>
    </row>
    <row r="116" spans="1:10">
      <c r="A116" s="800" t="s">
        <v>4983</v>
      </c>
      <c r="B116" s="801">
        <v>31201079000</v>
      </c>
      <c r="D116" s="800" t="s">
        <v>4971</v>
      </c>
      <c r="E116" s="800" t="s">
        <v>4982</v>
      </c>
      <c r="F116" s="801" t="s">
        <v>4856</v>
      </c>
      <c r="G116" s="800">
        <v>31389</v>
      </c>
      <c r="H116" s="801" t="s">
        <v>4979</v>
      </c>
      <c r="I116" s="800" t="str">
        <f t="shared" si="4"/>
        <v>31389045000</v>
      </c>
      <c r="J116" s="800" t="str">
        <f t="shared" si="5"/>
        <v>西伯郡南部町三崎</v>
      </c>
    </row>
    <row r="117" spans="1:10">
      <c r="A117" s="800" t="s">
        <v>4981</v>
      </c>
      <c r="B117" s="801">
        <v>31201080000</v>
      </c>
      <c r="D117" s="800" t="s">
        <v>4971</v>
      </c>
      <c r="E117" s="800" t="s">
        <v>4980</v>
      </c>
      <c r="F117" s="801" t="s">
        <v>4853</v>
      </c>
      <c r="G117" s="800">
        <v>31389</v>
      </c>
      <c r="H117" s="801" t="s">
        <v>4979</v>
      </c>
      <c r="I117" s="800" t="str">
        <f t="shared" si="4"/>
        <v>31389046000</v>
      </c>
      <c r="J117" s="800" t="str">
        <f t="shared" si="5"/>
        <v>西伯郡南部町宮前</v>
      </c>
    </row>
    <row r="118" spans="1:10">
      <c r="A118" s="800" t="s">
        <v>4978</v>
      </c>
      <c r="B118" s="801">
        <v>31201081000</v>
      </c>
      <c r="D118" s="800" t="s">
        <v>4971</v>
      </c>
      <c r="E118" s="800" t="s">
        <v>4977</v>
      </c>
      <c r="F118" s="801" t="s">
        <v>4850</v>
      </c>
      <c r="G118" s="800">
        <v>31389</v>
      </c>
      <c r="H118" s="801" t="s">
        <v>4751</v>
      </c>
      <c r="I118" s="800" t="str">
        <f t="shared" si="4"/>
        <v>31389047000</v>
      </c>
      <c r="J118" s="800" t="str">
        <f t="shared" si="5"/>
        <v>西伯郡南部町諸木</v>
      </c>
    </row>
    <row r="119" spans="1:10">
      <c r="A119" s="800" t="s">
        <v>4976</v>
      </c>
      <c r="B119" s="801">
        <v>31201082000</v>
      </c>
      <c r="D119" s="800" t="s">
        <v>4971</v>
      </c>
      <c r="E119" s="800" t="s">
        <v>4975</v>
      </c>
      <c r="F119" s="801" t="s">
        <v>4847</v>
      </c>
      <c r="G119" s="800">
        <v>31389</v>
      </c>
      <c r="H119" s="801" t="s">
        <v>4751</v>
      </c>
      <c r="I119" s="800" t="str">
        <f t="shared" si="4"/>
        <v>31389048000</v>
      </c>
      <c r="J119" s="800" t="str">
        <f t="shared" si="5"/>
        <v>西伯郡南部町八金</v>
      </c>
    </row>
    <row r="120" spans="1:10">
      <c r="A120" s="800" t="s">
        <v>4974</v>
      </c>
      <c r="B120" s="801">
        <v>31201083000</v>
      </c>
      <c r="D120" s="800" t="s">
        <v>4971</v>
      </c>
      <c r="E120" s="800" t="s">
        <v>4973</v>
      </c>
      <c r="F120" s="801" t="s">
        <v>4844</v>
      </c>
      <c r="G120" s="800">
        <v>31389</v>
      </c>
      <c r="H120" s="801" t="s">
        <v>4962</v>
      </c>
      <c r="I120" s="800" t="str">
        <f t="shared" si="4"/>
        <v>31389049000</v>
      </c>
      <c r="J120" s="800" t="str">
        <f t="shared" si="5"/>
        <v>西伯郡南部町倭</v>
      </c>
    </row>
    <row r="121" spans="1:10">
      <c r="A121" s="800" t="s">
        <v>4972</v>
      </c>
      <c r="B121" s="801">
        <v>31201084000</v>
      </c>
      <c r="D121" s="800" t="s">
        <v>4971</v>
      </c>
      <c r="E121" s="800" t="s">
        <v>4970</v>
      </c>
      <c r="F121" s="801" t="s">
        <v>4840</v>
      </c>
      <c r="G121" s="800">
        <v>31389</v>
      </c>
      <c r="H121" s="801" t="s">
        <v>4962</v>
      </c>
      <c r="I121" s="800" t="str">
        <f t="shared" si="4"/>
        <v>31389050000</v>
      </c>
      <c r="J121" s="800" t="str">
        <f t="shared" si="5"/>
        <v>西伯郡南部町与一谷</v>
      </c>
    </row>
    <row r="122" spans="1:10">
      <c r="A122" s="800" t="s">
        <v>4969</v>
      </c>
      <c r="B122" s="801">
        <v>31201085000</v>
      </c>
      <c r="D122" s="800" t="s">
        <v>4824</v>
      </c>
      <c r="E122" s="800" t="s">
        <v>4968</v>
      </c>
      <c r="F122" s="801" t="s">
        <v>4967</v>
      </c>
      <c r="G122" s="800">
        <v>31390</v>
      </c>
      <c r="H122" s="801" t="s">
        <v>4962</v>
      </c>
      <c r="I122" s="800" t="str">
        <f t="shared" si="4"/>
        <v>31390001000</v>
      </c>
      <c r="J122" s="800" t="str">
        <f t="shared" si="5"/>
        <v>西伯郡伯耆町岩立</v>
      </c>
    </row>
    <row r="123" spans="1:10">
      <c r="A123" s="800" t="s">
        <v>4966</v>
      </c>
      <c r="B123" s="801">
        <v>31201086000</v>
      </c>
      <c r="D123" s="800" t="s">
        <v>4824</v>
      </c>
      <c r="E123" s="800" t="s">
        <v>4965</v>
      </c>
      <c r="F123" s="801" t="s">
        <v>4658</v>
      </c>
      <c r="G123" s="800">
        <v>31390</v>
      </c>
      <c r="H123" s="801" t="s">
        <v>4962</v>
      </c>
      <c r="I123" s="800" t="str">
        <f t="shared" si="4"/>
        <v>31390002000</v>
      </c>
      <c r="J123" s="800" t="str">
        <f t="shared" si="5"/>
        <v>西伯郡伯耆町岩屋谷</v>
      </c>
    </row>
    <row r="124" spans="1:10">
      <c r="A124" s="800" t="s">
        <v>4964</v>
      </c>
      <c r="B124" s="801">
        <v>31201087000</v>
      </c>
      <c r="D124" s="800" t="s">
        <v>4824</v>
      </c>
      <c r="E124" s="800" t="s">
        <v>4963</v>
      </c>
      <c r="F124" s="801" t="s">
        <v>4655</v>
      </c>
      <c r="G124" s="800">
        <v>31390</v>
      </c>
      <c r="H124" s="801" t="s">
        <v>4962</v>
      </c>
      <c r="I124" s="800" t="str">
        <f t="shared" si="4"/>
        <v>31390003000</v>
      </c>
      <c r="J124" s="800" t="str">
        <f t="shared" si="5"/>
        <v>西伯郡伯耆町上野</v>
      </c>
    </row>
    <row r="125" spans="1:10">
      <c r="A125" s="800" t="s">
        <v>4961</v>
      </c>
      <c r="B125" s="801">
        <v>31201088000</v>
      </c>
      <c r="D125" s="800" t="s">
        <v>4824</v>
      </c>
      <c r="E125" s="800" t="s">
        <v>4960</v>
      </c>
      <c r="F125" s="801" t="s">
        <v>4652</v>
      </c>
      <c r="G125" s="800">
        <v>31390</v>
      </c>
      <c r="H125" s="801" t="s">
        <v>4940</v>
      </c>
      <c r="I125" s="800" t="str">
        <f t="shared" si="4"/>
        <v>31390004000</v>
      </c>
      <c r="J125" s="800" t="str">
        <f t="shared" si="5"/>
        <v>西伯郡伯耆町宇代</v>
      </c>
    </row>
    <row r="126" spans="1:10">
      <c r="A126" s="800" t="s">
        <v>4959</v>
      </c>
      <c r="B126" s="801">
        <v>31201089000</v>
      </c>
      <c r="D126" s="800" t="s">
        <v>4824</v>
      </c>
      <c r="E126" s="800" t="s">
        <v>4958</v>
      </c>
      <c r="F126" s="801" t="s">
        <v>4649</v>
      </c>
      <c r="G126" s="800">
        <v>31390</v>
      </c>
      <c r="H126" s="801" t="s">
        <v>4940</v>
      </c>
      <c r="I126" s="800" t="str">
        <f t="shared" si="4"/>
        <v>31390005000</v>
      </c>
      <c r="J126" s="800" t="str">
        <f t="shared" si="5"/>
        <v>西伯郡伯耆町遠藤</v>
      </c>
    </row>
    <row r="127" spans="1:10">
      <c r="A127" s="800" t="s">
        <v>4957</v>
      </c>
      <c r="B127" s="801">
        <v>31201090000</v>
      </c>
      <c r="D127" s="800" t="s">
        <v>4824</v>
      </c>
      <c r="E127" s="800" t="s">
        <v>4956</v>
      </c>
      <c r="F127" s="801" t="s">
        <v>4646</v>
      </c>
      <c r="G127" s="800">
        <v>31390</v>
      </c>
      <c r="H127" s="801" t="s">
        <v>4940</v>
      </c>
      <c r="I127" s="800" t="str">
        <f t="shared" si="4"/>
        <v>31390006000</v>
      </c>
      <c r="J127" s="800" t="str">
        <f t="shared" si="5"/>
        <v>西伯郡伯耆町大内</v>
      </c>
    </row>
    <row r="128" spans="1:10">
      <c r="A128" s="800" t="s">
        <v>4955</v>
      </c>
      <c r="B128" s="801">
        <v>31201091000</v>
      </c>
      <c r="D128" s="800" t="s">
        <v>4824</v>
      </c>
      <c r="E128" s="800" t="s">
        <v>4954</v>
      </c>
      <c r="F128" s="801" t="s">
        <v>4643</v>
      </c>
      <c r="G128" s="800">
        <v>31390</v>
      </c>
      <c r="H128" s="801" t="s">
        <v>4953</v>
      </c>
      <c r="I128" s="800" t="str">
        <f t="shared" si="4"/>
        <v>31390007000</v>
      </c>
      <c r="J128" s="800" t="str">
        <f t="shared" si="5"/>
        <v>西伯郡伯耆町大江</v>
      </c>
    </row>
    <row r="129" spans="1:10">
      <c r="A129" s="800" t="s">
        <v>4952</v>
      </c>
      <c r="B129" s="801">
        <v>31201092000</v>
      </c>
      <c r="D129" s="800" t="s">
        <v>4824</v>
      </c>
      <c r="E129" s="800" t="s">
        <v>4951</v>
      </c>
      <c r="F129" s="801" t="s">
        <v>4640</v>
      </c>
      <c r="G129" s="800">
        <v>31390</v>
      </c>
      <c r="H129" s="801" t="s">
        <v>4940</v>
      </c>
      <c r="I129" s="800" t="str">
        <f t="shared" si="4"/>
        <v>31390008000</v>
      </c>
      <c r="J129" s="800" t="str">
        <f t="shared" si="5"/>
        <v>西伯郡伯耆町大倉</v>
      </c>
    </row>
    <row r="130" spans="1:10">
      <c r="A130" s="800" t="s">
        <v>4950</v>
      </c>
      <c r="B130" s="801">
        <v>31201093000</v>
      </c>
      <c r="D130" s="800" t="s">
        <v>4824</v>
      </c>
      <c r="E130" s="800" t="s">
        <v>4949</v>
      </c>
      <c r="F130" s="801" t="s">
        <v>4637</v>
      </c>
      <c r="G130" s="800">
        <v>31390</v>
      </c>
      <c r="H130" s="801" t="s">
        <v>4940</v>
      </c>
      <c r="I130" s="800" t="str">
        <f t="shared" si="4"/>
        <v>31390009000</v>
      </c>
      <c r="J130" s="800" t="str">
        <f t="shared" si="5"/>
        <v>西伯郡伯耆町大坂</v>
      </c>
    </row>
    <row r="131" spans="1:10">
      <c r="A131" s="800" t="s">
        <v>4948</v>
      </c>
      <c r="B131" s="801">
        <v>31201094000</v>
      </c>
      <c r="D131" s="800" t="s">
        <v>4824</v>
      </c>
      <c r="E131" s="800" t="s">
        <v>4947</v>
      </c>
      <c r="F131" s="801" t="s">
        <v>4634</v>
      </c>
      <c r="G131" s="800">
        <v>31390</v>
      </c>
      <c r="H131" s="801" t="s">
        <v>4940</v>
      </c>
      <c r="I131" s="800" t="str">
        <f t="shared" si="4"/>
        <v>31390010000</v>
      </c>
      <c r="J131" s="800" t="str">
        <f t="shared" si="5"/>
        <v>西伯郡伯耆町大滝</v>
      </c>
    </row>
    <row r="132" spans="1:10">
      <c r="A132" s="800" t="s">
        <v>4946</v>
      </c>
      <c r="B132" s="801">
        <v>31201095000</v>
      </c>
      <c r="D132" s="800" t="s">
        <v>4824</v>
      </c>
      <c r="E132" s="800" t="s">
        <v>4945</v>
      </c>
      <c r="F132" s="801" t="s">
        <v>4631</v>
      </c>
      <c r="G132" s="800">
        <v>31390</v>
      </c>
      <c r="H132" s="801" t="s">
        <v>4940</v>
      </c>
      <c r="I132" s="800" t="str">
        <f t="shared" si="4"/>
        <v>31390011000</v>
      </c>
      <c r="J132" s="800" t="str">
        <f t="shared" si="5"/>
        <v>西伯郡伯耆町大殿</v>
      </c>
    </row>
    <row r="133" spans="1:10">
      <c r="A133" s="800" t="s">
        <v>4944</v>
      </c>
      <c r="B133" s="801">
        <v>31201096000</v>
      </c>
      <c r="D133" s="800" t="s">
        <v>4824</v>
      </c>
      <c r="E133" s="800" t="s">
        <v>4943</v>
      </c>
      <c r="F133" s="801" t="s">
        <v>4628</v>
      </c>
      <c r="G133" s="800">
        <v>31390</v>
      </c>
      <c r="H133" s="801" t="s">
        <v>4940</v>
      </c>
      <c r="I133" s="800" t="str">
        <f t="shared" si="4"/>
        <v>31390012000</v>
      </c>
      <c r="J133" s="800" t="str">
        <f t="shared" si="5"/>
        <v>西伯郡伯耆町大原</v>
      </c>
    </row>
    <row r="134" spans="1:10">
      <c r="A134" s="800" t="s">
        <v>4942</v>
      </c>
      <c r="B134" s="801">
        <v>31201097000</v>
      </c>
      <c r="D134" s="800" t="s">
        <v>4824</v>
      </c>
      <c r="E134" s="800" t="s">
        <v>4941</v>
      </c>
      <c r="F134" s="801" t="s">
        <v>4625</v>
      </c>
      <c r="G134" s="800">
        <v>31390</v>
      </c>
      <c r="H134" s="801" t="s">
        <v>4940</v>
      </c>
      <c r="I134" s="800" t="str">
        <f t="shared" si="4"/>
        <v>31390013000</v>
      </c>
      <c r="J134" s="800" t="str">
        <f t="shared" si="5"/>
        <v>西伯郡伯耆町押口</v>
      </c>
    </row>
    <row r="135" spans="1:10">
      <c r="A135" s="800" t="s">
        <v>4939</v>
      </c>
      <c r="B135" s="801">
        <v>31201098000</v>
      </c>
      <c r="D135" s="800" t="s">
        <v>4824</v>
      </c>
      <c r="E135" s="800" t="s">
        <v>4938</v>
      </c>
      <c r="F135" s="801" t="s">
        <v>4622</v>
      </c>
      <c r="G135" s="800">
        <v>31390</v>
      </c>
      <c r="H135" s="801" t="s">
        <v>4724</v>
      </c>
      <c r="I135" s="800" t="str">
        <f t="shared" si="4"/>
        <v>31390014000</v>
      </c>
      <c r="J135" s="800" t="str">
        <f t="shared" si="5"/>
        <v>西伯郡伯耆町小野</v>
      </c>
    </row>
    <row r="136" spans="1:10">
      <c r="A136" s="800" t="s">
        <v>4937</v>
      </c>
      <c r="B136" s="801">
        <v>31201099001</v>
      </c>
      <c r="D136" s="800" t="s">
        <v>4824</v>
      </c>
      <c r="E136" s="800" t="s">
        <v>4936</v>
      </c>
      <c r="F136" s="801" t="s">
        <v>4619</v>
      </c>
      <c r="G136" s="800">
        <v>31390</v>
      </c>
      <c r="H136" s="801" t="s">
        <v>4724</v>
      </c>
      <c r="I136" s="800" t="str">
        <f t="shared" ref="I136:I167" si="6">G136&amp;F136&amp;H136</f>
        <v>31390015000</v>
      </c>
      <c r="J136" s="800" t="str">
        <f t="shared" ref="J136:J167" si="7">D136&amp;E136</f>
        <v>西伯郡伯耆町金廻</v>
      </c>
    </row>
    <row r="137" spans="1:10">
      <c r="A137" s="800" t="s">
        <v>4935</v>
      </c>
      <c r="B137" s="801">
        <v>31201099002</v>
      </c>
      <c r="D137" s="800" t="s">
        <v>4824</v>
      </c>
      <c r="E137" s="800" t="s">
        <v>4934</v>
      </c>
      <c r="F137" s="801" t="s">
        <v>4616</v>
      </c>
      <c r="G137" s="800">
        <v>31390</v>
      </c>
      <c r="H137" s="801" t="s">
        <v>4724</v>
      </c>
      <c r="I137" s="800" t="str">
        <f t="shared" si="6"/>
        <v>31390016000</v>
      </c>
      <c r="J137" s="800" t="str">
        <f t="shared" si="7"/>
        <v>西伯郡伯耆町金屋谷</v>
      </c>
    </row>
    <row r="138" spans="1:10">
      <c r="A138" s="800" t="s">
        <v>4933</v>
      </c>
      <c r="B138" s="801">
        <v>31201099003</v>
      </c>
      <c r="D138" s="800" t="s">
        <v>4824</v>
      </c>
      <c r="E138" s="800" t="s">
        <v>4932</v>
      </c>
      <c r="F138" s="801" t="s">
        <v>4613</v>
      </c>
      <c r="G138" s="800">
        <v>31390</v>
      </c>
      <c r="H138" s="801" t="s">
        <v>4724</v>
      </c>
      <c r="I138" s="800" t="str">
        <f t="shared" si="6"/>
        <v>31390017000</v>
      </c>
      <c r="J138" s="800" t="str">
        <f t="shared" si="7"/>
        <v>西伯郡伯耆町上細見</v>
      </c>
    </row>
    <row r="139" spans="1:10">
      <c r="A139" s="800" t="s">
        <v>4931</v>
      </c>
      <c r="B139" s="801">
        <v>31201099004</v>
      </c>
      <c r="D139" s="800" t="s">
        <v>4824</v>
      </c>
      <c r="E139" s="800" t="s">
        <v>4930</v>
      </c>
      <c r="F139" s="801" t="s">
        <v>4609</v>
      </c>
      <c r="G139" s="800">
        <v>31390</v>
      </c>
      <c r="H139" s="801" t="s">
        <v>4724</v>
      </c>
      <c r="I139" s="800" t="str">
        <f t="shared" si="6"/>
        <v>31390018000</v>
      </c>
      <c r="J139" s="800" t="str">
        <f t="shared" si="7"/>
        <v>西伯郡伯耆町岸本</v>
      </c>
    </row>
    <row r="140" spans="1:10">
      <c r="A140" s="800" t="s">
        <v>4929</v>
      </c>
      <c r="B140" s="801">
        <v>31201099005</v>
      </c>
      <c r="D140" s="800" t="s">
        <v>4824</v>
      </c>
      <c r="E140" s="800" t="s">
        <v>4928</v>
      </c>
      <c r="F140" s="801" t="s">
        <v>4697</v>
      </c>
      <c r="G140" s="800">
        <v>31390</v>
      </c>
      <c r="H140" s="801" t="s">
        <v>4724</v>
      </c>
      <c r="I140" s="800" t="str">
        <f t="shared" si="6"/>
        <v>31390019000</v>
      </c>
      <c r="J140" s="800" t="str">
        <f t="shared" si="7"/>
        <v>西伯郡伯耆町貴住</v>
      </c>
    </row>
    <row r="141" spans="1:10">
      <c r="A141" s="800" t="s">
        <v>4927</v>
      </c>
      <c r="B141" s="801">
        <v>31201099006</v>
      </c>
      <c r="D141" s="800" t="s">
        <v>4824</v>
      </c>
      <c r="E141" s="800" t="s">
        <v>4926</v>
      </c>
      <c r="F141" s="801" t="s">
        <v>4693</v>
      </c>
      <c r="G141" s="800">
        <v>31390</v>
      </c>
      <c r="H141" s="801" t="s">
        <v>4724</v>
      </c>
      <c r="I141" s="800" t="str">
        <f t="shared" si="6"/>
        <v>31390020000</v>
      </c>
      <c r="J141" s="800" t="str">
        <f t="shared" si="7"/>
        <v>西伯郡伯耆町清原</v>
      </c>
    </row>
    <row r="142" spans="1:10">
      <c r="A142" s="800" t="s">
        <v>4925</v>
      </c>
      <c r="B142" s="801">
        <v>31201099007</v>
      </c>
      <c r="D142" s="800" t="s">
        <v>4824</v>
      </c>
      <c r="E142" s="800" t="s">
        <v>4924</v>
      </c>
      <c r="F142" s="801" t="s">
        <v>4689</v>
      </c>
      <c r="G142" s="800">
        <v>31390</v>
      </c>
      <c r="H142" s="801" t="s">
        <v>4717</v>
      </c>
      <c r="I142" s="800" t="str">
        <f t="shared" si="6"/>
        <v>31390021000</v>
      </c>
      <c r="J142" s="800" t="str">
        <f t="shared" si="7"/>
        <v>西伯郡伯耆町久古</v>
      </c>
    </row>
    <row r="143" spans="1:10">
      <c r="A143" s="800" t="s">
        <v>4923</v>
      </c>
      <c r="B143" s="801">
        <v>31201100000</v>
      </c>
      <c r="D143" s="800" t="s">
        <v>4824</v>
      </c>
      <c r="E143" s="800" t="s">
        <v>4922</v>
      </c>
      <c r="F143" s="801" t="s">
        <v>4685</v>
      </c>
      <c r="G143" s="800">
        <v>31390</v>
      </c>
      <c r="H143" s="801" t="s">
        <v>4717</v>
      </c>
      <c r="I143" s="800" t="str">
        <f t="shared" si="6"/>
        <v>31390022000</v>
      </c>
      <c r="J143" s="800" t="str">
        <f t="shared" si="7"/>
        <v>西伯郡伯耆町口別所</v>
      </c>
    </row>
    <row r="144" spans="1:10">
      <c r="A144" s="800" t="s">
        <v>4921</v>
      </c>
      <c r="B144" s="801">
        <v>31201101000</v>
      </c>
      <c r="D144" s="800" t="s">
        <v>4824</v>
      </c>
      <c r="E144" s="800" t="s">
        <v>4920</v>
      </c>
      <c r="F144" s="801" t="s">
        <v>4682</v>
      </c>
      <c r="G144" s="800">
        <v>31390</v>
      </c>
      <c r="H144" s="801" t="s">
        <v>4717</v>
      </c>
      <c r="I144" s="800" t="str">
        <f t="shared" si="6"/>
        <v>31390023000</v>
      </c>
      <c r="J144" s="800" t="str">
        <f t="shared" si="7"/>
        <v>西伯郡伯耆町小林</v>
      </c>
    </row>
    <row r="145" spans="1:10">
      <c r="A145" s="800" t="s">
        <v>4919</v>
      </c>
      <c r="B145" s="801">
        <v>31201102000</v>
      </c>
      <c r="D145" s="800" t="s">
        <v>4824</v>
      </c>
      <c r="E145" s="800" t="s">
        <v>4918</v>
      </c>
      <c r="F145" s="801" t="s">
        <v>4678</v>
      </c>
      <c r="G145" s="800">
        <v>31390</v>
      </c>
      <c r="H145" s="801" t="s">
        <v>4915</v>
      </c>
      <c r="I145" s="800" t="str">
        <f t="shared" si="6"/>
        <v>31390024000</v>
      </c>
      <c r="J145" s="800" t="str">
        <f t="shared" si="7"/>
        <v>西伯郡伯耆町小町</v>
      </c>
    </row>
    <row r="146" spans="1:10">
      <c r="A146" s="800" t="s">
        <v>4917</v>
      </c>
      <c r="B146" s="801">
        <v>31201103000</v>
      </c>
      <c r="D146" s="800" t="s">
        <v>4824</v>
      </c>
      <c r="E146" s="800" t="s">
        <v>4916</v>
      </c>
      <c r="F146" s="801" t="s">
        <v>4674</v>
      </c>
      <c r="G146" s="800">
        <v>31390</v>
      </c>
      <c r="H146" s="801" t="s">
        <v>4915</v>
      </c>
      <c r="I146" s="800" t="str">
        <f t="shared" si="6"/>
        <v>31390025000</v>
      </c>
      <c r="J146" s="800" t="str">
        <f t="shared" si="7"/>
        <v>西伯郡伯耆町坂長</v>
      </c>
    </row>
    <row r="147" spans="1:10">
      <c r="A147" s="800" t="s">
        <v>4914</v>
      </c>
      <c r="B147" s="801">
        <v>31201104000</v>
      </c>
      <c r="D147" s="800" t="s">
        <v>4824</v>
      </c>
      <c r="E147" s="800" t="s">
        <v>4913</v>
      </c>
      <c r="F147" s="801" t="s">
        <v>4670</v>
      </c>
      <c r="G147" s="800">
        <v>31390</v>
      </c>
      <c r="H147" s="801" t="s">
        <v>4910</v>
      </c>
      <c r="I147" s="800" t="str">
        <f t="shared" si="6"/>
        <v>31390026000</v>
      </c>
      <c r="J147" s="800" t="str">
        <f t="shared" si="7"/>
        <v>西伯郡伯耆町三部</v>
      </c>
    </row>
    <row r="148" spans="1:10">
      <c r="A148" s="800" t="s">
        <v>4912</v>
      </c>
      <c r="B148" s="801">
        <v>31201105000</v>
      </c>
      <c r="D148" s="800" t="s">
        <v>4824</v>
      </c>
      <c r="E148" s="800" t="s">
        <v>4911</v>
      </c>
      <c r="F148" s="801" t="s">
        <v>4665</v>
      </c>
      <c r="G148" s="800">
        <v>31390</v>
      </c>
      <c r="H148" s="801" t="s">
        <v>4910</v>
      </c>
      <c r="I148" s="800" t="str">
        <f t="shared" si="6"/>
        <v>31390027000</v>
      </c>
      <c r="J148" s="800" t="str">
        <f t="shared" si="7"/>
        <v>西伯郡伯耆町荘</v>
      </c>
    </row>
    <row r="149" spans="1:10">
      <c r="A149" s="800" t="s">
        <v>4909</v>
      </c>
      <c r="B149" s="801">
        <v>31201106000</v>
      </c>
      <c r="D149" s="800" t="s">
        <v>4824</v>
      </c>
      <c r="E149" s="800" t="s">
        <v>4908</v>
      </c>
      <c r="F149" s="801" t="s">
        <v>4759</v>
      </c>
      <c r="G149" s="800">
        <v>31390</v>
      </c>
      <c r="H149" s="801" t="s">
        <v>4907</v>
      </c>
      <c r="I149" s="800" t="str">
        <f t="shared" si="6"/>
        <v>31390028000</v>
      </c>
      <c r="J149" s="800" t="str">
        <f t="shared" si="7"/>
        <v>西伯郡伯耆町白水</v>
      </c>
    </row>
    <row r="150" spans="1:10">
      <c r="A150" s="800" t="s">
        <v>4906</v>
      </c>
      <c r="B150" s="801">
        <v>31201107000</v>
      </c>
      <c r="D150" s="800" t="s">
        <v>4824</v>
      </c>
      <c r="E150" s="800" t="s">
        <v>4905</v>
      </c>
      <c r="F150" s="801" t="s">
        <v>4756</v>
      </c>
      <c r="G150" s="800">
        <v>31390</v>
      </c>
      <c r="H150" s="801" t="s">
        <v>4892</v>
      </c>
      <c r="I150" s="800" t="str">
        <f t="shared" si="6"/>
        <v>31390029000</v>
      </c>
      <c r="J150" s="800" t="str">
        <f t="shared" si="7"/>
        <v>西伯郡伯耆町須村</v>
      </c>
    </row>
    <row r="151" spans="1:10">
      <c r="A151" s="800" t="s">
        <v>4904</v>
      </c>
      <c r="B151" s="801">
        <v>31201108000</v>
      </c>
      <c r="D151" s="800" t="s">
        <v>4824</v>
      </c>
      <c r="E151" s="800" t="s">
        <v>4903</v>
      </c>
      <c r="F151" s="801" t="s">
        <v>4752</v>
      </c>
      <c r="G151" s="800">
        <v>31390</v>
      </c>
      <c r="H151" s="801" t="s">
        <v>4892</v>
      </c>
      <c r="I151" s="800" t="str">
        <f t="shared" si="6"/>
        <v>31390030000</v>
      </c>
      <c r="J151" s="800" t="str">
        <f t="shared" si="7"/>
        <v>西伯郡伯耆町添谷</v>
      </c>
    </row>
    <row r="152" spans="1:10">
      <c r="A152" s="800" t="s">
        <v>4902</v>
      </c>
      <c r="B152" s="801">
        <v>31201109001</v>
      </c>
      <c r="D152" s="800" t="s">
        <v>4824</v>
      </c>
      <c r="E152" s="800" t="s">
        <v>4901</v>
      </c>
      <c r="F152" s="801" t="s">
        <v>4748</v>
      </c>
      <c r="G152" s="800">
        <v>31390</v>
      </c>
      <c r="H152" s="801" t="s">
        <v>4892</v>
      </c>
      <c r="I152" s="800" t="str">
        <f t="shared" si="6"/>
        <v>31390031000</v>
      </c>
      <c r="J152" s="800" t="str">
        <f t="shared" si="7"/>
        <v>西伯郡伯耆町立岩</v>
      </c>
    </row>
    <row r="153" spans="1:10">
      <c r="A153" s="800" t="s">
        <v>4900</v>
      </c>
      <c r="B153" s="801">
        <v>31201109002</v>
      </c>
      <c r="D153" s="800" t="s">
        <v>4824</v>
      </c>
      <c r="E153" s="800" t="s">
        <v>4899</v>
      </c>
      <c r="F153" s="801" t="s">
        <v>4743</v>
      </c>
      <c r="G153" s="800">
        <v>31390</v>
      </c>
      <c r="H153" s="801" t="s">
        <v>4892</v>
      </c>
      <c r="I153" s="800" t="str">
        <f t="shared" si="6"/>
        <v>31390032000</v>
      </c>
      <c r="J153" s="800" t="str">
        <f t="shared" si="7"/>
        <v>西伯郡伯耆町谷川</v>
      </c>
    </row>
    <row r="154" spans="1:10">
      <c r="A154" s="800" t="s">
        <v>4898</v>
      </c>
      <c r="B154" s="801">
        <v>31201109003</v>
      </c>
      <c r="D154" s="800" t="s">
        <v>4824</v>
      </c>
      <c r="E154" s="800" t="s">
        <v>4897</v>
      </c>
      <c r="F154" s="801" t="s">
        <v>4896</v>
      </c>
      <c r="G154" s="800">
        <v>31390</v>
      </c>
      <c r="H154" s="801" t="s">
        <v>4892</v>
      </c>
      <c r="I154" s="800" t="str">
        <f t="shared" si="6"/>
        <v>31390033000</v>
      </c>
      <c r="J154" s="800" t="str">
        <f t="shared" si="7"/>
        <v>西伯郡伯耆町父原</v>
      </c>
    </row>
    <row r="155" spans="1:10">
      <c r="A155" s="800" t="s">
        <v>4895</v>
      </c>
      <c r="B155" s="801">
        <v>31201109004</v>
      </c>
      <c r="D155" s="800" t="s">
        <v>4824</v>
      </c>
      <c r="E155" s="800" t="s">
        <v>4894</v>
      </c>
      <c r="F155" s="801" t="s">
        <v>4893</v>
      </c>
      <c r="G155" s="800">
        <v>31390</v>
      </c>
      <c r="H155" s="801" t="s">
        <v>4892</v>
      </c>
      <c r="I155" s="800" t="str">
        <f t="shared" si="6"/>
        <v>31390034000</v>
      </c>
      <c r="J155" s="800" t="str">
        <f t="shared" si="7"/>
        <v>西伯郡伯耆町栃原</v>
      </c>
    </row>
    <row r="156" spans="1:10">
      <c r="A156" s="800" t="s">
        <v>4891</v>
      </c>
      <c r="B156" s="801">
        <v>31201110000</v>
      </c>
      <c r="D156" s="800" t="s">
        <v>4824</v>
      </c>
      <c r="E156" s="800" t="s">
        <v>4890</v>
      </c>
      <c r="F156" s="801" t="s">
        <v>4889</v>
      </c>
      <c r="G156" s="800">
        <v>31390</v>
      </c>
      <c r="H156" s="801" t="s">
        <v>4888</v>
      </c>
      <c r="I156" s="800" t="str">
        <f t="shared" si="6"/>
        <v>31390035000</v>
      </c>
      <c r="J156" s="800" t="str">
        <f t="shared" si="7"/>
        <v>西伯郡伯耆町富江</v>
      </c>
    </row>
    <row r="157" spans="1:10">
      <c r="A157" s="800" t="s">
        <v>4887</v>
      </c>
      <c r="B157" s="801">
        <v>31201111000</v>
      </c>
      <c r="D157" s="800" t="s">
        <v>4824</v>
      </c>
      <c r="E157" s="800" t="s">
        <v>4886</v>
      </c>
      <c r="F157" s="801" t="s">
        <v>4885</v>
      </c>
      <c r="G157" s="800">
        <v>31390</v>
      </c>
      <c r="H157" s="801" t="s">
        <v>4776</v>
      </c>
      <c r="I157" s="800" t="str">
        <f t="shared" si="6"/>
        <v>31390036000</v>
      </c>
      <c r="J157" s="800" t="str">
        <f t="shared" si="7"/>
        <v>西伯郡伯耆町中祖</v>
      </c>
    </row>
    <row r="158" spans="1:10">
      <c r="A158" s="800" t="s">
        <v>4884</v>
      </c>
      <c r="B158" s="801">
        <v>31201112000</v>
      </c>
      <c r="D158" s="800" t="s">
        <v>4824</v>
      </c>
      <c r="E158" s="800" t="s">
        <v>4883</v>
      </c>
      <c r="F158" s="801" t="s">
        <v>4882</v>
      </c>
      <c r="G158" s="800">
        <v>31390</v>
      </c>
      <c r="H158" s="801" t="s">
        <v>4776</v>
      </c>
      <c r="I158" s="800" t="str">
        <f t="shared" si="6"/>
        <v>31390037000</v>
      </c>
      <c r="J158" s="800" t="str">
        <f t="shared" si="7"/>
        <v>西伯郡伯耆町長山</v>
      </c>
    </row>
    <row r="159" spans="1:10">
      <c r="A159" s="800" t="s">
        <v>4881</v>
      </c>
      <c r="B159" s="801">
        <v>31201112001</v>
      </c>
      <c r="D159" s="800" t="s">
        <v>4824</v>
      </c>
      <c r="E159" s="800" t="s">
        <v>4880</v>
      </c>
      <c r="F159" s="801" t="s">
        <v>4879</v>
      </c>
      <c r="G159" s="800">
        <v>31390</v>
      </c>
      <c r="H159" s="801" t="s">
        <v>4875</v>
      </c>
      <c r="I159" s="800" t="str">
        <f t="shared" si="6"/>
        <v>31390038000</v>
      </c>
      <c r="J159" s="800" t="str">
        <f t="shared" si="7"/>
        <v>西伯郡伯耆町二部</v>
      </c>
    </row>
    <row r="160" spans="1:10">
      <c r="A160" s="800" t="s">
        <v>4878</v>
      </c>
      <c r="B160" s="801">
        <v>31201112002</v>
      </c>
      <c r="D160" s="800" t="s">
        <v>4824</v>
      </c>
      <c r="E160" s="800" t="s">
        <v>4877</v>
      </c>
      <c r="F160" s="801" t="s">
        <v>4876</v>
      </c>
      <c r="G160" s="800">
        <v>31390</v>
      </c>
      <c r="H160" s="801" t="s">
        <v>4875</v>
      </c>
      <c r="I160" s="800" t="str">
        <f t="shared" si="6"/>
        <v>31390039000</v>
      </c>
      <c r="J160" s="800" t="str">
        <f t="shared" si="7"/>
        <v>西伯郡伯耆町根雨原</v>
      </c>
    </row>
    <row r="161" spans="1:10">
      <c r="A161" s="800" t="s">
        <v>4874</v>
      </c>
      <c r="B161" s="801">
        <v>31201113000</v>
      </c>
      <c r="D161" s="800" t="s">
        <v>4824</v>
      </c>
      <c r="E161" s="800" t="s">
        <v>4873</v>
      </c>
      <c r="F161" s="801" t="s">
        <v>4872</v>
      </c>
      <c r="G161" s="800">
        <v>31390</v>
      </c>
      <c r="H161" s="801" t="s">
        <v>4868</v>
      </c>
      <c r="I161" s="800" t="str">
        <f t="shared" si="6"/>
        <v>31390040000</v>
      </c>
      <c r="J161" s="800" t="str">
        <f t="shared" si="7"/>
        <v>西伯郡伯耆町畑池</v>
      </c>
    </row>
    <row r="162" spans="1:10">
      <c r="A162" s="800" t="s">
        <v>4871</v>
      </c>
      <c r="B162" s="801">
        <v>31201114000</v>
      </c>
      <c r="D162" s="800" t="s">
        <v>4824</v>
      </c>
      <c r="E162" s="800" t="s">
        <v>4870</v>
      </c>
      <c r="F162" s="801" t="s">
        <v>4869</v>
      </c>
      <c r="G162" s="800">
        <v>31390</v>
      </c>
      <c r="H162" s="801" t="s">
        <v>4868</v>
      </c>
      <c r="I162" s="800" t="str">
        <f t="shared" si="6"/>
        <v>31390041000</v>
      </c>
      <c r="J162" s="800" t="str">
        <f t="shared" si="7"/>
        <v>西伯郡伯耆町番原</v>
      </c>
    </row>
    <row r="163" spans="1:10">
      <c r="A163" s="800" t="s">
        <v>4867</v>
      </c>
      <c r="B163" s="801">
        <v>31201115000</v>
      </c>
      <c r="D163" s="800" t="s">
        <v>4824</v>
      </c>
      <c r="E163" s="800" t="s">
        <v>4866</v>
      </c>
      <c r="F163" s="801" t="s">
        <v>4865</v>
      </c>
      <c r="G163" s="800">
        <v>31390</v>
      </c>
      <c r="H163" s="801" t="s">
        <v>4843</v>
      </c>
      <c r="I163" s="800" t="str">
        <f t="shared" si="6"/>
        <v>31390042000</v>
      </c>
      <c r="J163" s="800" t="str">
        <f t="shared" si="7"/>
        <v>西伯郡伯耆町福居</v>
      </c>
    </row>
    <row r="164" spans="1:10">
      <c r="A164" s="800" t="s">
        <v>4864</v>
      </c>
      <c r="B164" s="801">
        <v>31201116000</v>
      </c>
      <c r="D164" s="800" t="s">
        <v>4824</v>
      </c>
      <c r="E164" s="800" t="s">
        <v>4863</v>
      </c>
      <c r="F164" s="801" t="s">
        <v>4862</v>
      </c>
      <c r="G164" s="800">
        <v>31390</v>
      </c>
      <c r="H164" s="801" t="s">
        <v>4843</v>
      </c>
      <c r="I164" s="800" t="str">
        <f t="shared" si="6"/>
        <v>31390043000</v>
      </c>
      <c r="J164" s="800" t="str">
        <f t="shared" si="7"/>
        <v>西伯郡伯耆町福岡</v>
      </c>
    </row>
    <row r="165" spans="1:10">
      <c r="A165" s="800" t="s">
        <v>4861</v>
      </c>
      <c r="B165" s="801">
        <v>31201117000</v>
      </c>
      <c r="D165" s="800" t="s">
        <v>4824</v>
      </c>
      <c r="E165" s="800" t="s">
        <v>4860</v>
      </c>
      <c r="F165" s="801" t="s">
        <v>4859</v>
      </c>
      <c r="G165" s="800">
        <v>31390</v>
      </c>
      <c r="H165" s="801" t="s">
        <v>4843</v>
      </c>
      <c r="I165" s="800" t="str">
        <f t="shared" si="6"/>
        <v>31390044000</v>
      </c>
      <c r="J165" s="800" t="str">
        <f t="shared" si="7"/>
        <v>西伯郡伯耆町福岡原</v>
      </c>
    </row>
    <row r="166" spans="1:10">
      <c r="A166" s="800" t="s">
        <v>4858</v>
      </c>
      <c r="B166" s="801">
        <v>31201118000</v>
      </c>
      <c r="D166" s="800" t="s">
        <v>4824</v>
      </c>
      <c r="E166" s="800" t="s">
        <v>4857</v>
      </c>
      <c r="F166" s="801" t="s">
        <v>4856</v>
      </c>
      <c r="G166" s="800">
        <v>31390</v>
      </c>
      <c r="H166" s="801" t="s">
        <v>4843</v>
      </c>
      <c r="I166" s="800" t="str">
        <f t="shared" si="6"/>
        <v>31390045000</v>
      </c>
      <c r="J166" s="800" t="str">
        <f t="shared" si="7"/>
        <v>西伯郡伯耆町福金</v>
      </c>
    </row>
    <row r="167" spans="1:10">
      <c r="A167" s="800" t="s">
        <v>4855</v>
      </c>
      <c r="B167" s="801">
        <v>31201119001</v>
      </c>
      <c r="D167" s="800" t="s">
        <v>4824</v>
      </c>
      <c r="E167" s="800" t="s">
        <v>4854</v>
      </c>
      <c r="F167" s="801" t="s">
        <v>4853</v>
      </c>
      <c r="G167" s="800">
        <v>31390</v>
      </c>
      <c r="H167" s="801" t="s">
        <v>4843</v>
      </c>
      <c r="I167" s="800" t="str">
        <f t="shared" si="6"/>
        <v>31390046000</v>
      </c>
      <c r="J167" s="800" t="str">
        <f t="shared" si="7"/>
        <v>西伯郡伯耆町福島</v>
      </c>
    </row>
    <row r="168" spans="1:10">
      <c r="A168" s="800" t="s">
        <v>4852</v>
      </c>
      <c r="B168" s="801">
        <v>31201119002</v>
      </c>
      <c r="D168" s="800" t="s">
        <v>4824</v>
      </c>
      <c r="E168" s="800" t="s">
        <v>4851</v>
      </c>
      <c r="F168" s="801" t="s">
        <v>4850</v>
      </c>
      <c r="G168" s="800">
        <v>31390</v>
      </c>
      <c r="H168" s="801" t="s">
        <v>4843</v>
      </c>
      <c r="I168" s="800" t="str">
        <f t="shared" ref="I168:I199" si="8">G168&amp;F168&amp;H168</f>
        <v>31390047000</v>
      </c>
      <c r="J168" s="800" t="str">
        <f t="shared" ref="J168:J199" si="9">D168&amp;E168</f>
        <v>西伯郡伯耆町福吉</v>
      </c>
    </row>
    <row r="169" spans="1:10">
      <c r="A169" s="800" t="s">
        <v>4849</v>
      </c>
      <c r="B169" s="801">
        <v>31201119003</v>
      </c>
      <c r="D169" s="800" t="s">
        <v>4824</v>
      </c>
      <c r="E169" s="800" t="s">
        <v>4848</v>
      </c>
      <c r="F169" s="801" t="s">
        <v>4847</v>
      </c>
      <c r="G169" s="800">
        <v>31390</v>
      </c>
      <c r="H169" s="801" t="s">
        <v>4843</v>
      </c>
      <c r="I169" s="800" t="str">
        <f t="shared" si="8"/>
        <v>31390048000</v>
      </c>
      <c r="J169" s="800" t="str">
        <f t="shared" si="9"/>
        <v>西伯郡伯耆町船越</v>
      </c>
    </row>
    <row r="170" spans="1:10">
      <c r="A170" s="800" t="s">
        <v>4846</v>
      </c>
      <c r="B170" s="801">
        <v>31201119004</v>
      </c>
      <c r="D170" s="800" t="s">
        <v>4824</v>
      </c>
      <c r="E170" s="800" t="s">
        <v>4845</v>
      </c>
      <c r="F170" s="801" t="s">
        <v>4844</v>
      </c>
      <c r="G170" s="800">
        <v>31390</v>
      </c>
      <c r="H170" s="801" t="s">
        <v>4843</v>
      </c>
      <c r="I170" s="800" t="str">
        <f t="shared" si="8"/>
        <v>31390049000</v>
      </c>
      <c r="J170" s="800" t="str">
        <f t="shared" si="9"/>
        <v>西伯郡伯耆町古市</v>
      </c>
    </row>
    <row r="171" spans="1:10">
      <c r="A171" s="800" t="s">
        <v>4842</v>
      </c>
      <c r="B171" s="801">
        <v>31201120000</v>
      </c>
      <c r="D171" s="800" t="s">
        <v>4824</v>
      </c>
      <c r="E171" s="800" t="s">
        <v>4841</v>
      </c>
      <c r="F171" s="801" t="s">
        <v>4840</v>
      </c>
      <c r="G171" s="800">
        <v>31390</v>
      </c>
      <c r="H171" s="801" t="s">
        <v>4821</v>
      </c>
      <c r="I171" s="800" t="str">
        <f t="shared" si="8"/>
        <v>31390050000</v>
      </c>
      <c r="J171" s="800" t="str">
        <f t="shared" si="9"/>
        <v>西伯郡伯耆町真野</v>
      </c>
    </row>
    <row r="172" spans="1:10">
      <c r="A172" s="800" t="s">
        <v>4839</v>
      </c>
      <c r="B172" s="801">
        <v>31201121000</v>
      </c>
      <c r="D172" s="800" t="s">
        <v>4824</v>
      </c>
      <c r="E172" s="800" t="s">
        <v>4762</v>
      </c>
      <c r="F172" s="801" t="s">
        <v>4838</v>
      </c>
      <c r="G172" s="800">
        <v>31390</v>
      </c>
      <c r="H172" s="801" t="s">
        <v>4821</v>
      </c>
      <c r="I172" s="800" t="str">
        <f t="shared" si="8"/>
        <v>31390051000</v>
      </c>
      <c r="J172" s="800" t="str">
        <f t="shared" si="9"/>
        <v>西伯郡伯耆町丸山</v>
      </c>
    </row>
    <row r="173" spans="1:10">
      <c r="A173" s="800" t="s">
        <v>4837</v>
      </c>
      <c r="B173" s="801">
        <v>31201122000</v>
      </c>
      <c r="D173" s="800" t="s">
        <v>4824</v>
      </c>
      <c r="E173" s="800" t="s">
        <v>4836</v>
      </c>
      <c r="F173" s="801" t="s">
        <v>4835</v>
      </c>
      <c r="G173" s="800">
        <v>31390</v>
      </c>
      <c r="H173" s="801" t="s">
        <v>4821</v>
      </c>
      <c r="I173" s="800" t="str">
        <f t="shared" si="8"/>
        <v>31390052000</v>
      </c>
      <c r="J173" s="800" t="str">
        <f t="shared" si="9"/>
        <v>西伯郡伯耆町溝口</v>
      </c>
    </row>
    <row r="174" spans="1:10">
      <c r="A174" s="800" t="s">
        <v>4834</v>
      </c>
      <c r="B174" s="801">
        <v>31201123000</v>
      </c>
      <c r="D174" s="800" t="s">
        <v>4824</v>
      </c>
      <c r="E174" s="800" t="s">
        <v>4833</v>
      </c>
      <c r="F174" s="801" t="s">
        <v>4832</v>
      </c>
      <c r="G174" s="800">
        <v>31390</v>
      </c>
      <c r="H174" s="801" t="s">
        <v>4821</v>
      </c>
      <c r="I174" s="800" t="str">
        <f t="shared" si="8"/>
        <v>31390053000</v>
      </c>
      <c r="J174" s="800" t="str">
        <f t="shared" si="9"/>
        <v>西伯郡伯耆町宮原</v>
      </c>
    </row>
    <row r="175" spans="1:10">
      <c r="A175" s="800" t="s">
        <v>4831</v>
      </c>
      <c r="B175" s="801">
        <v>31201124001</v>
      </c>
      <c r="D175" s="800" t="s">
        <v>4824</v>
      </c>
      <c r="E175" s="800" t="s">
        <v>4830</v>
      </c>
      <c r="F175" s="801" t="s">
        <v>4829</v>
      </c>
      <c r="G175" s="800">
        <v>31390</v>
      </c>
      <c r="H175" s="801" t="s">
        <v>4821</v>
      </c>
      <c r="I175" s="800" t="str">
        <f t="shared" si="8"/>
        <v>31390054000</v>
      </c>
      <c r="J175" s="800" t="str">
        <f t="shared" si="9"/>
        <v>西伯郡伯耆町焼杉</v>
      </c>
    </row>
    <row r="176" spans="1:10">
      <c r="A176" s="800" t="s">
        <v>4828</v>
      </c>
      <c r="B176" s="801">
        <v>31201124002</v>
      </c>
      <c r="D176" s="800" t="s">
        <v>4824</v>
      </c>
      <c r="E176" s="800" t="s">
        <v>4827</v>
      </c>
      <c r="F176" s="801" t="s">
        <v>4826</v>
      </c>
      <c r="G176" s="800">
        <v>31390</v>
      </c>
      <c r="H176" s="801" t="s">
        <v>4821</v>
      </c>
      <c r="I176" s="800" t="str">
        <f t="shared" si="8"/>
        <v>31390055000</v>
      </c>
      <c r="J176" s="800" t="str">
        <f t="shared" si="9"/>
        <v>西伯郡伯耆町吉定</v>
      </c>
    </row>
    <row r="177" spans="1:10">
      <c r="A177" s="800" t="s">
        <v>4825</v>
      </c>
      <c r="B177" s="801">
        <v>31201124003</v>
      </c>
      <c r="D177" s="800" t="s">
        <v>4824</v>
      </c>
      <c r="E177" s="800" t="s">
        <v>4823</v>
      </c>
      <c r="F177" s="801" t="s">
        <v>4822</v>
      </c>
      <c r="G177" s="800">
        <v>31390</v>
      </c>
      <c r="H177" s="801" t="s">
        <v>4821</v>
      </c>
      <c r="I177" s="800" t="str">
        <f t="shared" si="8"/>
        <v>31390056000</v>
      </c>
      <c r="J177" s="800" t="str">
        <f t="shared" si="9"/>
        <v>西伯郡伯耆町吉長</v>
      </c>
    </row>
    <row r="178" spans="1:10">
      <c r="A178" s="800" t="s">
        <v>4820</v>
      </c>
      <c r="B178" s="801">
        <v>31201124004</v>
      </c>
      <c r="D178" s="800" t="s">
        <v>4745</v>
      </c>
      <c r="E178" s="800" t="s">
        <v>4819</v>
      </c>
      <c r="F178" s="801" t="s">
        <v>4818</v>
      </c>
      <c r="G178" s="800">
        <v>31401</v>
      </c>
      <c r="H178" s="801" t="s">
        <v>4817</v>
      </c>
      <c r="I178" s="800" t="str">
        <f t="shared" si="8"/>
        <v>31401001000</v>
      </c>
      <c r="J178" s="800" t="str">
        <f t="shared" si="9"/>
        <v>日野郡日南町阿毘縁</v>
      </c>
    </row>
    <row r="179" spans="1:10">
      <c r="A179" s="800" t="s">
        <v>4816</v>
      </c>
      <c r="B179" s="801">
        <v>31201124005</v>
      </c>
      <c r="D179" s="800" t="s">
        <v>4745</v>
      </c>
      <c r="E179" s="800" t="s">
        <v>4815</v>
      </c>
      <c r="F179" s="801" t="s">
        <v>4658</v>
      </c>
      <c r="G179" s="800">
        <v>31401</v>
      </c>
      <c r="H179" s="801" t="s">
        <v>4727</v>
      </c>
      <c r="I179" s="800" t="str">
        <f t="shared" si="8"/>
        <v>31401002000</v>
      </c>
      <c r="J179" s="800" t="str">
        <f t="shared" si="9"/>
        <v>日野郡日南町印賀</v>
      </c>
    </row>
    <row r="180" spans="1:10">
      <c r="A180" s="800" t="s">
        <v>4814</v>
      </c>
      <c r="B180" s="801">
        <v>31201125000</v>
      </c>
      <c r="D180" s="800" t="s">
        <v>4745</v>
      </c>
      <c r="E180" s="800" t="s">
        <v>4813</v>
      </c>
      <c r="F180" s="801" t="s">
        <v>4655</v>
      </c>
      <c r="G180" s="800">
        <v>31401</v>
      </c>
      <c r="H180" s="801" t="s">
        <v>4727</v>
      </c>
      <c r="I180" s="800" t="str">
        <f t="shared" si="8"/>
        <v>31401003000</v>
      </c>
      <c r="J180" s="800" t="str">
        <f t="shared" si="9"/>
        <v>日野郡日南町折渡</v>
      </c>
    </row>
    <row r="181" spans="1:10">
      <c r="A181" s="800" t="s">
        <v>4812</v>
      </c>
      <c r="B181" s="801">
        <v>31201126000</v>
      </c>
      <c r="D181" s="800" t="s">
        <v>4745</v>
      </c>
      <c r="E181" s="800" t="s">
        <v>4811</v>
      </c>
      <c r="F181" s="801" t="s">
        <v>4652</v>
      </c>
      <c r="G181" s="800">
        <v>31401</v>
      </c>
      <c r="H181" s="801" t="s">
        <v>4727</v>
      </c>
      <c r="I181" s="800" t="str">
        <f t="shared" si="8"/>
        <v>31401004000</v>
      </c>
      <c r="J181" s="800" t="str">
        <f t="shared" si="9"/>
        <v>日野郡日南町笠木</v>
      </c>
    </row>
    <row r="182" spans="1:10">
      <c r="A182" s="800" t="s">
        <v>4810</v>
      </c>
      <c r="B182" s="801">
        <v>31201127000</v>
      </c>
      <c r="D182" s="800" t="s">
        <v>4745</v>
      </c>
      <c r="E182" s="800" t="s">
        <v>4809</v>
      </c>
      <c r="F182" s="801" t="s">
        <v>4649</v>
      </c>
      <c r="G182" s="800">
        <v>31401</v>
      </c>
      <c r="H182" s="801" t="s">
        <v>4786</v>
      </c>
      <c r="I182" s="800" t="str">
        <f t="shared" si="8"/>
        <v>31401005000</v>
      </c>
      <c r="J182" s="800" t="str">
        <f t="shared" si="9"/>
        <v>日野郡日南町霞</v>
      </c>
    </row>
    <row r="183" spans="1:10">
      <c r="A183" s="800" t="s">
        <v>4808</v>
      </c>
      <c r="B183" s="801">
        <v>31201128000</v>
      </c>
      <c r="D183" s="800" t="s">
        <v>4745</v>
      </c>
      <c r="E183" s="800" t="s">
        <v>4807</v>
      </c>
      <c r="F183" s="801" t="s">
        <v>4646</v>
      </c>
      <c r="G183" s="800">
        <v>31401</v>
      </c>
      <c r="H183" s="801" t="s">
        <v>4786</v>
      </c>
      <c r="I183" s="800" t="str">
        <f t="shared" si="8"/>
        <v>31401006000</v>
      </c>
      <c r="J183" s="800" t="str">
        <f t="shared" si="9"/>
        <v>日野郡日南町神戸上</v>
      </c>
    </row>
    <row r="184" spans="1:10">
      <c r="A184" s="800" t="s">
        <v>4806</v>
      </c>
      <c r="B184" s="801">
        <v>31201129000</v>
      </c>
      <c r="D184" s="800" t="s">
        <v>4745</v>
      </c>
      <c r="E184" s="800" t="s">
        <v>4805</v>
      </c>
      <c r="F184" s="801" t="s">
        <v>4643</v>
      </c>
      <c r="G184" s="800">
        <v>31401</v>
      </c>
      <c r="H184" s="801" t="s">
        <v>4786</v>
      </c>
      <c r="I184" s="800" t="str">
        <f t="shared" si="8"/>
        <v>31401007000</v>
      </c>
      <c r="J184" s="800" t="str">
        <f t="shared" si="9"/>
        <v>日野郡日南町上石見</v>
      </c>
    </row>
    <row r="185" spans="1:10">
      <c r="A185" s="800" t="s">
        <v>4804</v>
      </c>
      <c r="B185" s="801">
        <v>31201130000</v>
      </c>
      <c r="D185" s="800" t="s">
        <v>4745</v>
      </c>
      <c r="E185" s="800" t="s">
        <v>4803</v>
      </c>
      <c r="F185" s="801" t="s">
        <v>4640</v>
      </c>
      <c r="G185" s="800">
        <v>31401</v>
      </c>
      <c r="H185" s="801" t="s">
        <v>4786</v>
      </c>
      <c r="I185" s="800" t="str">
        <f t="shared" si="8"/>
        <v>31401008000</v>
      </c>
      <c r="J185" s="800" t="str">
        <f t="shared" si="9"/>
        <v>日野郡日南町上萩山</v>
      </c>
    </row>
    <row r="186" spans="1:10">
      <c r="A186" s="800" t="s">
        <v>4802</v>
      </c>
      <c r="B186" s="801">
        <v>31201131000</v>
      </c>
      <c r="D186" s="800" t="s">
        <v>4745</v>
      </c>
      <c r="E186" s="800" t="s">
        <v>4801</v>
      </c>
      <c r="F186" s="801" t="s">
        <v>4637</v>
      </c>
      <c r="G186" s="800">
        <v>31401</v>
      </c>
      <c r="H186" s="801" t="s">
        <v>4786</v>
      </c>
      <c r="I186" s="800" t="str">
        <f t="shared" si="8"/>
        <v>31401009000</v>
      </c>
      <c r="J186" s="800" t="str">
        <f t="shared" si="9"/>
        <v>日野郡日南町神福</v>
      </c>
    </row>
    <row r="187" spans="1:10">
      <c r="A187" s="800" t="s">
        <v>4800</v>
      </c>
      <c r="B187" s="801">
        <v>31201132000</v>
      </c>
      <c r="D187" s="800" t="s">
        <v>4745</v>
      </c>
      <c r="E187" s="800" t="s">
        <v>4799</v>
      </c>
      <c r="F187" s="801" t="s">
        <v>4634</v>
      </c>
      <c r="G187" s="800">
        <v>31401</v>
      </c>
      <c r="H187" s="801" t="s">
        <v>4786</v>
      </c>
      <c r="I187" s="800" t="str">
        <f t="shared" si="8"/>
        <v>31401010000</v>
      </c>
      <c r="J187" s="800" t="str">
        <f t="shared" si="9"/>
        <v>日野郡日南町河上</v>
      </c>
    </row>
    <row r="188" spans="1:10">
      <c r="A188" s="800" t="s">
        <v>4798</v>
      </c>
      <c r="B188" s="801">
        <v>31201133000</v>
      </c>
      <c r="D188" s="800" t="s">
        <v>4745</v>
      </c>
      <c r="E188" s="800" t="s">
        <v>4797</v>
      </c>
      <c r="F188" s="801" t="s">
        <v>4631</v>
      </c>
      <c r="G188" s="800">
        <v>31401</v>
      </c>
      <c r="H188" s="801" t="s">
        <v>4786</v>
      </c>
      <c r="I188" s="800" t="str">
        <f t="shared" si="8"/>
        <v>31401011000</v>
      </c>
      <c r="J188" s="800" t="str">
        <f t="shared" si="9"/>
        <v>日野郡日南町佐木谷</v>
      </c>
    </row>
    <row r="189" spans="1:10">
      <c r="A189" s="800" t="s">
        <v>4796</v>
      </c>
      <c r="B189" s="801">
        <v>31201133001</v>
      </c>
      <c r="D189" s="800" t="s">
        <v>4745</v>
      </c>
      <c r="E189" s="800" t="s">
        <v>4795</v>
      </c>
      <c r="F189" s="801" t="s">
        <v>4628</v>
      </c>
      <c r="G189" s="800">
        <v>31401</v>
      </c>
      <c r="H189" s="801" t="s">
        <v>4786</v>
      </c>
      <c r="I189" s="800" t="str">
        <f t="shared" si="8"/>
        <v>31401012000</v>
      </c>
      <c r="J189" s="800" t="str">
        <f t="shared" si="9"/>
        <v>日野郡日南町下阿毘縁</v>
      </c>
    </row>
    <row r="190" spans="1:10">
      <c r="A190" s="800" t="s">
        <v>4794</v>
      </c>
      <c r="B190" s="801">
        <v>31201133002</v>
      </c>
      <c r="D190" s="800" t="s">
        <v>4745</v>
      </c>
      <c r="E190" s="800" t="s">
        <v>4793</v>
      </c>
      <c r="F190" s="801" t="s">
        <v>4625</v>
      </c>
      <c r="G190" s="800">
        <v>31401</v>
      </c>
      <c r="H190" s="801" t="s">
        <v>4786</v>
      </c>
      <c r="I190" s="800" t="str">
        <f t="shared" si="8"/>
        <v>31401013000</v>
      </c>
      <c r="J190" s="800" t="str">
        <f t="shared" si="9"/>
        <v>日野郡日南町下石見</v>
      </c>
    </row>
    <row r="191" spans="1:10">
      <c r="A191" s="800" t="s">
        <v>4792</v>
      </c>
      <c r="B191" s="801">
        <v>31201133003</v>
      </c>
      <c r="D191" s="800" t="s">
        <v>4745</v>
      </c>
      <c r="E191" s="800" t="s">
        <v>4791</v>
      </c>
      <c r="F191" s="801" t="s">
        <v>4622</v>
      </c>
      <c r="G191" s="800">
        <v>31401</v>
      </c>
      <c r="H191" s="801" t="s">
        <v>4786</v>
      </c>
      <c r="I191" s="800" t="str">
        <f t="shared" si="8"/>
        <v>31401014000</v>
      </c>
      <c r="J191" s="800" t="str">
        <f t="shared" si="9"/>
        <v>日野郡日南町生山</v>
      </c>
    </row>
    <row r="192" spans="1:10">
      <c r="A192" s="800" t="s">
        <v>4790</v>
      </c>
      <c r="B192" s="801">
        <v>31201133004</v>
      </c>
      <c r="D192" s="800" t="s">
        <v>4745</v>
      </c>
      <c r="E192" s="800" t="s">
        <v>4789</v>
      </c>
      <c r="F192" s="801" t="s">
        <v>4619</v>
      </c>
      <c r="G192" s="800">
        <v>31401</v>
      </c>
      <c r="H192" s="801" t="s">
        <v>4786</v>
      </c>
      <c r="I192" s="800" t="str">
        <f t="shared" si="8"/>
        <v>31401015000</v>
      </c>
      <c r="J192" s="800" t="str">
        <f t="shared" si="9"/>
        <v>日野郡日南町菅沢</v>
      </c>
    </row>
    <row r="193" spans="1:10">
      <c r="A193" s="800" t="s">
        <v>4788</v>
      </c>
      <c r="B193" s="801">
        <v>31201133005</v>
      </c>
      <c r="D193" s="800" t="s">
        <v>4745</v>
      </c>
      <c r="E193" s="800" t="s">
        <v>4787</v>
      </c>
      <c r="F193" s="801" t="s">
        <v>4616</v>
      </c>
      <c r="G193" s="800">
        <v>31401</v>
      </c>
      <c r="H193" s="801" t="s">
        <v>4786</v>
      </c>
      <c r="I193" s="800" t="str">
        <f t="shared" si="8"/>
        <v>31401016000</v>
      </c>
      <c r="J193" s="800" t="str">
        <f t="shared" si="9"/>
        <v>日野郡日南町宝谷</v>
      </c>
    </row>
    <row r="194" spans="1:10">
      <c r="A194" s="800" t="s">
        <v>4785</v>
      </c>
      <c r="B194" s="801">
        <v>31201133006</v>
      </c>
      <c r="D194" s="800" t="s">
        <v>4745</v>
      </c>
      <c r="E194" s="800" t="s">
        <v>4784</v>
      </c>
      <c r="F194" s="801" t="s">
        <v>4613</v>
      </c>
      <c r="G194" s="800">
        <v>31401</v>
      </c>
      <c r="H194" s="801" t="s">
        <v>4783</v>
      </c>
      <c r="I194" s="800" t="str">
        <f t="shared" si="8"/>
        <v>31401017000</v>
      </c>
      <c r="J194" s="800" t="str">
        <f t="shared" si="9"/>
        <v>日野郡日南町多里</v>
      </c>
    </row>
    <row r="195" spans="1:10">
      <c r="A195" s="800" t="s">
        <v>4782</v>
      </c>
      <c r="B195" s="801">
        <v>31201133007</v>
      </c>
      <c r="D195" s="800" t="s">
        <v>4745</v>
      </c>
      <c r="E195" s="800" t="s">
        <v>4781</v>
      </c>
      <c r="F195" s="801" t="s">
        <v>4609</v>
      </c>
      <c r="G195" s="800">
        <v>31401</v>
      </c>
      <c r="H195" s="801" t="s">
        <v>4776</v>
      </c>
      <c r="I195" s="800" t="str">
        <f t="shared" si="8"/>
        <v>31401018000</v>
      </c>
      <c r="J195" s="800" t="str">
        <f t="shared" si="9"/>
        <v>日野郡日南町茶屋</v>
      </c>
    </row>
    <row r="196" spans="1:10">
      <c r="A196" s="800" t="s">
        <v>4780</v>
      </c>
      <c r="B196" s="801">
        <v>31201133008</v>
      </c>
      <c r="D196" s="800" t="s">
        <v>4745</v>
      </c>
      <c r="E196" s="800" t="s">
        <v>4779</v>
      </c>
      <c r="F196" s="801" t="s">
        <v>4697</v>
      </c>
      <c r="G196" s="800">
        <v>31401</v>
      </c>
      <c r="H196" s="801" t="s">
        <v>4776</v>
      </c>
      <c r="I196" s="800" t="str">
        <f t="shared" si="8"/>
        <v>31401019000</v>
      </c>
      <c r="J196" s="800" t="str">
        <f t="shared" si="9"/>
        <v>日野郡日南町豊栄</v>
      </c>
    </row>
    <row r="197" spans="1:10">
      <c r="A197" s="800" t="s">
        <v>4778</v>
      </c>
      <c r="B197" s="801">
        <v>31201134000</v>
      </c>
      <c r="D197" s="800" t="s">
        <v>4745</v>
      </c>
      <c r="E197" s="800" t="s">
        <v>4777</v>
      </c>
      <c r="F197" s="801" t="s">
        <v>4693</v>
      </c>
      <c r="G197" s="800">
        <v>31401</v>
      </c>
      <c r="H197" s="801" t="s">
        <v>4776</v>
      </c>
      <c r="I197" s="800" t="str">
        <f t="shared" si="8"/>
        <v>31401020000</v>
      </c>
      <c r="J197" s="800" t="str">
        <f t="shared" si="9"/>
        <v>日野郡日南町中石見</v>
      </c>
    </row>
    <row r="198" spans="1:10">
      <c r="A198" s="800" t="s">
        <v>4775</v>
      </c>
      <c r="B198" s="801">
        <v>31201135000</v>
      </c>
      <c r="D198" s="800" t="s">
        <v>4745</v>
      </c>
      <c r="E198" s="800" t="s">
        <v>4774</v>
      </c>
      <c r="F198" s="801" t="s">
        <v>4689</v>
      </c>
      <c r="G198" s="800">
        <v>31401</v>
      </c>
      <c r="H198" s="801" t="s">
        <v>4755</v>
      </c>
      <c r="I198" s="800" t="str">
        <f t="shared" si="8"/>
        <v>31401021000</v>
      </c>
      <c r="J198" s="800" t="str">
        <f t="shared" si="9"/>
        <v>日野郡日南町新屋</v>
      </c>
    </row>
    <row r="199" spans="1:10">
      <c r="A199" s="800" t="s">
        <v>4773</v>
      </c>
      <c r="B199" s="801">
        <v>31201136000</v>
      </c>
      <c r="D199" s="800" t="s">
        <v>4745</v>
      </c>
      <c r="E199" s="800" t="s">
        <v>4772</v>
      </c>
      <c r="F199" s="801" t="s">
        <v>4685</v>
      </c>
      <c r="G199" s="800">
        <v>31401</v>
      </c>
      <c r="H199" s="801" t="s">
        <v>4755</v>
      </c>
      <c r="I199" s="800" t="str">
        <f t="shared" si="8"/>
        <v>31401022000</v>
      </c>
      <c r="J199" s="800" t="str">
        <f t="shared" si="9"/>
        <v>日野郡日南町萩原</v>
      </c>
    </row>
    <row r="200" spans="1:10">
      <c r="A200" s="800" t="s">
        <v>4771</v>
      </c>
      <c r="B200" s="801">
        <v>31201137000</v>
      </c>
      <c r="D200" s="800" t="s">
        <v>4745</v>
      </c>
      <c r="E200" s="800" t="s">
        <v>4770</v>
      </c>
      <c r="F200" s="801" t="s">
        <v>4682</v>
      </c>
      <c r="G200" s="800">
        <v>31401</v>
      </c>
      <c r="H200" s="801" t="s">
        <v>4755</v>
      </c>
      <c r="I200" s="800" t="str">
        <f t="shared" ref="I200:I231" si="10">G200&amp;F200&amp;H200</f>
        <v>31401023000</v>
      </c>
      <c r="J200" s="800" t="str">
        <f t="shared" ref="J200:J231" si="11">D200&amp;E200</f>
        <v>日野郡日南町花口</v>
      </c>
    </row>
    <row r="201" spans="1:10">
      <c r="A201" s="800" t="s">
        <v>4769</v>
      </c>
      <c r="B201" s="801">
        <v>31201138000</v>
      </c>
      <c r="D201" s="800" t="s">
        <v>4745</v>
      </c>
      <c r="E201" s="800" t="s">
        <v>4768</v>
      </c>
      <c r="F201" s="801" t="s">
        <v>4678</v>
      </c>
      <c r="G201" s="800">
        <v>31401</v>
      </c>
      <c r="H201" s="801" t="s">
        <v>4755</v>
      </c>
      <c r="I201" s="800" t="str">
        <f t="shared" si="10"/>
        <v>31401024000</v>
      </c>
      <c r="J201" s="800" t="str">
        <f t="shared" si="11"/>
        <v>日野郡日南町福寿実</v>
      </c>
    </row>
    <row r="202" spans="1:10">
      <c r="A202" s="800" t="s">
        <v>4767</v>
      </c>
      <c r="B202" s="801">
        <v>31201139001</v>
      </c>
      <c r="D202" s="800" t="s">
        <v>4745</v>
      </c>
      <c r="E202" s="800" t="s">
        <v>4766</v>
      </c>
      <c r="F202" s="801" t="s">
        <v>4674</v>
      </c>
      <c r="G202" s="800">
        <v>31401</v>
      </c>
      <c r="H202" s="801" t="s">
        <v>4755</v>
      </c>
      <c r="I202" s="800" t="str">
        <f t="shared" si="10"/>
        <v>31401025000</v>
      </c>
      <c r="J202" s="800" t="str">
        <f t="shared" si="11"/>
        <v>日野郡日南町福塚</v>
      </c>
    </row>
    <row r="203" spans="1:10">
      <c r="A203" s="800" t="s">
        <v>4765</v>
      </c>
      <c r="B203" s="801">
        <v>31201139002</v>
      </c>
      <c r="D203" s="800" t="s">
        <v>4745</v>
      </c>
      <c r="E203" s="800" t="s">
        <v>4764</v>
      </c>
      <c r="F203" s="801" t="s">
        <v>4670</v>
      </c>
      <c r="G203" s="800">
        <v>31401</v>
      </c>
      <c r="H203" s="801" t="s">
        <v>4755</v>
      </c>
      <c r="I203" s="800" t="str">
        <f t="shared" si="10"/>
        <v>31401026000</v>
      </c>
      <c r="J203" s="800" t="str">
        <f t="shared" si="11"/>
        <v>日野郡日南町福万来</v>
      </c>
    </row>
    <row r="204" spans="1:10">
      <c r="A204" s="800" t="s">
        <v>4763</v>
      </c>
      <c r="B204" s="801">
        <v>31201139003</v>
      </c>
      <c r="D204" s="800" t="s">
        <v>4745</v>
      </c>
      <c r="E204" s="800" t="s">
        <v>4762</v>
      </c>
      <c r="F204" s="801" t="s">
        <v>4665</v>
      </c>
      <c r="G204" s="800">
        <v>31401</v>
      </c>
      <c r="H204" s="801" t="s">
        <v>4755</v>
      </c>
      <c r="I204" s="800" t="str">
        <f t="shared" si="10"/>
        <v>31401027000</v>
      </c>
      <c r="J204" s="800" t="str">
        <f t="shared" si="11"/>
        <v>日野郡日南町丸山</v>
      </c>
    </row>
    <row r="205" spans="1:10">
      <c r="A205" s="800" t="s">
        <v>4761</v>
      </c>
      <c r="B205" s="801">
        <v>31201140000</v>
      </c>
      <c r="D205" s="800" t="s">
        <v>4745</v>
      </c>
      <c r="E205" s="800" t="s">
        <v>4760</v>
      </c>
      <c r="F205" s="801" t="s">
        <v>4759</v>
      </c>
      <c r="G205" s="800">
        <v>31401</v>
      </c>
      <c r="H205" s="801" t="s">
        <v>4755</v>
      </c>
      <c r="I205" s="800" t="str">
        <f t="shared" si="10"/>
        <v>31401028000</v>
      </c>
      <c r="J205" s="800" t="str">
        <f t="shared" si="11"/>
        <v>日野郡日南町三栄</v>
      </c>
    </row>
    <row r="206" spans="1:10">
      <c r="A206" s="800" t="s">
        <v>4758</v>
      </c>
      <c r="B206" s="801">
        <v>31201141000</v>
      </c>
      <c r="D206" s="800" t="s">
        <v>4745</v>
      </c>
      <c r="E206" s="800" t="s">
        <v>4757</v>
      </c>
      <c r="F206" s="801" t="s">
        <v>4756</v>
      </c>
      <c r="G206" s="800">
        <v>31401</v>
      </c>
      <c r="H206" s="801" t="s">
        <v>4755</v>
      </c>
      <c r="I206" s="800" t="str">
        <f t="shared" si="10"/>
        <v>31401029000</v>
      </c>
      <c r="J206" s="800" t="str">
        <f t="shared" si="11"/>
        <v>日野郡日南町宮内</v>
      </c>
    </row>
    <row r="207" spans="1:10">
      <c r="A207" s="800" t="s">
        <v>4754</v>
      </c>
      <c r="B207" s="801">
        <v>31201142000</v>
      </c>
      <c r="D207" s="800" t="s">
        <v>4745</v>
      </c>
      <c r="E207" s="800" t="s">
        <v>4753</v>
      </c>
      <c r="F207" s="801" t="s">
        <v>4752</v>
      </c>
      <c r="G207" s="800">
        <v>31401</v>
      </c>
      <c r="H207" s="801" t="s">
        <v>4751</v>
      </c>
      <c r="I207" s="800" t="str">
        <f t="shared" si="10"/>
        <v>31401030000</v>
      </c>
      <c r="J207" s="800" t="str">
        <f t="shared" si="11"/>
        <v>日野郡日南町三吉</v>
      </c>
    </row>
    <row r="208" spans="1:10">
      <c r="A208" s="800" t="s">
        <v>4750</v>
      </c>
      <c r="B208" s="801">
        <v>31201143000</v>
      </c>
      <c r="D208" s="800" t="s">
        <v>4745</v>
      </c>
      <c r="E208" s="800" t="s">
        <v>4749</v>
      </c>
      <c r="F208" s="801" t="s">
        <v>4748</v>
      </c>
      <c r="G208" s="800">
        <v>31401</v>
      </c>
      <c r="H208" s="801" t="s">
        <v>4747</v>
      </c>
      <c r="I208" s="800" t="str">
        <f t="shared" si="10"/>
        <v>31401031000</v>
      </c>
      <c r="J208" s="800" t="str">
        <f t="shared" si="11"/>
        <v>日野郡日南町矢戸</v>
      </c>
    </row>
    <row r="209" spans="1:10">
      <c r="A209" s="800" t="s">
        <v>4746</v>
      </c>
      <c r="B209" s="801">
        <v>31201144000</v>
      </c>
      <c r="D209" s="800" t="s">
        <v>4745</v>
      </c>
      <c r="E209" s="800" t="s">
        <v>4744</v>
      </c>
      <c r="F209" s="801" t="s">
        <v>4743</v>
      </c>
      <c r="G209" s="800">
        <v>31401</v>
      </c>
      <c r="H209" s="801" t="s">
        <v>4727</v>
      </c>
      <c r="I209" s="800" t="str">
        <f t="shared" si="10"/>
        <v>31401032000</v>
      </c>
      <c r="J209" s="800" t="str">
        <f t="shared" si="11"/>
        <v>日野郡日南町湯河</v>
      </c>
    </row>
    <row r="210" spans="1:10">
      <c r="A210" s="800" t="s">
        <v>4742</v>
      </c>
      <c r="B210" s="801">
        <v>31201145000</v>
      </c>
      <c r="D210" s="800" t="s">
        <v>4667</v>
      </c>
      <c r="E210" s="800" t="s">
        <v>4741</v>
      </c>
      <c r="F210" s="801" t="s">
        <v>4740</v>
      </c>
      <c r="G210" s="800">
        <v>31402</v>
      </c>
      <c r="H210" s="801" t="s">
        <v>4727</v>
      </c>
      <c r="I210" s="800" t="str">
        <f t="shared" si="10"/>
        <v>31402001000</v>
      </c>
      <c r="J210" s="800" t="str">
        <f t="shared" si="11"/>
        <v>日野郡日野町秋縄</v>
      </c>
    </row>
    <row r="211" spans="1:10">
      <c r="A211" s="800" t="s">
        <v>4739</v>
      </c>
      <c r="B211" s="801">
        <v>31201146000</v>
      </c>
      <c r="D211" s="800" t="s">
        <v>4667</v>
      </c>
      <c r="E211" s="800" t="s">
        <v>4738</v>
      </c>
      <c r="F211" s="801" t="s">
        <v>4658</v>
      </c>
      <c r="G211" s="800">
        <v>31402</v>
      </c>
      <c r="H211" s="801" t="s">
        <v>4727</v>
      </c>
      <c r="I211" s="800" t="str">
        <f t="shared" si="10"/>
        <v>31402002000</v>
      </c>
      <c r="J211" s="800" t="str">
        <f t="shared" si="11"/>
        <v>日野郡日野町板井原</v>
      </c>
    </row>
    <row r="212" spans="1:10">
      <c r="A212" s="800" t="s">
        <v>4737</v>
      </c>
      <c r="B212" s="801">
        <v>31201147000</v>
      </c>
      <c r="D212" s="800" t="s">
        <v>4667</v>
      </c>
      <c r="E212" s="800" t="s">
        <v>4736</v>
      </c>
      <c r="F212" s="801" t="s">
        <v>4655</v>
      </c>
      <c r="G212" s="800">
        <v>31402</v>
      </c>
      <c r="H212" s="801" t="s">
        <v>4727</v>
      </c>
      <c r="I212" s="800" t="str">
        <f t="shared" si="10"/>
        <v>31402003000</v>
      </c>
      <c r="J212" s="800" t="str">
        <f t="shared" si="11"/>
        <v>日野郡日野町榎市</v>
      </c>
    </row>
    <row r="213" spans="1:10">
      <c r="A213" s="800" t="s">
        <v>4735</v>
      </c>
      <c r="B213" s="801">
        <v>31201148000</v>
      </c>
      <c r="D213" s="800" t="s">
        <v>4667</v>
      </c>
      <c r="E213" s="800" t="s">
        <v>4734</v>
      </c>
      <c r="F213" s="801" t="s">
        <v>4652</v>
      </c>
      <c r="G213" s="800">
        <v>31402</v>
      </c>
      <c r="H213" s="801" t="s">
        <v>4727</v>
      </c>
      <c r="I213" s="800" t="str">
        <f t="shared" si="10"/>
        <v>31402004000</v>
      </c>
      <c r="J213" s="800" t="str">
        <f t="shared" si="11"/>
        <v>日野郡日野町小河内</v>
      </c>
    </row>
    <row r="214" spans="1:10">
      <c r="A214" s="800" t="s">
        <v>4733</v>
      </c>
      <c r="B214" s="801">
        <v>31201149000</v>
      </c>
      <c r="D214" s="800" t="s">
        <v>4667</v>
      </c>
      <c r="E214" s="800" t="s">
        <v>4732</v>
      </c>
      <c r="F214" s="801" t="s">
        <v>4649</v>
      </c>
      <c r="G214" s="800">
        <v>31402</v>
      </c>
      <c r="H214" s="801" t="s">
        <v>4727</v>
      </c>
      <c r="I214" s="800" t="str">
        <f t="shared" si="10"/>
        <v>31402005000</v>
      </c>
      <c r="J214" s="800" t="str">
        <f t="shared" si="11"/>
        <v>日野郡日野町貝原</v>
      </c>
    </row>
    <row r="215" spans="1:10">
      <c r="A215" s="800" t="s">
        <v>4731</v>
      </c>
      <c r="B215" s="801">
        <v>31201150000</v>
      </c>
      <c r="D215" s="800" t="s">
        <v>4667</v>
      </c>
      <c r="E215" s="800" t="s">
        <v>4730</v>
      </c>
      <c r="F215" s="801" t="s">
        <v>4646</v>
      </c>
      <c r="G215" s="800">
        <v>31402</v>
      </c>
      <c r="H215" s="801" t="s">
        <v>4727</v>
      </c>
      <c r="I215" s="800" t="str">
        <f t="shared" si="10"/>
        <v>31402006000</v>
      </c>
      <c r="J215" s="800" t="str">
        <f t="shared" si="11"/>
        <v>日野郡日野町門谷</v>
      </c>
    </row>
    <row r="216" spans="1:10">
      <c r="A216" s="800" t="s">
        <v>4729</v>
      </c>
      <c r="B216" s="801">
        <v>31201151001</v>
      </c>
      <c r="D216" s="800" t="s">
        <v>4667</v>
      </c>
      <c r="E216" s="800" t="s">
        <v>4728</v>
      </c>
      <c r="F216" s="801" t="s">
        <v>4643</v>
      </c>
      <c r="G216" s="800">
        <v>31402</v>
      </c>
      <c r="H216" s="801" t="s">
        <v>4727</v>
      </c>
      <c r="I216" s="800" t="str">
        <f t="shared" si="10"/>
        <v>31402007000</v>
      </c>
      <c r="J216" s="800" t="str">
        <f t="shared" si="11"/>
        <v>日野郡日野町上菅</v>
      </c>
    </row>
    <row r="217" spans="1:10">
      <c r="A217" s="800" t="s">
        <v>4726</v>
      </c>
      <c r="B217" s="801">
        <v>31201151002</v>
      </c>
      <c r="D217" s="800" t="s">
        <v>4667</v>
      </c>
      <c r="E217" s="800" t="s">
        <v>4725</v>
      </c>
      <c r="F217" s="801" t="s">
        <v>4640</v>
      </c>
      <c r="G217" s="800">
        <v>31402</v>
      </c>
      <c r="H217" s="801" t="s">
        <v>4724</v>
      </c>
      <c r="I217" s="800" t="str">
        <f t="shared" si="10"/>
        <v>31402008000</v>
      </c>
      <c r="J217" s="800" t="str">
        <f t="shared" si="11"/>
        <v>日野郡日野町金持</v>
      </c>
    </row>
    <row r="218" spans="1:10">
      <c r="A218" s="800" t="s">
        <v>4723</v>
      </c>
      <c r="B218" s="801">
        <v>31201151003</v>
      </c>
      <c r="D218" s="800" t="s">
        <v>4667</v>
      </c>
      <c r="E218" s="800" t="s">
        <v>4722</v>
      </c>
      <c r="F218" s="801" t="s">
        <v>4637</v>
      </c>
      <c r="G218" s="800">
        <v>31402</v>
      </c>
      <c r="H218" s="801" t="s">
        <v>4717</v>
      </c>
      <c r="I218" s="800" t="str">
        <f t="shared" si="10"/>
        <v>31402009000</v>
      </c>
      <c r="J218" s="800" t="str">
        <f t="shared" si="11"/>
        <v>日野郡日野町久住</v>
      </c>
    </row>
    <row r="219" spans="1:10">
      <c r="A219" s="800" t="s">
        <v>4721</v>
      </c>
      <c r="B219" s="801">
        <v>31201151004</v>
      </c>
      <c r="D219" s="800" t="s">
        <v>4667</v>
      </c>
      <c r="E219" s="800" t="s">
        <v>4720</v>
      </c>
      <c r="F219" s="801" t="s">
        <v>4634</v>
      </c>
      <c r="G219" s="800">
        <v>31402</v>
      </c>
      <c r="H219" s="801" t="s">
        <v>4717</v>
      </c>
      <c r="I219" s="800" t="str">
        <f t="shared" si="10"/>
        <v>31402010000</v>
      </c>
      <c r="J219" s="800" t="str">
        <f t="shared" si="11"/>
        <v>日野郡日野町黒坂</v>
      </c>
    </row>
    <row r="220" spans="1:10">
      <c r="A220" s="800" t="s">
        <v>4719</v>
      </c>
      <c r="B220" s="801">
        <v>31201151005</v>
      </c>
      <c r="D220" s="800" t="s">
        <v>4667</v>
      </c>
      <c r="E220" s="800" t="s">
        <v>4718</v>
      </c>
      <c r="F220" s="801" t="s">
        <v>4631</v>
      </c>
      <c r="G220" s="800">
        <v>31402</v>
      </c>
      <c r="H220" s="801" t="s">
        <v>4717</v>
      </c>
      <c r="I220" s="800" t="str">
        <f t="shared" si="10"/>
        <v>31402011000</v>
      </c>
      <c r="J220" s="800" t="str">
        <f t="shared" si="11"/>
        <v>日野郡日野町高尾</v>
      </c>
    </row>
    <row r="221" spans="1:10">
      <c r="A221" s="800" t="s">
        <v>4716</v>
      </c>
      <c r="B221" s="801">
        <v>31201152000</v>
      </c>
      <c r="D221" s="800" t="s">
        <v>4667</v>
      </c>
      <c r="E221" s="800" t="s">
        <v>4715</v>
      </c>
      <c r="F221" s="801" t="s">
        <v>4628</v>
      </c>
      <c r="G221" s="800">
        <v>31402</v>
      </c>
      <c r="H221" s="801" t="s">
        <v>4664</v>
      </c>
      <c r="I221" s="800" t="str">
        <f t="shared" si="10"/>
        <v>31402012000</v>
      </c>
      <c r="J221" s="800" t="str">
        <f t="shared" si="11"/>
        <v>日野郡日野町小原</v>
      </c>
    </row>
    <row r="222" spans="1:10">
      <c r="A222" s="800" t="s">
        <v>4714</v>
      </c>
      <c r="B222" s="801">
        <v>31201152001</v>
      </c>
      <c r="D222" s="800" t="s">
        <v>4667</v>
      </c>
      <c r="E222" s="800" t="s">
        <v>4713</v>
      </c>
      <c r="F222" s="801" t="s">
        <v>4625</v>
      </c>
      <c r="G222" s="800">
        <v>31402</v>
      </c>
      <c r="H222" s="801" t="s">
        <v>4664</v>
      </c>
      <c r="I222" s="800" t="str">
        <f t="shared" si="10"/>
        <v>31402013000</v>
      </c>
      <c r="J222" s="800" t="str">
        <f t="shared" si="11"/>
        <v>日野郡日野町下榎</v>
      </c>
    </row>
    <row r="223" spans="1:10">
      <c r="A223" s="800" t="s">
        <v>4712</v>
      </c>
      <c r="B223" s="801">
        <v>31201152002</v>
      </c>
      <c r="D223" s="800" t="s">
        <v>4667</v>
      </c>
      <c r="E223" s="800" t="s">
        <v>4711</v>
      </c>
      <c r="F223" s="801" t="s">
        <v>4622</v>
      </c>
      <c r="G223" s="800">
        <v>31402</v>
      </c>
      <c r="H223" s="801" t="s">
        <v>4710</v>
      </c>
      <c r="I223" s="800" t="str">
        <f t="shared" si="10"/>
        <v>31402014000</v>
      </c>
      <c r="J223" s="800" t="str">
        <f t="shared" si="11"/>
        <v>日野郡日野町下黒坂</v>
      </c>
    </row>
    <row r="224" spans="1:10">
      <c r="A224" s="800" t="s">
        <v>4709</v>
      </c>
      <c r="B224" s="801">
        <v>31201152003</v>
      </c>
      <c r="D224" s="800" t="s">
        <v>4667</v>
      </c>
      <c r="E224" s="800" t="s">
        <v>4708</v>
      </c>
      <c r="F224" s="801" t="s">
        <v>4619</v>
      </c>
      <c r="G224" s="800">
        <v>31402</v>
      </c>
      <c r="H224" s="801" t="s">
        <v>4669</v>
      </c>
      <c r="I224" s="800" t="str">
        <f t="shared" si="10"/>
        <v>31402015000</v>
      </c>
      <c r="J224" s="800" t="str">
        <f t="shared" si="11"/>
        <v>日野郡日野町下菅</v>
      </c>
    </row>
    <row r="225" spans="1:10">
      <c r="A225" s="800" t="s">
        <v>4707</v>
      </c>
      <c r="B225" s="801">
        <v>31201152004</v>
      </c>
      <c r="D225" s="800" t="s">
        <v>4667</v>
      </c>
      <c r="E225" s="800" t="s">
        <v>4706</v>
      </c>
      <c r="F225" s="801" t="s">
        <v>4616</v>
      </c>
      <c r="G225" s="800">
        <v>31402</v>
      </c>
      <c r="H225" s="801" t="s">
        <v>4677</v>
      </c>
      <c r="I225" s="800" t="str">
        <f t="shared" si="10"/>
        <v>31402016000</v>
      </c>
      <c r="J225" s="800" t="str">
        <f t="shared" si="11"/>
        <v>日野郡日野町津地</v>
      </c>
    </row>
    <row r="226" spans="1:10">
      <c r="A226" s="800" t="s">
        <v>4705</v>
      </c>
      <c r="B226" s="801">
        <v>31201152005</v>
      </c>
      <c r="D226" s="800" t="s">
        <v>4667</v>
      </c>
      <c r="E226" s="800" t="s">
        <v>4704</v>
      </c>
      <c r="F226" s="801" t="s">
        <v>4613</v>
      </c>
      <c r="G226" s="800">
        <v>31402</v>
      </c>
      <c r="H226" s="801" t="s">
        <v>4703</v>
      </c>
      <c r="I226" s="800" t="str">
        <f t="shared" si="10"/>
        <v>31402017000</v>
      </c>
      <c r="J226" s="800" t="str">
        <f t="shared" si="11"/>
        <v>日野郡日野町中菅</v>
      </c>
    </row>
    <row r="227" spans="1:10">
      <c r="A227" s="800" t="s">
        <v>4702</v>
      </c>
      <c r="B227" s="801">
        <v>31201153000</v>
      </c>
      <c r="D227" s="800" t="s">
        <v>4667</v>
      </c>
      <c r="E227" s="800" t="s">
        <v>4701</v>
      </c>
      <c r="F227" s="801" t="s">
        <v>4609</v>
      </c>
      <c r="G227" s="800">
        <v>31402</v>
      </c>
      <c r="H227" s="801" t="s">
        <v>4700</v>
      </c>
      <c r="I227" s="800" t="str">
        <f t="shared" si="10"/>
        <v>31402018000</v>
      </c>
      <c r="J227" s="800" t="str">
        <f t="shared" si="11"/>
        <v>日野郡日野町濁谷</v>
      </c>
    </row>
    <row r="228" spans="1:10">
      <c r="A228" s="800" t="s">
        <v>4699</v>
      </c>
      <c r="B228" s="801">
        <v>31201154000</v>
      </c>
      <c r="D228" s="800" t="s">
        <v>4667</v>
      </c>
      <c r="E228" s="800" t="s">
        <v>4698</v>
      </c>
      <c r="F228" s="801" t="s">
        <v>4697</v>
      </c>
      <c r="G228" s="800">
        <v>31402</v>
      </c>
      <c r="H228" s="801" t="s">
        <v>4696</v>
      </c>
      <c r="I228" s="800" t="str">
        <f t="shared" si="10"/>
        <v>31402019000</v>
      </c>
      <c r="J228" s="800" t="str">
        <f t="shared" si="11"/>
        <v>日野郡日野町根雨</v>
      </c>
    </row>
    <row r="229" spans="1:10">
      <c r="A229" s="800" t="s">
        <v>4695</v>
      </c>
      <c r="B229" s="801">
        <v>31201155001</v>
      </c>
      <c r="D229" s="800" t="s">
        <v>4667</v>
      </c>
      <c r="E229" s="800" t="s">
        <v>4694</v>
      </c>
      <c r="F229" s="801" t="s">
        <v>4693</v>
      </c>
      <c r="G229" s="800">
        <v>31402</v>
      </c>
      <c r="H229" s="801" t="s">
        <v>4692</v>
      </c>
      <c r="I229" s="800" t="str">
        <f t="shared" si="10"/>
        <v>31402020000</v>
      </c>
      <c r="J229" s="800" t="str">
        <f t="shared" si="11"/>
        <v>日野郡日野町野田</v>
      </c>
    </row>
    <row r="230" spans="1:10">
      <c r="A230" s="800" t="s">
        <v>4691</v>
      </c>
      <c r="B230" s="801">
        <v>31201155002</v>
      </c>
      <c r="D230" s="800" t="s">
        <v>4667</v>
      </c>
      <c r="E230" s="800" t="s">
        <v>4690</v>
      </c>
      <c r="F230" s="801" t="s">
        <v>4689</v>
      </c>
      <c r="G230" s="800">
        <v>31402</v>
      </c>
      <c r="H230" s="801" t="s">
        <v>4688</v>
      </c>
      <c r="I230" s="800" t="str">
        <f t="shared" si="10"/>
        <v>31402021000</v>
      </c>
      <c r="J230" s="800" t="str">
        <f t="shared" si="11"/>
        <v>日野郡日野町福長</v>
      </c>
    </row>
    <row r="231" spans="1:10">
      <c r="A231" s="800" t="s">
        <v>4687</v>
      </c>
      <c r="B231" s="801">
        <v>31201155003</v>
      </c>
      <c r="D231" s="800" t="s">
        <v>4667</v>
      </c>
      <c r="E231" s="800" t="s">
        <v>4686</v>
      </c>
      <c r="F231" s="801" t="s">
        <v>4685</v>
      </c>
      <c r="G231" s="800">
        <v>31402</v>
      </c>
      <c r="H231" s="801" t="s">
        <v>4669</v>
      </c>
      <c r="I231" s="800" t="str">
        <f t="shared" si="10"/>
        <v>31402022000</v>
      </c>
      <c r="J231" s="800" t="str">
        <f t="shared" si="11"/>
        <v>日野郡日野町舟場</v>
      </c>
    </row>
    <row r="232" spans="1:10">
      <c r="A232" s="800" t="s">
        <v>4684</v>
      </c>
      <c r="B232" s="801">
        <v>31201156000</v>
      </c>
      <c r="D232" s="800" t="s">
        <v>4667</v>
      </c>
      <c r="E232" s="800" t="s">
        <v>4683</v>
      </c>
      <c r="F232" s="801" t="s">
        <v>4682</v>
      </c>
      <c r="G232" s="800">
        <v>31402</v>
      </c>
      <c r="H232" s="801" t="s">
        <v>4681</v>
      </c>
      <c r="I232" s="800" t="str">
        <f t="shared" ref="I232:I254" si="12">G232&amp;F232&amp;H232</f>
        <v>31402023000</v>
      </c>
      <c r="J232" s="800" t="str">
        <f t="shared" ref="J232:J254" si="13">D232&amp;E232</f>
        <v>日野郡日野町別所</v>
      </c>
    </row>
    <row r="233" spans="1:10">
      <c r="A233" s="800" t="s">
        <v>4680</v>
      </c>
      <c r="B233" s="801">
        <v>31201157000</v>
      </c>
      <c r="D233" s="800" t="s">
        <v>4667</v>
      </c>
      <c r="E233" s="800" t="s">
        <v>4679</v>
      </c>
      <c r="F233" s="801" t="s">
        <v>4678</v>
      </c>
      <c r="G233" s="800">
        <v>31402</v>
      </c>
      <c r="H233" s="801" t="s">
        <v>4677</v>
      </c>
      <c r="I233" s="800" t="str">
        <f t="shared" si="12"/>
        <v>31402024000</v>
      </c>
      <c r="J233" s="800" t="str">
        <f t="shared" si="13"/>
        <v>日野郡日野町本郷</v>
      </c>
    </row>
    <row r="234" spans="1:10">
      <c r="A234" s="800" t="s">
        <v>4676</v>
      </c>
      <c r="B234" s="801">
        <v>31201157001</v>
      </c>
      <c r="D234" s="800" t="s">
        <v>4667</v>
      </c>
      <c r="E234" s="800" t="s">
        <v>4675</v>
      </c>
      <c r="F234" s="801" t="s">
        <v>4674</v>
      </c>
      <c r="G234" s="800">
        <v>31402</v>
      </c>
      <c r="H234" s="801" t="s">
        <v>4673</v>
      </c>
      <c r="I234" s="800" t="str">
        <f t="shared" si="12"/>
        <v>31402025000</v>
      </c>
      <c r="J234" s="800" t="str">
        <f t="shared" si="13"/>
        <v>日野郡日野町三谷</v>
      </c>
    </row>
    <row r="235" spans="1:10">
      <c r="A235" s="800" t="s">
        <v>4672</v>
      </c>
      <c r="B235" s="801">
        <v>31201157002</v>
      </c>
      <c r="D235" s="800" t="s">
        <v>4667</v>
      </c>
      <c r="E235" s="800" t="s">
        <v>4671</v>
      </c>
      <c r="F235" s="801" t="s">
        <v>4670</v>
      </c>
      <c r="G235" s="800">
        <v>31402</v>
      </c>
      <c r="H235" s="801" t="s">
        <v>4669</v>
      </c>
      <c r="I235" s="800" t="str">
        <f t="shared" si="12"/>
        <v>31402026000</v>
      </c>
      <c r="J235" s="800" t="str">
        <f t="shared" si="13"/>
        <v>日野郡日野町三土</v>
      </c>
    </row>
    <row r="236" spans="1:10">
      <c r="A236" s="800" t="s">
        <v>4668</v>
      </c>
      <c r="B236" s="801">
        <v>31201157003</v>
      </c>
      <c r="D236" s="800" t="s">
        <v>4667</v>
      </c>
      <c r="E236" s="800" t="s">
        <v>4666</v>
      </c>
      <c r="F236" s="801" t="s">
        <v>4665</v>
      </c>
      <c r="G236" s="800">
        <v>31402</v>
      </c>
      <c r="H236" s="801" t="s">
        <v>4664</v>
      </c>
      <c r="I236" s="800" t="str">
        <f t="shared" si="12"/>
        <v>31402027000</v>
      </c>
      <c r="J236" s="800" t="str">
        <f t="shared" si="13"/>
        <v>日野郡日野町安原</v>
      </c>
    </row>
    <row r="237" spans="1:10">
      <c r="A237" s="800" t="s">
        <v>4663</v>
      </c>
      <c r="B237" s="801">
        <v>31201157004</v>
      </c>
      <c r="D237" s="800" t="s">
        <v>4611</v>
      </c>
      <c r="E237" s="800" t="s">
        <v>4662</v>
      </c>
      <c r="F237" s="801" t="s">
        <v>4661</v>
      </c>
      <c r="G237" s="800">
        <v>31403</v>
      </c>
      <c r="H237" s="801" t="s">
        <v>4608</v>
      </c>
      <c r="I237" s="800" t="str">
        <f t="shared" si="12"/>
        <v>31403001000</v>
      </c>
      <c r="J237" s="800" t="str">
        <f t="shared" si="13"/>
        <v>日野郡江府町江尾</v>
      </c>
    </row>
    <row r="238" spans="1:10">
      <c r="A238" s="800" t="s">
        <v>4660</v>
      </c>
      <c r="B238" s="801">
        <v>31201158000</v>
      </c>
      <c r="D238" s="800" t="s">
        <v>4611</v>
      </c>
      <c r="E238" s="800" t="s">
        <v>4659</v>
      </c>
      <c r="F238" s="801" t="s">
        <v>4658</v>
      </c>
      <c r="G238" s="800">
        <v>31403</v>
      </c>
      <c r="H238" s="801" t="s">
        <v>4608</v>
      </c>
      <c r="I238" s="800" t="str">
        <f t="shared" si="12"/>
        <v>31403002000</v>
      </c>
      <c r="J238" s="800" t="str">
        <f t="shared" si="13"/>
        <v>日野郡江府町大河原</v>
      </c>
    </row>
    <row r="239" spans="1:10">
      <c r="A239" s="800" t="s">
        <v>4657</v>
      </c>
      <c r="B239" s="801">
        <v>31201159000</v>
      </c>
      <c r="D239" s="800" t="s">
        <v>4611</v>
      </c>
      <c r="E239" s="800" t="s">
        <v>4656</v>
      </c>
      <c r="F239" s="801" t="s">
        <v>4655</v>
      </c>
      <c r="G239" s="800">
        <v>31403</v>
      </c>
      <c r="H239" s="801" t="s">
        <v>4608</v>
      </c>
      <c r="I239" s="800" t="str">
        <f t="shared" si="12"/>
        <v>31403003000</v>
      </c>
      <c r="J239" s="800" t="str">
        <f t="shared" si="13"/>
        <v>日野郡江府町貝田</v>
      </c>
    </row>
    <row r="240" spans="1:10">
      <c r="A240" s="800" t="s">
        <v>4654</v>
      </c>
      <c r="B240" s="801">
        <v>31201160000</v>
      </c>
      <c r="D240" s="800" t="s">
        <v>4611</v>
      </c>
      <c r="E240" s="800" t="s">
        <v>4653</v>
      </c>
      <c r="F240" s="801" t="s">
        <v>4652</v>
      </c>
      <c r="G240" s="800">
        <v>31403</v>
      </c>
      <c r="H240" s="801" t="s">
        <v>4608</v>
      </c>
      <c r="I240" s="800" t="str">
        <f t="shared" si="12"/>
        <v>31403004000</v>
      </c>
      <c r="J240" s="800" t="str">
        <f t="shared" si="13"/>
        <v>日野郡江府町柿原</v>
      </c>
    </row>
    <row r="241" spans="1:10">
      <c r="A241" s="800" t="s">
        <v>4651</v>
      </c>
      <c r="B241" s="801">
        <v>31201161000</v>
      </c>
      <c r="D241" s="800" t="s">
        <v>4611</v>
      </c>
      <c r="E241" s="800" t="s">
        <v>4650</v>
      </c>
      <c r="F241" s="801" t="s">
        <v>4649</v>
      </c>
      <c r="G241" s="800">
        <v>31403</v>
      </c>
      <c r="H241" s="801" t="s">
        <v>4608</v>
      </c>
      <c r="I241" s="800" t="str">
        <f t="shared" si="12"/>
        <v>31403005000</v>
      </c>
      <c r="J241" s="800" t="str">
        <f t="shared" si="13"/>
        <v>日野郡江府町久連</v>
      </c>
    </row>
    <row r="242" spans="1:10">
      <c r="A242" s="800" t="s">
        <v>4648</v>
      </c>
      <c r="B242" s="801">
        <v>31201162000</v>
      </c>
      <c r="D242" s="800" t="s">
        <v>4611</v>
      </c>
      <c r="E242" s="800" t="s">
        <v>4647</v>
      </c>
      <c r="F242" s="801" t="s">
        <v>4646</v>
      </c>
      <c r="G242" s="800">
        <v>31403</v>
      </c>
      <c r="H242" s="801" t="s">
        <v>4608</v>
      </c>
      <c r="I242" s="800" t="str">
        <f t="shared" si="12"/>
        <v>31403006000</v>
      </c>
      <c r="J242" s="800" t="str">
        <f t="shared" si="13"/>
        <v>日野郡江府町小江尾</v>
      </c>
    </row>
    <row r="243" spans="1:10">
      <c r="A243" s="800" t="s">
        <v>4645</v>
      </c>
      <c r="B243" s="801">
        <v>31201163001</v>
      </c>
      <c r="D243" s="800" t="s">
        <v>4611</v>
      </c>
      <c r="E243" s="800" t="s">
        <v>4644</v>
      </c>
      <c r="F243" s="801" t="s">
        <v>4643</v>
      </c>
      <c r="G243" s="800">
        <v>31403</v>
      </c>
      <c r="H243" s="801" t="s">
        <v>4608</v>
      </c>
      <c r="I243" s="800" t="str">
        <f t="shared" si="12"/>
        <v>31403007000</v>
      </c>
      <c r="J243" s="800" t="str">
        <f t="shared" si="13"/>
        <v>日野郡江府町下蚊屋</v>
      </c>
    </row>
    <row r="244" spans="1:10">
      <c r="A244" s="800" t="s">
        <v>4642</v>
      </c>
      <c r="B244" s="801">
        <v>31201163002</v>
      </c>
      <c r="D244" s="800" t="s">
        <v>4611</v>
      </c>
      <c r="E244" s="800" t="s">
        <v>4641</v>
      </c>
      <c r="F244" s="801" t="s">
        <v>4640</v>
      </c>
      <c r="G244" s="800">
        <v>31403</v>
      </c>
      <c r="H244" s="801" t="s">
        <v>4608</v>
      </c>
      <c r="I244" s="800" t="str">
        <f t="shared" si="12"/>
        <v>31403008000</v>
      </c>
      <c r="J244" s="800" t="str">
        <f t="shared" si="13"/>
        <v>日野郡江府町佐川</v>
      </c>
    </row>
    <row r="245" spans="1:10">
      <c r="A245" s="800" t="s">
        <v>4639</v>
      </c>
      <c r="B245" s="801">
        <v>31201163003</v>
      </c>
      <c r="D245" s="800" t="s">
        <v>4611</v>
      </c>
      <c r="E245" s="800" t="s">
        <v>4638</v>
      </c>
      <c r="F245" s="801" t="s">
        <v>4637</v>
      </c>
      <c r="G245" s="800">
        <v>31403</v>
      </c>
      <c r="H245" s="801" t="s">
        <v>4608</v>
      </c>
      <c r="I245" s="800" t="str">
        <f t="shared" si="12"/>
        <v>31403009000</v>
      </c>
      <c r="J245" s="800" t="str">
        <f t="shared" si="13"/>
        <v>日野郡江府町下安井</v>
      </c>
    </row>
    <row r="246" spans="1:10">
      <c r="A246" s="800" t="s">
        <v>4636</v>
      </c>
      <c r="B246" s="801">
        <v>31201164001</v>
      </c>
      <c r="D246" s="800" t="s">
        <v>4611</v>
      </c>
      <c r="E246" s="800" t="s">
        <v>4635</v>
      </c>
      <c r="F246" s="801" t="s">
        <v>4634</v>
      </c>
      <c r="G246" s="800">
        <v>31403</v>
      </c>
      <c r="H246" s="801" t="s">
        <v>4608</v>
      </c>
      <c r="I246" s="800" t="str">
        <f t="shared" si="12"/>
        <v>31403010000</v>
      </c>
      <c r="J246" s="800" t="str">
        <f t="shared" si="13"/>
        <v>日野郡江府町洲河崎</v>
      </c>
    </row>
    <row r="247" spans="1:10">
      <c r="A247" s="800" t="s">
        <v>4633</v>
      </c>
      <c r="B247" s="801">
        <v>31201164002</v>
      </c>
      <c r="D247" s="800" t="s">
        <v>4611</v>
      </c>
      <c r="E247" s="800" t="s">
        <v>4632</v>
      </c>
      <c r="F247" s="801" t="s">
        <v>4631</v>
      </c>
      <c r="G247" s="800">
        <v>31403</v>
      </c>
      <c r="H247" s="801" t="s">
        <v>4608</v>
      </c>
      <c r="I247" s="800" t="str">
        <f t="shared" si="12"/>
        <v>31403011000</v>
      </c>
      <c r="J247" s="800" t="str">
        <f t="shared" si="13"/>
        <v>日野郡江府町杉谷</v>
      </c>
    </row>
    <row r="248" spans="1:10">
      <c r="A248" s="800" t="s">
        <v>4630</v>
      </c>
      <c r="B248" s="801">
        <v>31201164003</v>
      </c>
      <c r="D248" s="800" t="s">
        <v>4611</v>
      </c>
      <c r="E248" s="800" t="s">
        <v>4629</v>
      </c>
      <c r="F248" s="801" t="s">
        <v>4628</v>
      </c>
      <c r="G248" s="800">
        <v>31403</v>
      </c>
      <c r="H248" s="801" t="s">
        <v>4608</v>
      </c>
      <c r="I248" s="800" t="str">
        <f t="shared" si="12"/>
        <v>31403012000</v>
      </c>
      <c r="J248" s="800" t="str">
        <f t="shared" si="13"/>
        <v>日野郡江府町助澤</v>
      </c>
    </row>
    <row r="249" spans="1:10">
      <c r="A249" s="800" t="s">
        <v>4627</v>
      </c>
      <c r="B249" s="801">
        <v>31201164004</v>
      </c>
      <c r="D249" s="800" t="s">
        <v>4611</v>
      </c>
      <c r="E249" s="800" t="s">
        <v>4626</v>
      </c>
      <c r="F249" s="801" t="s">
        <v>4625</v>
      </c>
      <c r="G249" s="800">
        <v>31403</v>
      </c>
      <c r="H249" s="801" t="s">
        <v>4608</v>
      </c>
      <c r="I249" s="800" t="str">
        <f t="shared" si="12"/>
        <v>31403013000</v>
      </c>
      <c r="J249" s="800" t="str">
        <f t="shared" si="13"/>
        <v>日野郡江府町俣野</v>
      </c>
    </row>
    <row r="250" spans="1:10">
      <c r="A250" s="800" t="s">
        <v>4624</v>
      </c>
      <c r="B250" s="801">
        <v>31201164005</v>
      </c>
      <c r="D250" s="800" t="s">
        <v>4611</v>
      </c>
      <c r="E250" s="800" t="s">
        <v>4623</v>
      </c>
      <c r="F250" s="801" t="s">
        <v>4622</v>
      </c>
      <c r="G250" s="800">
        <v>31403</v>
      </c>
      <c r="H250" s="801" t="s">
        <v>4608</v>
      </c>
      <c r="I250" s="800" t="str">
        <f t="shared" si="12"/>
        <v>31403014000</v>
      </c>
      <c r="J250" s="800" t="str">
        <f t="shared" si="13"/>
        <v>日野郡江府町御机</v>
      </c>
    </row>
    <row r="251" spans="1:10">
      <c r="A251" s="800" t="s">
        <v>4621</v>
      </c>
      <c r="B251" s="801">
        <v>31201165000</v>
      </c>
      <c r="D251" s="800" t="s">
        <v>4611</v>
      </c>
      <c r="E251" s="800" t="s">
        <v>4620</v>
      </c>
      <c r="F251" s="801" t="s">
        <v>4619</v>
      </c>
      <c r="G251" s="800">
        <v>31403</v>
      </c>
      <c r="H251" s="801" t="s">
        <v>4608</v>
      </c>
      <c r="I251" s="800" t="str">
        <f t="shared" si="12"/>
        <v>31403015000</v>
      </c>
      <c r="J251" s="800" t="str">
        <f t="shared" si="13"/>
        <v>日野郡江府町宮市</v>
      </c>
    </row>
    <row r="252" spans="1:10">
      <c r="A252" s="800" t="s">
        <v>4618</v>
      </c>
      <c r="B252" s="801">
        <v>31201166000</v>
      </c>
      <c r="D252" s="800" t="s">
        <v>4611</v>
      </c>
      <c r="E252" s="800" t="s">
        <v>4617</v>
      </c>
      <c r="F252" s="801" t="s">
        <v>4616</v>
      </c>
      <c r="G252" s="800">
        <v>31403</v>
      </c>
      <c r="H252" s="801" t="s">
        <v>4608</v>
      </c>
      <c r="I252" s="800" t="str">
        <f t="shared" si="12"/>
        <v>31403016000</v>
      </c>
      <c r="J252" s="800" t="str">
        <f t="shared" si="13"/>
        <v>日野郡江府町美用</v>
      </c>
    </row>
    <row r="253" spans="1:10">
      <c r="A253" s="800" t="s">
        <v>4615</v>
      </c>
      <c r="B253" s="801">
        <v>31201167000</v>
      </c>
      <c r="D253" s="800" t="s">
        <v>4611</v>
      </c>
      <c r="E253" s="800" t="s">
        <v>4614</v>
      </c>
      <c r="F253" s="801" t="s">
        <v>4613</v>
      </c>
      <c r="G253" s="800">
        <v>31403</v>
      </c>
      <c r="H253" s="801" t="s">
        <v>4608</v>
      </c>
      <c r="I253" s="800" t="str">
        <f t="shared" si="12"/>
        <v>31403017000</v>
      </c>
      <c r="J253" s="800" t="str">
        <f t="shared" si="13"/>
        <v>日野郡江府町武庫</v>
      </c>
    </row>
    <row r="254" spans="1:10">
      <c r="A254" s="800" t="s">
        <v>4612</v>
      </c>
      <c r="B254" s="801">
        <v>31201168000</v>
      </c>
      <c r="D254" s="800" t="s">
        <v>4611</v>
      </c>
      <c r="E254" s="800" t="s">
        <v>4610</v>
      </c>
      <c r="F254" s="801" t="s">
        <v>4609</v>
      </c>
      <c r="G254" s="800">
        <v>31403</v>
      </c>
      <c r="H254" s="801" t="s">
        <v>4608</v>
      </c>
      <c r="I254" s="800" t="str">
        <f t="shared" si="12"/>
        <v>31403018000</v>
      </c>
      <c r="J254" s="800" t="str">
        <f t="shared" si="13"/>
        <v>日野郡江府町吉原</v>
      </c>
    </row>
    <row r="255" spans="1:10">
      <c r="A255" s="800" t="s">
        <v>4607</v>
      </c>
      <c r="B255" s="801">
        <v>31201169000</v>
      </c>
    </row>
    <row r="256" spans="1:10">
      <c r="A256" s="800" t="s">
        <v>4606</v>
      </c>
      <c r="B256" s="801">
        <v>31201170000</v>
      </c>
    </row>
    <row r="257" spans="1:2">
      <c r="A257" s="800" t="s">
        <v>4605</v>
      </c>
      <c r="B257" s="801">
        <v>31201171001</v>
      </c>
    </row>
    <row r="258" spans="1:2">
      <c r="A258" s="800" t="s">
        <v>4604</v>
      </c>
      <c r="B258" s="801">
        <v>31201171002</v>
      </c>
    </row>
    <row r="259" spans="1:2">
      <c r="A259" s="800" t="s">
        <v>4603</v>
      </c>
      <c r="B259" s="801">
        <v>31201171003</v>
      </c>
    </row>
    <row r="260" spans="1:2">
      <c r="A260" s="800" t="s">
        <v>4602</v>
      </c>
      <c r="B260" s="801">
        <v>31201171004</v>
      </c>
    </row>
    <row r="261" spans="1:2">
      <c r="A261" s="800" t="s">
        <v>4601</v>
      </c>
      <c r="B261" s="801">
        <v>31201172000</v>
      </c>
    </row>
    <row r="262" spans="1:2">
      <c r="A262" s="800" t="s">
        <v>4600</v>
      </c>
      <c r="B262" s="801">
        <v>31201173000</v>
      </c>
    </row>
    <row r="263" spans="1:2">
      <c r="A263" s="800" t="s">
        <v>4599</v>
      </c>
      <c r="B263" s="801">
        <v>31201174000</v>
      </c>
    </row>
    <row r="264" spans="1:2">
      <c r="A264" s="800" t="s">
        <v>4598</v>
      </c>
      <c r="B264" s="801">
        <v>31201175000</v>
      </c>
    </row>
    <row r="265" spans="1:2">
      <c r="A265" s="800" t="s">
        <v>4597</v>
      </c>
      <c r="B265" s="801">
        <v>31201176000</v>
      </c>
    </row>
    <row r="266" spans="1:2">
      <c r="A266" s="800" t="s">
        <v>4596</v>
      </c>
      <c r="B266" s="801">
        <v>31201177000</v>
      </c>
    </row>
    <row r="267" spans="1:2">
      <c r="A267" s="800" t="s">
        <v>4595</v>
      </c>
      <c r="B267" s="801">
        <v>31201178000</v>
      </c>
    </row>
    <row r="268" spans="1:2">
      <c r="A268" s="800" t="s">
        <v>4594</v>
      </c>
      <c r="B268" s="801">
        <v>31201179000</v>
      </c>
    </row>
    <row r="269" spans="1:2">
      <c r="A269" s="800" t="s">
        <v>4593</v>
      </c>
      <c r="B269" s="801">
        <v>31201180001</v>
      </c>
    </row>
    <row r="270" spans="1:2">
      <c r="A270" s="800" t="s">
        <v>4592</v>
      </c>
      <c r="B270" s="801">
        <v>31201180002</v>
      </c>
    </row>
    <row r="271" spans="1:2">
      <c r="A271" s="800" t="s">
        <v>4591</v>
      </c>
      <c r="B271" s="801">
        <v>31201181000</v>
      </c>
    </row>
    <row r="272" spans="1:2">
      <c r="A272" s="800" t="s">
        <v>4590</v>
      </c>
      <c r="B272" s="801">
        <v>31201182000</v>
      </c>
    </row>
    <row r="273" spans="1:2">
      <c r="A273" s="800" t="s">
        <v>4589</v>
      </c>
      <c r="B273" s="801">
        <v>31201183000</v>
      </c>
    </row>
    <row r="274" spans="1:2">
      <c r="A274" s="800" t="s">
        <v>4588</v>
      </c>
      <c r="B274" s="801">
        <v>31201184001</v>
      </c>
    </row>
    <row r="275" spans="1:2">
      <c r="A275" s="800" t="s">
        <v>4587</v>
      </c>
      <c r="B275" s="801">
        <v>31201184002</v>
      </c>
    </row>
    <row r="276" spans="1:2">
      <c r="A276" s="800" t="s">
        <v>4586</v>
      </c>
      <c r="B276" s="801">
        <v>31201184003</v>
      </c>
    </row>
    <row r="277" spans="1:2">
      <c r="A277" s="800" t="s">
        <v>4585</v>
      </c>
      <c r="B277" s="801">
        <v>31201184004</v>
      </c>
    </row>
    <row r="278" spans="1:2">
      <c r="A278" s="800" t="s">
        <v>4584</v>
      </c>
      <c r="B278" s="801">
        <v>31201185001</v>
      </c>
    </row>
    <row r="279" spans="1:2">
      <c r="A279" s="800" t="s">
        <v>4583</v>
      </c>
      <c r="B279" s="801">
        <v>31201185002</v>
      </c>
    </row>
    <row r="280" spans="1:2">
      <c r="A280" s="800" t="s">
        <v>4582</v>
      </c>
      <c r="B280" s="801">
        <v>31201186000</v>
      </c>
    </row>
    <row r="281" spans="1:2">
      <c r="A281" s="800" t="s">
        <v>4581</v>
      </c>
      <c r="B281" s="801">
        <v>31201187000</v>
      </c>
    </row>
    <row r="282" spans="1:2">
      <c r="A282" s="800" t="s">
        <v>4580</v>
      </c>
      <c r="B282" s="801">
        <v>31201187001</v>
      </c>
    </row>
    <row r="283" spans="1:2">
      <c r="A283" s="800" t="s">
        <v>4579</v>
      </c>
      <c r="B283" s="801">
        <v>31201187002</v>
      </c>
    </row>
    <row r="284" spans="1:2">
      <c r="A284" s="800" t="s">
        <v>4578</v>
      </c>
      <c r="B284" s="801">
        <v>31201187003</v>
      </c>
    </row>
    <row r="285" spans="1:2">
      <c r="A285" s="800" t="s">
        <v>4577</v>
      </c>
      <c r="B285" s="801">
        <v>31201188000</v>
      </c>
    </row>
    <row r="286" spans="1:2">
      <c r="A286" s="800" t="s">
        <v>4576</v>
      </c>
      <c r="B286" s="801">
        <v>31201189000</v>
      </c>
    </row>
    <row r="287" spans="1:2">
      <c r="A287" s="800" t="s">
        <v>4575</v>
      </c>
      <c r="B287" s="801">
        <v>31201190001</v>
      </c>
    </row>
    <row r="288" spans="1:2">
      <c r="A288" s="800" t="s">
        <v>4574</v>
      </c>
      <c r="B288" s="801">
        <v>31201190002</v>
      </c>
    </row>
    <row r="289" spans="1:2">
      <c r="A289" s="800" t="s">
        <v>4573</v>
      </c>
      <c r="B289" s="801">
        <v>31201191000</v>
      </c>
    </row>
    <row r="290" spans="1:2">
      <c r="A290" s="800" t="s">
        <v>4572</v>
      </c>
      <c r="B290" s="801">
        <v>31201192001</v>
      </c>
    </row>
    <row r="291" spans="1:2">
      <c r="A291" s="800" t="s">
        <v>4571</v>
      </c>
      <c r="B291" s="801">
        <v>31201192002</v>
      </c>
    </row>
    <row r="292" spans="1:2">
      <c r="A292" s="800" t="s">
        <v>4570</v>
      </c>
      <c r="B292" s="801">
        <v>31201193001</v>
      </c>
    </row>
    <row r="293" spans="1:2">
      <c r="A293" s="800" t="s">
        <v>4569</v>
      </c>
      <c r="B293" s="801">
        <v>31201194001</v>
      </c>
    </row>
    <row r="294" spans="1:2">
      <c r="A294" s="800" t="s">
        <v>4568</v>
      </c>
      <c r="B294" s="801">
        <v>31201194002</v>
      </c>
    </row>
    <row r="295" spans="1:2">
      <c r="A295" s="800" t="s">
        <v>4567</v>
      </c>
      <c r="B295" s="801">
        <v>31201194003</v>
      </c>
    </row>
    <row r="296" spans="1:2">
      <c r="A296" s="800" t="s">
        <v>4566</v>
      </c>
      <c r="B296" s="801">
        <v>31201194004</v>
      </c>
    </row>
    <row r="297" spans="1:2">
      <c r="A297" s="800" t="s">
        <v>4565</v>
      </c>
      <c r="B297" s="801">
        <v>31201194005</v>
      </c>
    </row>
    <row r="298" spans="1:2">
      <c r="A298" s="800" t="s">
        <v>4564</v>
      </c>
      <c r="B298" s="801">
        <v>31201194006</v>
      </c>
    </row>
    <row r="299" spans="1:2">
      <c r="A299" s="800" t="s">
        <v>4563</v>
      </c>
      <c r="B299" s="801">
        <v>31201194007</v>
      </c>
    </row>
    <row r="300" spans="1:2">
      <c r="A300" s="800" t="s">
        <v>4562</v>
      </c>
      <c r="B300" s="801">
        <v>31201195001</v>
      </c>
    </row>
    <row r="301" spans="1:2">
      <c r="A301" s="800" t="s">
        <v>4561</v>
      </c>
      <c r="B301" s="801">
        <v>31201195002</v>
      </c>
    </row>
    <row r="302" spans="1:2">
      <c r="A302" s="800" t="s">
        <v>4560</v>
      </c>
      <c r="B302" s="801">
        <v>31201196001</v>
      </c>
    </row>
    <row r="303" spans="1:2">
      <c r="A303" s="800" t="s">
        <v>4559</v>
      </c>
      <c r="B303" s="801">
        <v>31201196002</v>
      </c>
    </row>
    <row r="304" spans="1:2">
      <c r="A304" s="800" t="s">
        <v>4558</v>
      </c>
      <c r="B304" s="801">
        <v>31201196003</v>
      </c>
    </row>
    <row r="305" spans="1:2">
      <c r="A305" s="800" t="s">
        <v>4557</v>
      </c>
      <c r="B305" s="801">
        <v>31201196004</v>
      </c>
    </row>
    <row r="306" spans="1:2">
      <c r="A306" s="800" t="s">
        <v>4556</v>
      </c>
      <c r="B306" s="801">
        <v>31201197001</v>
      </c>
    </row>
    <row r="307" spans="1:2">
      <c r="A307" s="800" t="s">
        <v>4555</v>
      </c>
      <c r="B307" s="801">
        <v>31201197002</v>
      </c>
    </row>
    <row r="308" spans="1:2">
      <c r="A308" s="800" t="s">
        <v>4554</v>
      </c>
      <c r="B308" s="801">
        <v>31201197003</v>
      </c>
    </row>
    <row r="309" spans="1:2">
      <c r="A309" s="800" t="s">
        <v>4553</v>
      </c>
      <c r="B309" s="801">
        <v>31201197004</v>
      </c>
    </row>
    <row r="310" spans="1:2">
      <c r="A310" s="800" t="s">
        <v>4552</v>
      </c>
      <c r="B310" s="801">
        <v>31201197005</v>
      </c>
    </row>
    <row r="311" spans="1:2">
      <c r="A311" s="800" t="s">
        <v>4551</v>
      </c>
      <c r="B311" s="801">
        <v>31201197006</v>
      </c>
    </row>
    <row r="312" spans="1:2">
      <c r="A312" s="800" t="s">
        <v>4550</v>
      </c>
      <c r="B312" s="801">
        <v>31201198001</v>
      </c>
    </row>
    <row r="313" spans="1:2">
      <c r="A313" s="800" t="s">
        <v>4549</v>
      </c>
      <c r="B313" s="801">
        <v>31201198002</v>
      </c>
    </row>
    <row r="314" spans="1:2">
      <c r="A314" s="800" t="s">
        <v>4548</v>
      </c>
      <c r="B314" s="801">
        <v>31201198003</v>
      </c>
    </row>
    <row r="315" spans="1:2">
      <c r="A315" s="800" t="s">
        <v>4547</v>
      </c>
      <c r="B315" s="801">
        <v>31201199001</v>
      </c>
    </row>
    <row r="316" spans="1:2">
      <c r="A316" s="800" t="s">
        <v>4546</v>
      </c>
      <c r="B316" s="801">
        <v>31201199002</v>
      </c>
    </row>
    <row r="317" spans="1:2">
      <c r="A317" s="800" t="s">
        <v>4545</v>
      </c>
      <c r="B317" s="801">
        <v>31201199003</v>
      </c>
    </row>
    <row r="318" spans="1:2">
      <c r="A318" s="800" t="s">
        <v>4544</v>
      </c>
      <c r="B318" s="801">
        <v>31201200001</v>
      </c>
    </row>
    <row r="319" spans="1:2">
      <c r="A319" s="800" t="s">
        <v>4543</v>
      </c>
      <c r="B319" s="801">
        <v>31201200002</v>
      </c>
    </row>
    <row r="320" spans="1:2">
      <c r="A320" s="800" t="s">
        <v>4542</v>
      </c>
      <c r="B320" s="801">
        <v>31201200003</v>
      </c>
    </row>
    <row r="321" spans="1:2">
      <c r="A321" s="800" t="s">
        <v>4541</v>
      </c>
      <c r="B321" s="801">
        <v>31201200004</v>
      </c>
    </row>
    <row r="322" spans="1:2">
      <c r="A322" s="800" t="s">
        <v>4540</v>
      </c>
      <c r="B322" s="801">
        <v>31201201001</v>
      </c>
    </row>
    <row r="323" spans="1:2">
      <c r="A323" s="800" t="s">
        <v>4539</v>
      </c>
      <c r="B323" s="801">
        <v>31201201002</v>
      </c>
    </row>
    <row r="324" spans="1:2">
      <c r="A324" s="800" t="s">
        <v>4538</v>
      </c>
      <c r="B324" s="801">
        <v>31201201003</v>
      </c>
    </row>
    <row r="325" spans="1:2">
      <c r="A325" s="800" t="s">
        <v>4537</v>
      </c>
      <c r="B325" s="801">
        <v>31201201004</v>
      </c>
    </row>
    <row r="326" spans="1:2">
      <c r="A326" s="800" t="s">
        <v>4536</v>
      </c>
      <c r="B326" s="801">
        <v>31201202001</v>
      </c>
    </row>
    <row r="327" spans="1:2">
      <c r="A327" s="800" t="s">
        <v>4535</v>
      </c>
      <c r="B327" s="801">
        <v>31201202002</v>
      </c>
    </row>
    <row r="328" spans="1:2">
      <c r="A328" s="800" t="s">
        <v>4534</v>
      </c>
      <c r="B328" s="801">
        <v>31201202003</v>
      </c>
    </row>
    <row r="329" spans="1:2">
      <c r="A329" s="800" t="s">
        <v>4533</v>
      </c>
      <c r="B329" s="801">
        <v>31201202004</v>
      </c>
    </row>
    <row r="330" spans="1:2">
      <c r="A330" s="800" t="s">
        <v>4532</v>
      </c>
      <c r="B330" s="801">
        <v>31201202005</v>
      </c>
    </row>
    <row r="331" spans="1:2">
      <c r="A331" s="800" t="s">
        <v>4531</v>
      </c>
      <c r="B331" s="801">
        <v>31201202006</v>
      </c>
    </row>
    <row r="332" spans="1:2">
      <c r="A332" s="800" t="s">
        <v>4530</v>
      </c>
      <c r="B332" s="801">
        <v>31201203000</v>
      </c>
    </row>
    <row r="333" spans="1:2">
      <c r="A333" s="800" t="s">
        <v>4529</v>
      </c>
      <c r="B333" s="801">
        <v>31201203101</v>
      </c>
    </row>
    <row r="334" spans="1:2">
      <c r="A334" s="800" t="s">
        <v>4528</v>
      </c>
      <c r="B334" s="801">
        <v>31201203102</v>
      </c>
    </row>
    <row r="335" spans="1:2">
      <c r="A335" s="800" t="s">
        <v>4527</v>
      </c>
      <c r="B335" s="801">
        <v>31201203103</v>
      </c>
    </row>
    <row r="336" spans="1:2">
      <c r="A336" s="800" t="s">
        <v>4526</v>
      </c>
      <c r="B336" s="801">
        <v>31201203104</v>
      </c>
    </row>
    <row r="337" spans="1:2">
      <c r="A337" s="800" t="s">
        <v>4525</v>
      </c>
      <c r="B337" s="801">
        <v>31201203105</v>
      </c>
    </row>
    <row r="338" spans="1:2">
      <c r="A338" s="800" t="s">
        <v>4524</v>
      </c>
      <c r="B338" s="801">
        <v>31201203106</v>
      </c>
    </row>
    <row r="339" spans="1:2">
      <c r="A339" s="800" t="s">
        <v>4523</v>
      </c>
      <c r="B339" s="801">
        <v>31201203107</v>
      </c>
    </row>
    <row r="340" spans="1:2">
      <c r="A340" s="800" t="s">
        <v>4522</v>
      </c>
      <c r="B340" s="801">
        <v>31201203108</v>
      </c>
    </row>
    <row r="341" spans="1:2">
      <c r="A341" s="800" t="s">
        <v>4521</v>
      </c>
      <c r="B341" s="801">
        <v>31201203109</v>
      </c>
    </row>
    <row r="342" spans="1:2">
      <c r="A342" s="800" t="s">
        <v>4520</v>
      </c>
      <c r="B342" s="801">
        <v>31201203110</v>
      </c>
    </row>
    <row r="343" spans="1:2">
      <c r="A343" s="800" t="s">
        <v>4519</v>
      </c>
      <c r="B343" s="801">
        <v>31201203111</v>
      </c>
    </row>
    <row r="344" spans="1:2">
      <c r="A344" s="800" t="s">
        <v>4518</v>
      </c>
      <c r="B344" s="801">
        <v>31201204000</v>
      </c>
    </row>
    <row r="345" spans="1:2">
      <c r="A345" s="800" t="s">
        <v>4517</v>
      </c>
      <c r="B345" s="801">
        <v>31201205000</v>
      </c>
    </row>
    <row r="346" spans="1:2">
      <c r="A346" s="800" t="s">
        <v>4516</v>
      </c>
      <c r="B346" s="801">
        <v>31201206000</v>
      </c>
    </row>
    <row r="347" spans="1:2">
      <c r="A347" s="800" t="s">
        <v>4515</v>
      </c>
      <c r="B347" s="801">
        <v>31201207000</v>
      </c>
    </row>
    <row r="348" spans="1:2">
      <c r="A348" s="800" t="s">
        <v>4514</v>
      </c>
      <c r="B348" s="801">
        <v>31201208000</v>
      </c>
    </row>
    <row r="349" spans="1:2">
      <c r="A349" s="800" t="s">
        <v>4513</v>
      </c>
      <c r="B349" s="801">
        <v>31201209000</v>
      </c>
    </row>
    <row r="350" spans="1:2">
      <c r="A350" s="800" t="s">
        <v>4512</v>
      </c>
      <c r="B350" s="801">
        <v>31201210000</v>
      </c>
    </row>
    <row r="351" spans="1:2">
      <c r="A351" s="800" t="s">
        <v>4511</v>
      </c>
      <c r="B351" s="801">
        <v>31201211000</v>
      </c>
    </row>
    <row r="352" spans="1:2">
      <c r="A352" s="800" t="s">
        <v>4510</v>
      </c>
      <c r="B352" s="801">
        <v>31201211101</v>
      </c>
    </row>
    <row r="353" spans="1:2">
      <c r="A353" s="800" t="s">
        <v>4509</v>
      </c>
      <c r="B353" s="801">
        <v>31201212000</v>
      </c>
    </row>
    <row r="354" spans="1:2">
      <c r="A354" s="800" t="s">
        <v>4508</v>
      </c>
      <c r="B354" s="801">
        <v>31201212101</v>
      </c>
    </row>
    <row r="355" spans="1:2">
      <c r="A355" s="800" t="s">
        <v>4507</v>
      </c>
      <c r="B355" s="801">
        <v>31201213000</v>
      </c>
    </row>
    <row r="356" spans="1:2">
      <c r="A356" s="800" t="s">
        <v>4506</v>
      </c>
      <c r="B356" s="801">
        <v>31201214000</v>
      </c>
    </row>
    <row r="357" spans="1:2">
      <c r="A357" s="800" t="s">
        <v>4505</v>
      </c>
      <c r="B357" s="801">
        <v>31201214101</v>
      </c>
    </row>
    <row r="358" spans="1:2">
      <c r="A358" s="800" t="s">
        <v>4504</v>
      </c>
      <c r="B358" s="801">
        <v>31201215000</v>
      </c>
    </row>
    <row r="359" spans="1:2">
      <c r="A359" s="800" t="s">
        <v>4503</v>
      </c>
      <c r="B359" s="801">
        <v>31201216000</v>
      </c>
    </row>
    <row r="360" spans="1:2">
      <c r="A360" s="800" t="s">
        <v>4502</v>
      </c>
      <c r="B360" s="801">
        <v>31201216101</v>
      </c>
    </row>
    <row r="361" spans="1:2">
      <c r="A361" s="800" t="s">
        <v>4501</v>
      </c>
      <c r="B361" s="801">
        <v>31201217000</v>
      </c>
    </row>
    <row r="362" spans="1:2">
      <c r="A362" s="800" t="s">
        <v>4500</v>
      </c>
      <c r="B362" s="801">
        <v>31201218000</v>
      </c>
    </row>
    <row r="363" spans="1:2">
      <c r="A363" s="800" t="s">
        <v>4499</v>
      </c>
      <c r="B363" s="801">
        <v>31201218101</v>
      </c>
    </row>
    <row r="364" spans="1:2">
      <c r="A364" s="800" t="s">
        <v>4498</v>
      </c>
      <c r="B364" s="801">
        <v>31201219000</v>
      </c>
    </row>
    <row r="365" spans="1:2">
      <c r="A365" s="800" t="s">
        <v>4497</v>
      </c>
      <c r="B365" s="801">
        <v>31201220000</v>
      </c>
    </row>
    <row r="366" spans="1:2">
      <c r="A366" s="800" t="s">
        <v>4496</v>
      </c>
      <c r="B366" s="801">
        <v>31201221000</v>
      </c>
    </row>
    <row r="367" spans="1:2">
      <c r="A367" s="800" t="s">
        <v>4495</v>
      </c>
      <c r="B367" s="801">
        <v>31201222000</v>
      </c>
    </row>
    <row r="368" spans="1:2">
      <c r="A368" s="800" t="s">
        <v>4494</v>
      </c>
      <c r="B368" s="801">
        <v>31201223000</v>
      </c>
    </row>
    <row r="369" spans="1:2">
      <c r="A369" s="800" t="s">
        <v>4493</v>
      </c>
      <c r="B369" s="801">
        <v>31201224000</v>
      </c>
    </row>
    <row r="370" spans="1:2">
      <c r="A370" s="800" t="s">
        <v>4492</v>
      </c>
      <c r="B370" s="801">
        <v>31201225000</v>
      </c>
    </row>
    <row r="371" spans="1:2">
      <c r="A371" s="800" t="s">
        <v>4491</v>
      </c>
      <c r="B371" s="801">
        <v>31201226000</v>
      </c>
    </row>
    <row r="372" spans="1:2">
      <c r="A372" s="800" t="s">
        <v>4490</v>
      </c>
      <c r="B372" s="801">
        <v>31201227000</v>
      </c>
    </row>
    <row r="373" spans="1:2">
      <c r="A373" s="800" t="s">
        <v>4489</v>
      </c>
      <c r="B373" s="801">
        <v>31201227101</v>
      </c>
    </row>
    <row r="374" spans="1:2">
      <c r="A374" s="800" t="s">
        <v>4488</v>
      </c>
      <c r="B374" s="801">
        <v>31201228000</v>
      </c>
    </row>
    <row r="375" spans="1:2">
      <c r="A375" s="800" t="s">
        <v>4487</v>
      </c>
      <c r="B375" s="801">
        <v>31201229000</v>
      </c>
    </row>
    <row r="376" spans="1:2">
      <c r="A376" s="800" t="s">
        <v>4486</v>
      </c>
      <c r="B376" s="801">
        <v>31201230000</v>
      </c>
    </row>
    <row r="377" spans="1:2">
      <c r="A377" s="800" t="s">
        <v>4485</v>
      </c>
      <c r="B377" s="801">
        <v>31201231000</v>
      </c>
    </row>
    <row r="378" spans="1:2">
      <c r="A378" s="800" t="s">
        <v>4484</v>
      </c>
      <c r="B378" s="801">
        <v>31201232000</v>
      </c>
    </row>
    <row r="379" spans="1:2">
      <c r="A379" s="800" t="s">
        <v>4483</v>
      </c>
      <c r="B379" s="801">
        <v>31201232101</v>
      </c>
    </row>
    <row r="380" spans="1:2">
      <c r="A380" s="800" t="s">
        <v>4482</v>
      </c>
      <c r="B380" s="801">
        <v>31201233000</v>
      </c>
    </row>
    <row r="381" spans="1:2">
      <c r="A381" s="800" t="s">
        <v>4481</v>
      </c>
      <c r="B381" s="801">
        <v>31201233101</v>
      </c>
    </row>
    <row r="382" spans="1:2">
      <c r="A382" s="800" t="s">
        <v>4480</v>
      </c>
      <c r="B382" s="801">
        <v>31201234000</v>
      </c>
    </row>
    <row r="383" spans="1:2">
      <c r="A383" s="800" t="s">
        <v>4479</v>
      </c>
      <c r="B383" s="801">
        <v>31201235000</v>
      </c>
    </row>
    <row r="384" spans="1:2">
      <c r="A384" s="800" t="s">
        <v>4478</v>
      </c>
      <c r="B384" s="801">
        <v>31201236000</v>
      </c>
    </row>
    <row r="385" spans="1:2">
      <c r="A385" s="800" t="s">
        <v>4477</v>
      </c>
      <c r="B385" s="801">
        <v>31201236101</v>
      </c>
    </row>
    <row r="386" spans="1:2">
      <c r="A386" s="800" t="s">
        <v>4476</v>
      </c>
      <c r="B386" s="801">
        <v>31201237000</v>
      </c>
    </row>
    <row r="387" spans="1:2">
      <c r="A387" s="800" t="s">
        <v>4475</v>
      </c>
      <c r="B387" s="801">
        <v>31201238000</v>
      </c>
    </row>
    <row r="388" spans="1:2">
      <c r="A388" s="800" t="s">
        <v>4474</v>
      </c>
      <c r="B388" s="801">
        <v>31201239000</v>
      </c>
    </row>
    <row r="389" spans="1:2">
      <c r="A389" s="800" t="s">
        <v>4473</v>
      </c>
      <c r="B389" s="801">
        <v>31201239101</v>
      </c>
    </row>
    <row r="390" spans="1:2">
      <c r="A390" s="800" t="s">
        <v>4472</v>
      </c>
      <c r="B390" s="801">
        <v>31201239102</v>
      </c>
    </row>
    <row r="391" spans="1:2">
      <c r="A391" s="800" t="s">
        <v>4471</v>
      </c>
      <c r="B391" s="801">
        <v>31201240000</v>
      </c>
    </row>
    <row r="392" spans="1:2">
      <c r="A392" s="800" t="s">
        <v>4470</v>
      </c>
      <c r="B392" s="801">
        <v>31201241000</v>
      </c>
    </row>
    <row r="393" spans="1:2">
      <c r="A393" s="800" t="s">
        <v>4469</v>
      </c>
      <c r="B393" s="801">
        <v>31201241101</v>
      </c>
    </row>
    <row r="394" spans="1:2">
      <c r="A394" s="800" t="s">
        <v>4468</v>
      </c>
      <c r="B394" s="801">
        <v>31201242000</v>
      </c>
    </row>
    <row r="395" spans="1:2">
      <c r="A395" s="800" t="s">
        <v>4467</v>
      </c>
      <c r="B395" s="801">
        <v>31201242101</v>
      </c>
    </row>
    <row r="396" spans="1:2">
      <c r="A396" s="800" t="s">
        <v>4466</v>
      </c>
      <c r="B396" s="801">
        <v>31201242102</v>
      </c>
    </row>
    <row r="397" spans="1:2">
      <c r="A397" s="800" t="s">
        <v>4465</v>
      </c>
      <c r="B397" s="801">
        <v>31201243000</v>
      </c>
    </row>
    <row r="398" spans="1:2">
      <c r="A398" s="800" t="s">
        <v>4464</v>
      </c>
      <c r="B398" s="801">
        <v>31201244000</v>
      </c>
    </row>
    <row r="399" spans="1:2">
      <c r="A399" s="800" t="s">
        <v>4463</v>
      </c>
      <c r="B399" s="801">
        <v>31201245000</v>
      </c>
    </row>
    <row r="400" spans="1:2">
      <c r="A400" s="800" t="s">
        <v>4462</v>
      </c>
      <c r="B400" s="801">
        <v>31201246000</v>
      </c>
    </row>
    <row r="401" spans="1:2">
      <c r="A401" s="800" t="s">
        <v>4461</v>
      </c>
      <c r="B401" s="801">
        <v>31201247000</v>
      </c>
    </row>
    <row r="402" spans="1:2">
      <c r="A402" s="800" t="s">
        <v>4460</v>
      </c>
      <c r="B402" s="801">
        <v>31201248000</v>
      </c>
    </row>
    <row r="403" spans="1:2">
      <c r="A403" s="800" t="s">
        <v>4459</v>
      </c>
      <c r="B403" s="801">
        <v>31201248101</v>
      </c>
    </row>
    <row r="404" spans="1:2">
      <c r="A404" s="800" t="s">
        <v>4458</v>
      </c>
      <c r="B404" s="801">
        <v>31201249000</v>
      </c>
    </row>
    <row r="405" spans="1:2">
      <c r="A405" s="800" t="s">
        <v>4457</v>
      </c>
      <c r="B405" s="801">
        <v>31201250000</v>
      </c>
    </row>
    <row r="406" spans="1:2">
      <c r="A406" s="800" t="s">
        <v>4456</v>
      </c>
      <c r="B406" s="801">
        <v>31201251000</v>
      </c>
    </row>
    <row r="407" spans="1:2">
      <c r="A407" s="800" t="s">
        <v>4455</v>
      </c>
      <c r="B407" s="801">
        <v>31201251101</v>
      </c>
    </row>
    <row r="408" spans="1:2">
      <c r="A408" s="800" t="s">
        <v>4454</v>
      </c>
      <c r="B408" s="801">
        <v>31201251102</v>
      </c>
    </row>
    <row r="409" spans="1:2">
      <c r="A409" s="800" t="s">
        <v>4453</v>
      </c>
      <c r="B409" s="801">
        <v>31201252000</v>
      </c>
    </row>
    <row r="410" spans="1:2">
      <c r="A410" s="800" t="s">
        <v>4452</v>
      </c>
      <c r="B410" s="801">
        <v>31201253000</v>
      </c>
    </row>
    <row r="411" spans="1:2">
      <c r="A411" s="800" t="s">
        <v>4451</v>
      </c>
      <c r="B411" s="801">
        <v>31201254000</v>
      </c>
    </row>
    <row r="412" spans="1:2">
      <c r="A412" s="800" t="s">
        <v>4450</v>
      </c>
      <c r="B412" s="801">
        <v>31201255000</v>
      </c>
    </row>
    <row r="413" spans="1:2">
      <c r="A413" s="800" t="s">
        <v>4449</v>
      </c>
      <c r="B413" s="801">
        <v>31201255101</v>
      </c>
    </row>
    <row r="414" spans="1:2">
      <c r="A414" s="800" t="s">
        <v>4448</v>
      </c>
      <c r="B414" s="801">
        <v>31201255102</v>
      </c>
    </row>
    <row r="415" spans="1:2">
      <c r="A415" s="800" t="s">
        <v>4447</v>
      </c>
      <c r="B415" s="801">
        <v>31201256000</v>
      </c>
    </row>
    <row r="416" spans="1:2">
      <c r="A416" s="800" t="s">
        <v>4446</v>
      </c>
      <c r="B416" s="801">
        <v>31201257000</v>
      </c>
    </row>
    <row r="417" spans="1:2">
      <c r="A417" s="800" t="s">
        <v>4445</v>
      </c>
      <c r="B417" s="801">
        <v>31201258000</v>
      </c>
    </row>
    <row r="418" spans="1:2">
      <c r="A418" s="800" t="s">
        <v>4444</v>
      </c>
      <c r="B418" s="801">
        <v>31201259000</v>
      </c>
    </row>
    <row r="419" spans="1:2">
      <c r="A419" s="800" t="s">
        <v>4443</v>
      </c>
      <c r="B419" s="801">
        <v>31201259101</v>
      </c>
    </row>
    <row r="420" spans="1:2">
      <c r="A420" s="800" t="s">
        <v>4442</v>
      </c>
      <c r="B420" s="801">
        <v>31201259102</v>
      </c>
    </row>
    <row r="421" spans="1:2">
      <c r="A421" s="800" t="s">
        <v>4441</v>
      </c>
      <c r="B421" s="801">
        <v>31201260000</v>
      </c>
    </row>
    <row r="422" spans="1:2">
      <c r="A422" s="800" t="s">
        <v>4440</v>
      </c>
      <c r="B422" s="801">
        <v>31201261000</v>
      </c>
    </row>
    <row r="423" spans="1:2">
      <c r="A423" s="800" t="s">
        <v>4439</v>
      </c>
      <c r="B423" s="801">
        <v>31201262000</v>
      </c>
    </row>
    <row r="424" spans="1:2">
      <c r="A424" s="800" t="s">
        <v>4438</v>
      </c>
      <c r="B424" s="801">
        <v>31201263000</v>
      </c>
    </row>
    <row r="425" spans="1:2">
      <c r="A425" s="800" t="s">
        <v>4437</v>
      </c>
      <c r="B425" s="801">
        <v>31201263101</v>
      </c>
    </row>
    <row r="426" spans="1:2">
      <c r="A426" s="800" t="s">
        <v>4436</v>
      </c>
      <c r="B426" s="801">
        <v>31201264000</v>
      </c>
    </row>
    <row r="427" spans="1:2">
      <c r="A427" s="800" t="s">
        <v>4435</v>
      </c>
      <c r="B427" s="801">
        <v>31201265000</v>
      </c>
    </row>
    <row r="428" spans="1:2">
      <c r="A428" s="800" t="s">
        <v>4434</v>
      </c>
      <c r="B428" s="801">
        <v>31201265101</v>
      </c>
    </row>
    <row r="429" spans="1:2">
      <c r="A429" s="800" t="s">
        <v>4433</v>
      </c>
      <c r="B429" s="801">
        <v>31201265102</v>
      </c>
    </row>
    <row r="430" spans="1:2">
      <c r="A430" s="800" t="s">
        <v>4432</v>
      </c>
      <c r="B430" s="801">
        <v>31201265103</v>
      </c>
    </row>
    <row r="431" spans="1:2">
      <c r="A431" s="800" t="s">
        <v>4431</v>
      </c>
      <c r="B431" s="801">
        <v>31201266000</v>
      </c>
    </row>
    <row r="432" spans="1:2">
      <c r="A432" s="800" t="s">
        <v>4430</v>
      </c>
      <c r="B432" s="801">
        <v>31201267000</v>
      </c>
    </row>
    <row r="433" spans="1:2">
      <c r="A433" s="800" t="s">
        <v>4429</v>
      </c>
      <c r="B433" s="801">
        <v>31201268001</v>
      </c>
    </row>
    <row r="434" spans="1:2">
      <c r="A434" s="800" t="s">
        <v>4428</v>
      </c>
      <c r="B434" s="801">
        <v>31201268002</v>
      </c>
    </row>
    <row r="435" spans="1:2">
      <c r="A435" s="800" t="s">
        <v>4427</v>
      </c>
      <c r="B435" s="801">
        <v>31201268003</v>
      </c>
    </row>
    <row r="436" spans="1:2">
      <c r="A436" s="800" t="s">
        <v>4426</v>
      </c>
      <c r="B436" s="801">
        <v>31201269000</v>
      </c>
    </row>
    <row r="437" spans="1:2">
      <c r="A437" s="800" t="s">
        <v>4425</v>
      </c>
      <c r="B437" s="801">
        <v>31201270000</v>
      </c>
    </row>
    <row r="438" spans="1:2">
      <c r="A438" s="800" t="s">
        <v>4424</v>
      </c>
      <c r="B438" s="801">
        <v>31201271000</v>
      </c>
    </row>
    <row r="439" spans="1:2">
      <c r="A439" s="800" t="s">
        <v>4423</v>
      </c>
      <c r="B439" s="801">
        <v>31201272000</v>
      </c>
    </row>
    <row r="440" spans="1:2">
      <c r="A440" s="800" t="s">
        <v>4422</v>
      </c>
      <c r="B440" s="801">
        <v>31201273000</v>
      </c>
    </row>
    <row r="441" spans="1:2">
      <c r="A441" s="800" t="s">
        <v>4421</v>
      </c>
      <c r="B441" s="801">
        <v>31201274000</v>
      </c>
    </row>
    <row r="442" spans="1:2">
      <c r="A442" s="800" t="s">
        <v>4420</v>
      </c>
      <c r="B442" s="801">
        <v>31201274101</v>
      </c>
    </row>
    <row r="443" spans="1:2">
      <c r="A443" s="800" t="s">
        <v>4419</v>
      </c>
      <c r="B443" s="801">
        <v>31201275000</v>
      </c>
    </row>
    <row r="444" spans="1:2">
      <c r="A444" s="800" t="s">
        <v>4418</v>
      </c>
      <c r="B444" s="801">
        <v>31201276001</v>
      </c>
    </row>
    <row r="445" spans="1:2">
      <c r="A445" s="800" t="s">
        <v>4417</v>
      </c>
      <c r="B445" s="801">
        <v>31201276002</v>
      </c>
    </row>
    <row r="446" spans="1:2">
      <c r="A446" s="800" t="s">
        <v>4416</v>
      </c>
      <c r="B446" s="801">
        <v>31201276003</v>
      </c>
    </row>
    <row r="447" spans="1:2">
      <c r="A447" s="800" t="s">
        <v>4415</v>
      </c>
      <c r="B447" s="801">
        <v>31201277000</v>
      </c>
    </row>
    <row r="448" spans="1:2">
      <c r="A448" s="800" t="s">
        <v>4414</v>
      </c>
      <c r="B448" s="801">
        <v>31201278000</v>
      </c>
    </row>
    <row r="449" spans="1:2">
      <c r="A449" s="800" t="s">
        <v>4413</v>
      </c>
      <c r="B449" s="801">
        <v>31201279000</v>
      </c>
    </row>
    <row r="450" spans="1:2">
      <c r="A450" s="800" t="s">
        <v>4412</v>
      </c>
      <c r="B450" s="801">
        <v>31201280000</v>
      </c>
    </row>
    <row r="451" spans="1:2">
      <c r="A451" s="800" t="s">
        <v>4411</v>
      </c>
      <c r="B451" s="801">
        <v>31201281000</v>
      </c>
    </row>
    <row r="452" spans="1:2">
      <c r="A452" s="800" t="s">
        <v>4410</v>
      </c>
      <c r="B452" s="801">
        <v>31201282000</v>
      </c>
    </row>
    <row r="453" spans="1:2">
      <c r="A453" s="800" t="s">
        <v>4409</v>
      </c>
      <c r="B453" s="801">
        <v>31201283000</v>
      </c>
    </row>
    <row r="454" spans="1:2">
      <c r="A454" s="800" t="s">
        <v>4408</v>
      </c>
      <c r="B454" s="801">
        <v>31201284000</v>
      </c>
    </row>
    <row r="455" spans="1:2">
      <c r="A455" s="800" t="s">
        <v>4407</v>
      </c>
      <c r="B455" s="801">
        <v>31201284101</v>
      </c>
    </row>
    <row r="456" spans="1:2">
      <c r="A456" s="800" t="s">
        <v>4406</v>
      </c>
      <c r="B456" s="801">
        <v>31201285000</v>
      </c>
    </row>
    <row r="457" spans="1:2">
      <c r="A457" s="800" t="s">
        <v>4405</v>
      </c>
      <c r="B457" s="801">
        <v>31201286000</v>
      </c>
    </row>
    <row r="458" spans="1:2">
      <c r="A458" s="800" t="s">
        <v>4404</v>
      </c>
      <c r="B458" s="801">
        <v>31201287000</v>
      </c>
    </row>
    <row r="459" spans="1:2">
      <c r="A459" s="800" t="s">
        <v>4403</v>
      </c>
      <c r="B459" s="801">
        <v>31201287101</v>
      </c>
    </row>
    <row r="460" spans="1:2">
      <c r="A460" s="800" t="s">
        <v>4402</v>
      </c>
      <c r="B460" s="801">
        <v>31201287102</v>
      </c>
    </row>
    <row r="461" spans="1:2">
      <c r="A461" s="800" t="s">
        <v>4401</v>
      </c>
      <c r="B461" s="801">
        <v>31201287103</v>
      </c>
    </row>
    <row r="462" spans="1:2">
      <c r="A462" s="800" t="s">
        <v>4400</v>
      </c>
      <c r="B462" s="801">
        <v>31201288000</v>
      </c>
    </row>
    <row r="463" spans="1:2">
      <c r="A463" s="800" t="s">
        <v>4399</v>
      </c>
      <c r="B463" s="801">
        <v>31201288101</v>
      </c>
    </row>
    <row r="464" spans="1:2">
      <c r="A464" s="800" t="s">
        <v>4398</v>
      </c>
      <c r="B464" s="801">
        <v>31201289000</v>
      </c>
    </row>
    <row r="465" spans="1:2">
      <c r="A465" s="800" t="s">
        <v>4397</v>
      </c>
      <c r="B465" s="801">
        <v>31201290000</v>
      </c>
    </row>
    <row r="466" spans="1:2">
      <c r="A466" s="800" t="s">
        <v>4396</v>
      </c>
      <c r="B466" s="801">
        <v>31201291000</v>
      </c>
    </row>
    <row r="467" spans="1:2">
      <c r="A467" s="800" t="s">
        <v>4395</v>
      </c>
      <c r="B467" s="801">
        <v>31201292000</v>
      </c>
    </row>
    <row r="468" spans="1:2">
      <c r="A468" s="800" t="s">
        <v>4394</v>
      </c>
      <c r="B468" s="801">
        <v>31201293000</v>
      </c>
    </row>
    <row r="469" spans="1:2">
      <c r="A469" s="800" t="s">
        <v>4393</v>
      </c>
      <c r="B469" s="801">
        <v>31201294000</v>
      </c>
    </row>
    <row r="470" spans="1:2">
      <c r="A470" s="800" t="s">
        <v>4392</v>
      </c>
      <c r="B470" s="801">
        <v>31201295001</v>
      </c>
    </row>
    <row r="471" spans="1:2">
      <c r="A471" s="800" t="s">
        <v>4391</v>
      </c>
      <c r="B471" s="801">
        <v>31201295002</v>
      </c>
    </row>
    <row r="472" spans="1:2">
      <c r="A472" s="800" t="s">
        <v>4390</v>
      </c>
      <c r="B472" s="801">
        <v>31201295003</v>
      </c>
    </row>
    <row r="473" spans="1:2">
      <c r="A473" s="800" t="s">
        <v>4389</v>
      </c>
      <c r="B473" s="801">
        <v>31201296000</v>
      </c>
    </row>
    <row r="474" spans="1:2">
      <c r="A474" s="800" t="s">
        <v>4388</v>
      </c>
      <c r="B474" s="801">
        <v>31201297000</v>
      </c>
    </row>
    <row r="475" spans="1:2">
      <c r="A475" s="800" t="s">
        <v>4387</v>
      </c>
      <c r="B475" s="801">
        <v>31201298000</v>
      </c>
    </row>
    <row r="476" spans="1:2">
      <c r="A476" s="800" t="s">
        <v>4386</v>
      </c>
      <c r="B476" s="801">
        <v>31201299000</v>
      </c>
    </row>
    <row r="477" spans="1:2">
      <c r="A477" s="800" t="s">
        <v>4385</v>
      </c>
      <c r="B477" s="801">
        <v>31201299001</v>
      </c>
    </row>
    <row r="478" spans="1:2">
      <c r="A478" s="800" t="s">
        <v>4384</v>
      </c>
      <c r="B478" s="801">
        <v>31201299002</v>
      </c>
    </row>
    <row r="479" spans="1:2">
      <c r="A479" s="800" t="s">
        <v>4383</v>
      </c>
      <c r="B479" s="801">
        <v>31201299003</v>
      </c>
    </row>
    <row r="480" spans="1:2">
      <c r="A480" s="800" t="s">
        <v>4382</v>
      </c>
      <c r="B480" s="801">
        <v>31201300000</v>
      </c>
    </row>
    <row r="481" spans="1:2">
      <c r="A481" s="800" t="s">
        <v>4381</v>
      </c>
      <c r="B481" s="801">
        <v>31201301000</v>
      </c>
    </row>
    <row r="482" spans="1:2">
      <c r="A482" s="800" t="s">
        <v>4380</v>
      </c>
      <c r="B482" s="801">
        <v>31201302000</v>
      </c>
    </row>
    <row r="483" spans="1:2">
      <c r="A483" s="800" t="s">
        <v>4379</v>
      </c>
      <c r="B483" s="801">
        <v>31201303000</v>
      </c>
    </row>
    <row r="484" spans="1:2">
      <c r="A484" s="800" t="s">
        <v>4378</v>
      </c>
      <c r="B484" s="801">
        <v>31201304000</v>
      </c>
    </row>
    <row r="485" spans="1:2">
      <c r="A485" s="800" t="s">
        <v>4377</v>
      </c>
      <c r="B485" s="801">
        <v>31201305000</v>
      </c>
    </row>
    <row r="486" spans="1:2">
      <c r="A486" s="800" t="s">
        <v>4376</v>
      </c>
      <c r="B486" s="801">
        <v>31201306000</v>
      </c>
    </row>
    <row r="487" spans="1:2">
      <c r="A487" s="800" t="s">
        <v>4375</v>
      </c>
      <c r="B487" s="801">
        <v>31201307000</v>
      </c>
    </row>
    <row r="488" spans="1:2">
      <c r="A488" s="800" t="s">
        <v>4374</v>
      </c>
      <c r="B488" s="801">
        <v>31201308000</v>
      </c>
    </row>
    <row r="489" spans="1:2">
      <c r="A489" s="800" t="s">
        <v>4373</v>
      </c>
      <c r="B489" s="801">
        <v>31201309000</v>
      </c>
    </row>
    <row r="490" spans="1:2">
      <c r="A490" s="800" t="s">
        <v>4372</v>
      </c>
      <c r="B490" s="801">
        <v>31201310000</v>
      </c>
    </row>
    <row r="491" spans="1:2">
      <c r="A491" s="800" t="s">
        <v>4371</v>
      </c>
      <c r="B491" s="801">
        <v>31201311001</v>
      </c>
    </row>
    <row r="492" spans="1:2">
      <c r="A492" s="800" t="s">
        <v>4370</v>
      </c>
      <c r="B492" s="801">
        <v>31201311002</v>
      </c>
    </row>
    <row r="493" spans="1:2">
      <c r="A493" s="800" t="s">
        <v>4369</v>
      </c>
      <c r="B493" s="801">
        <v>31201311003</v>
      </c>
    </row>
    <row r="494" spans="1:2">
      <c r="A494" s="800" t="s">
        <v>4368</v>
      </c>
      <c r="B494" s="801">
        <v>31201311004</v>
      </c>
    </row>
    <row r="495" spans="1:2">
      <c r="A495" s="800" t="s">
        <v>4367</v>
      </c>
      <c r="B495" s="801">
        <v>31201312001</v>
      </c>
    </row>
    <row r="496" spans="1:2">
      <c r="A496" s="800" t="s">
        <v>4366</v>
      </c>
      <c r="B496" s="801">
        <v>31201312002</v>
      </c>
    </row>
    <row r="497" spans="1:2">
      <c r="A497" s="800" t="s">
        <v>4365</v>
      </c>
      <c r="B497" s="801">
        <v>31201313000</v>
      </c>
    </row>
    <row r="498" spans="1:2">
      <c r="A498" s="800" t="s">
        <v>4364</v>
      </c>
      <c r="B498" s="801">
        <v>31201314000</v>
      </c>
    </row>
    <row r="499" spans="1:2">
      <c r="A499" s="800" t="s">
        <v>4363</v>
      </c>
      <c r="B499" s="801">
        <v>31201315000</v>
      </c>
    </row>
    <row r="500" spans="1:2">
      <c r="A500" s="800" t="s">
        <v>4362</v>
      </c>
      <c r="B500" s="801">
        <v>31201316000</v>
      </c>
    </row>
    <row r="501" spans="1:2">
      <c r="A501" s="800" t="s">
        <v>4361</v>
      </c>
      <c r="B501" s="801">
        <v>31201317000</v>
      </c>
    </row>
    <row r="502" spans="1:2">
      <c r="A502" s="800" t="s">
        <v>4360</v>
      </c>
      <c r="B502" s="801">
        <v>31201318000</v>
      </c>
    </row>
    <row r="503" spans="1:2">
      <c r="A503" s="800" t="s">
        <v>4359</v>
      </c>
      <c r="B503" s="801">
        <v>31201319000</v>
      </c>
    </row>
    <row r="504" spans="1:2">
      <c r="A504" s="800" t="s">
        <v>4358</v>
      </c>
      <c r="B504" s="801">
        <v>31201320000</v>
      </c>
    </row>
    <row r="505" spans="1:2">
      <c r="A505" s="800" t="s">
        <v>4357</v>
      </c>
      <c r="B505" s="801">
        <v>31201321000</v>
      </c>
    </row>
    <row r="506" spans="1:2">
      <c r="A506" s="800" t="s">
        <v>4356</v>
      </c>
      <c r="B506" s="801">
        <v>31201322000</v>
      </c>
    </row>
    <row r="507" spans="1:2">
      <c r="A507" s="800" t="s">
        <v>4355</v>
      </c>
      <c r="B507" s="801">
        <v>31201323000</v>
      </c>
    </row>
    <row r="508" spans="1:2">
      <c r="A508" s="800" t="s">
        <v>4354</v>
      </c>
      <c r="B508" s="801">
        <v>31201324000</v>
      </c>
    </row>
    <row r="509" spans="1:2">
      <c r="A509" s="800" t="s">
        <v>4353</v>
      </c>
      <c r="B509" s="801">
        <v>31201325000</v>
      </c>
    </row>
    <row r="510" spans="1:2">
      <c r="A510" s="800" t="s">
        <v>4352</v>
      </c>
      <c r="B510" s="801">
        <v>31201325101</v>
      </c>
    </row>
    <row r="511" spans="1:2">
      <c r="A511" s="800" t="s">
        <v>4351</v>
      </c>
      <c r="B511" s="801">
        <v>31201326001</v>
      </c>
    </row>
    <row r="512" spans="1:2">
      <c r="A512" s="800" t="s">
        <v>4350</v>
      </c>
      <c r="B512" s="801">
        <v>31201326002</v>
      </c>
    </row>
    <row r="513" spans="1:2">
      <c r="A513" s="800" t="s">
        <v>4349</v>
      </c>
      <c r="B513" s="801">
        <v>31201326003</v>
      </c>
    </row>
    <row r="514" spans="1:2">
      <c r="A514" s="800" t="s">
        <v>4348</v>
      </c>
      <c r="B514" s="801">
        <v>31201326004</v>
      </c>
    </row>
    <row r="515" spans="1:2">
      <c r="A515" s="800" t="s">
        <v>4347</v>
      </c>
      <c r="B515" s="801">
        <v>31201327000</v>
      </c>
    </row>
    <row r="516" spans="1:2">
      <c r="A516" s="800" t="s">
        <v>4346</v>
      </c>
      <c r="B516" s="801">
        <v>31201328000</v>
      </c>
    </row>
    <row r="517" spans="1:2">
      <c r="A517" s="800" t="s">
        <v>4345</v>
      </c>
      <c r="B517" s="801">
        <v>31201329000</v>
      </c>
    </row>
    <row r="518" spans="1:2">
      <c r="A518" s="800" t="s">
        <v>4344</v>
      </c>
      <c r="B518" s="801">
        <v>31201330000</v>
      </c>
    </row>
    <row r="519" spans="1:2">
      <c r="A519" s="800" t="s">
        <v>4343</v>
      </c>
      <c r="B519" s="801">
        <v>31201331000</v>
      </c>
    </row>
    <row r="520" spans="1:2">
      <c r="A520" s="800" t="s">
        <v>4342</v>
      </c>
      <c r="B520" s="801">
        <v>31201332000</v>
      </c>
    </row>
    <row r="521" spans="1:2">
      <c r="A521" s="800" t="s">
        <v>4341</v>
      </c>
      <c r="B521" s="801">
        <v>31201333000</v>
      </c>
    </row>
    <row r="522" spans="1:2">
      <c r="A522" s="800" t="s">
        <v>4340</v>
      </c>
      <c r="B522" s="801">
        <v>31201334000</v>
      </c>
    </row>
    <row r="523" spans="1:2">
      <c r="A523" s="800" t="s">
        <v>4339</v>
      </c>
      <c r="B523" s="801">
        <v>31201335000</v>
      </c>
    </row>
    <row r="524" spans="1:2">
      <c r="A524" s="800" t="s">
        <v>4338</v>
      </c>
      <c r="B524" s="801">
        <v>31201336000</v>
      </c>
    </row>
    <row r="525" spans="1:2">
      <c r="A525" s="800" t="s">
        <v>4337</v>
      </c>
      <c r="B525" s="801">
        <v>31201336101</v>
      </c>
    </row>
    <row r="526" spans="1:2">
      <c r="A526" s="800" t="s">
        <v>4336</v>
      </c>
      <c r="B526" s="801">
        <v>31201337000</v>
      </c>
    </row>
    <row r="527" spans="1:2">
      <c r="A527" s="800" t="s">
        <v>4335</v>
      </c>
      <c r="B527" s="801">
        <v>31201337101</v>
      </c>
    </row>
    <row r="528" spans="1:2">
      <c r="A528" s="800" t="s">
        <v>4334</v>
      </c>
      <c r="B528" s="801">
        <v>31201337102</v>
      </c>
    </row>
    <row r="529" spans="1:2">
      <c r="A529" s="800" t="s">
        <v>4333</v>
      </c>
      <c r="B529" s="801">
        <v>31201338000</v>
      </c>
    </row>
    <row r="530" spans="1:2">
      <c r="A530" s="800" t="s">
        <v>4332</v>
      </c>
      <c r="B530" s="801">
        <v>31201339000</v>
      </c>
    </row>
    <row r="531" spans="1:2">
      <c r="A531" s="800" t="s">
        <v>4331</v>
      </c>
      <c r="B531" s="801">
        <v>31201339101</v>
      </c>
    </row>
    <row r="532" spans="1:2">
      <c r="A532" s="800" t="s">
        <v>4330</v>
      </c>
      <c r="B532" s="801">
        <v>31201340000</v>
      </c>
    </row>
    <row r="533" spans="1:2">
      <c r="A533" s="800" t="s">
        <v>4329</v>
      </c>
      <c r="B533" s="801">
        <v>31201340101</v>
      </c>
    </row>
    <row r="534" spans="1:2">
      <c r="A534" s="800" t="s">
        <v>4328</v>
      </c>
      <c r="B534" s="801">
        <v>31201340102</v>
      </c>
    </row>
    <row r="535" spans="1:2">
      <c r="A535" s="800" t="s">
        <v>4327</v>
      </c>
      <c r="B535" s="801">
        <v>31201341000</v>
      </c>
    </row>
    <row r="536" spans="1:2">
      <c r="A536" s="800" t="s">
        <v>4326</v>
      </c>
      <c r="B536" s="801">
        <v>31201341101</v>
      </c>
    </row>
    <row r="537" spans="1:2">
      <c r="A537" s="800" t="s">
        <v>4325</v>
      </c>
      <c r="B537" s="801">
        <v>31201341102</v>
      </c>
    </row>
    <row r="538" spans="1:2">
      <c r="A538" s="800" t="s">
        <v>4324</v>
      </c>
      <c r="B538" s="801">
        <v>31201341103</v>
      </c>
    </row>
    <row r="539" spans="1:2">
      <c r="A539" s="800" t="s">
        <v>4323</v>
      </c>
      <c r="B539" s="801">
        <v>31201341104</v>
      </c>
    </row>
    <row r="540" spans="1:2">
      <c r="A540" s="800" t="s">
        <v>4322</v>
      </c>
      <c r="B540" s="801">
        <v>31201341105</v>
      </c>
    </row>
    <row r="541" spans="1:2">
      <c r="A541" s="800" t="s">
        <v>4321</v>
      </c>
      <c r="B541" s="801">
        <v>31201342000</v>
      </c>
    </row>
    <row r="542" spans="1:2">
      <c r="A542" s="800" t="s">
        <v>4320</v>
      </c>
      <c r="B542" s="801">
        <v>31201343000</v>
      </c>
    </row>
    <row r="543" spans="1:2">
      <c r="A543" s="800" t="s">
        <v>4319</v>
      </c>
      <c r="B543" s="801">
        <v>31201344000</v>
      </c>
    </row>
    <row r="544" spans="1:2">
      <c r="A544" s="800" t="s">
        <v>4318</v>
      </c>
      <c r="B544" s="801">
        <v>31201345000</v>
      </c>
    </row>
    <row r="545" spans="1:2">
      <c r="A545" s="800" t="s">
        <v>4317</v>
      </c>
      <c r="B545" s="801">
        <v>31201345101</v>
      </c>
    </row>
    <row r="546" spans="1:2">
      <c r="A546" s="800" t="s">
        <v>4316</v>
      </c>
      <c r="B546" s="801">
        <v>31201345102</v>
      </c>
    </row>
    <row r="547" spans="1:2">
      <c r="A547" s="800" t="s">
        <v>4315</v>
      </c>
      <c r="B547" s="801">
        <v>31201345103</v>
      </c>
    </row>
    <row r="548" spans="1:2">
      <c r="A548" s="800" t="s">
        <v>4314</v>
      </c>
      <c r="B548" s="801">
        <v>31201345104</v>
      </c>
    </row>
    <row r="549" spans="1:2">
      <c r="A549" s="800" t="s">
        <v>4313</v>
      </c>
      <c r="B549" s="801">
        <v>31201345105</v>
      </c>
    </row>
    <row r="550" spans="1:2">
      <c r="A550" s="800" t="s">
        <v>4312</v>
      </c>
      <c r="B550" s="801">
        <v>31201346000</v>
      </c>
    </row>
    <row r="551" spans="1:2">
      <c r="A551" s="800" t="s">
        <v>4311</v>
      </c>
      <c r="B551" s="801">
        <v>31201347000</v>
      </c>
    </row>
    <row r="552" spans="1:2">
      <c r="A552" s="800" t="s">
        <v>4310</v>
      </c>
      <c r="B552" s="801">
        <v>31201348000</v>
      </c>
    </row>
    <row r="553" spans="1:2">
      <c r="A553" s="800" t="s">
        <v>4309</v>
      </c>
      <c r="B553" s="801">
        <v>31201349000</v>
      </c>
    </row>
    <row r="554" spans="1:2">
      <c r="A554" s="800" t="s">
        <v>4308</v>
      </c>
      <c r="B554" s="801">
        <v>31201350000</v>
      </c>
    </row>
    <row r="555" spans="1:2">
      <c r="A555" s="800" t="s">
        <v>4307</v>
      </c>
      <c r="B555" s="801">
        <v>31201351000</v>
      </c>
    </row>
    <row r="556" spans="1:2">
      <c r="A556" s="800" t="s">
        <v>4306</v>
      </c>
      <c r="B556" s="801">
        <v>31201352000</v>
      </c>
    </row>
    <row r="557" spans="1:2">
      <c r="A557" s="800" t="s">
        <v>4305</v>
      </c>
      <c r="B557" s="801">
        <v>31201353000</v>
      </c>
    </row>
    <row r="558" spans="1:2">
      <c r="A558" s="800" t="s">
        <v>4304</v>
      </c>
      <c r="B558" s="801">
        <v>31201354000</v>
      </c>
    </row>
    <row r="559" spans="1:2">
      <c r="A559" s="800" t="s">
        <v>4303</v>
      </c>
      <c r="B559" s="801">
        <v>31201355000</v>
      </c>
    </row>
    <row r="560" spans="1:2">
      <c r="A560" s="800" t="s">
        <v>4302</v>
      </c>
      <c r="B560" s="801">
        <v>31201356000</v>
      </c>
    </row>
    <row r="561" spans="1:2">
      <c r="A561" s="800" t="s">
        <v>4301</v>
      </c>
      <c r="B561" s="801">
        <v>31201356101</v>
      </c>
    </row>
    <row r="562" spans="1:2">
      <c r="A562" s="800" t="s">
        <v>4300</v>
      </c>
      <c r="B562" s="801">
        <v>31201356102</v>
      </c>
    </row>
    <row r="563" spans="1:2">
      <c r="A563" s="800" t="s">
        <v>4299</v>
      </c>
      <c r="B563" s="801">
        <v>31201356103</v>
      </c>
    </row>
    <row r="564" spans="1:2">
      <c r="A564" s="800" t="s">
        <v>4298</v>
      </c>
      <c r="B564" s="801">
        <v>31201356104</v>
      </c>
    </row>
    <row r="565" spans="1:2">
      <c r="A565" s="800" t="s">
        <v>4297</v>
      </c>
      <c r="B565" s="801">
        <v>31201357000</v>
      </c>
    </row>
    <row r="566" spans="1:2">
      <c r="A566" s="800" t="s">
        <v>4296</v>
      </c>
      <c r="B566" s="801">
        <v>31201357101</v>
      </c>
    </row>
    <row r="567" spans="1:2">
      <c r="A567" s="800" t="s">
        <v>4295</v>
      </c>
      <c r="B567" s="801">
        <v>31201357102</v>
      </c>
    </row>
    <row r="568" spans="1:2">
      <c r="A568" s="800" t="s">
        <v>4294</v>
      </c>
      <c r="B568" s="801">
        <v>31201358000</v>
      </c>
    </row>
    <row r="569" spans="1:2">
      <c r="A569" s="800" t="s">
        <v>4293</v>
      </c>
      <c r="B569" s="801">
        <v>31201358101</v>
      </c>
    </row>
    <row r="570" spans="1:2">
      <c r="A570" s="800" t="s">
        <v>4292</v>
      </c>
      <c r="B570" s="801">
        <v>31201358102</v>
      </c>
    </row>
    <row r="571" spans="1:2">
      <c r="A571" s="800" t="s">
        <v>4291</v>
      </c>
      <c r="B571" s="801">
        <v>31201359000</v>
      </c>
    </row>
    <row r="572" spans="1:2">
      <c r="A572" s="800" t="s">
        <v>4290</v>
      </c>
      <c r="B572" s="801">
        <v>31201359101</v>
      </c>
    </row>
    <row r="573" spans="1:2">
      <c r="A573" s="800" t="s">
        <v>4289</v>
      </c>
      <c r="B573" s="801">
        <v>31201359102</v>
      </c>
    </row>
    <row r="574" spans="1:2">
      <c r="A574" s="800" t="s">
        <v>4288</v>
      </c>
      <c r="B574" s="801">
        <v>31201359103</v>
      </c>
    </row>
    <row r="575" spans="1:2">
      <c r="A575" s="800" t="s">
        <v>4287</v>
      </c>
      <c r="B575" s="801">
        <v>31201360000</v>
      </c>
    </row>
    <row r="576" spans="1:2">
      <c r="A576" s="800" t="s">
        <v>4286</v>
      </c>
      <c r="B576" s="801">
        <v>31201361000</v>
      </c>
    </row>
    <row r="577" spans="1:2">
      <c r="A577" s="800" t="s">
        <v>4285</v>
      </c>
      <c r="B577" s="801">
        <v>31201361101</v>
      </c>
    </row>
    <row r="578" spans="1:2">
      <c r="A578" s="800" t="s">
        <v>4284</v>
      </c>
      <c r="B578" s="801">
        <v>31201361102</v>
      </c>
    </row>
    <row r="579" spans="1:2">
      <c r="A579" s="800" t="s">
        <v>4283</v>
      </c>
      <c r="B579" s="801">
        <v>31201361103</v>
      </c>
    </row>
    <row r="580" spans="1:2">
      <c r="A580" s="800" t="s">
        <v>4282</v>
      </c>
      <c r="B580" s="801">
        <v>31201361104</v>
      </c>
    </row>
    <row r="581" spans="1:2">
      <c r="A581" s="800" t="s">
        <v>4281</v>
      </c>
      <c r="B581" s="801">
        <v>31201361105</v>
      </c>
    </row>
    <row r="582" spans="1:2">
      <c r="A582" s="800" t="s">
        <v>4280</v>
      </c>
      <c r="B582" s="801">
        <v>31201361106</v>
      </c>
    </row>
    <row r="583" spans="1:2">
      <c r="A583" s="800" t="s">
        <v>4279</v>
      </c>
      <c r="B583" s="801">
        <v>31201361107</v>
      </c>
    </row>
    <row r="584" spans="1:2">
      <c r="A584" s="800" t="s">
        <v>4278</v>
      </c>
      <c r="B584" s="801">
        <v>31201361108</v>
      </c>
    </row>
    <row r="585" spans="1:2">
      <c r="A585" s="800" t="s">
        <v>4277</v>
      </c>
      <c r="B585" s="801">
        <v>31201361109</v>
      </c>
    </row>
    <row r="586" spans="1:2">
      <c r="A586" s="800" t="s">
        <v>4276</v>
      </c>
      <c r="B586" s="801">
        <v>31201361110</v>
      </c>
    </row>
    <row r="587" spans="1:2">
      <c r="A587" s="800" t="s">
        <v>4275</v>
      </c>
      <c r="B587" s="801">
        <v>31201361111</v>
      </c>
    </row>
    <row r="588" spans="1:2">
      <c r="A588" s="800" t="s">
        <v>4274</v>
      </c>
      <c r="B588" s="801">
        <v>31201362000</v>
      </c>
    </row>
    <row r="589" spans="1:2">
      <c r="A589" s="800" t="s">
        <v>4273</v>
      </c>
      <c r="B589" s="801">
        <v>31201362101</v>
      </c>
    </row>
    <row r="590" spans="1:2">
      <c r="A590" s="800" t="s">
        <v>4272</v>
      </c>
      <c r="B590" s="801">
        <v>31201362102</v>
      </c>
    </row>
    <row r="591" spans="1:2">
      <c r="A591" s="800" t="s">
        <v>4271</v>
      </c>
      <c r="B591" s="801">
        <v>31201363000</v>
      </c>
    </row>
    <row r="592" spans="1:2">
      <c r="A592" s="800" t="s">
        <v>4270</v>
      </c>
      <c r="B592" s="801">
        <v>31201363101</v>
      </c>
    </row>
    <row r="593" spans="1:2">
      <c r="A593" s="800" t="s">
        <v>4269</v>
      </c>
      <c r="B593" s="801">
        <v>31201363102</v>
      </c>
    </row>
    <row r="594" spans="1:2">
      <c r="A594" s="800" t="s">
        <v>4268</v>
      </c>
      <c r="B594" s="801">
        <v>31201363103</v>
      </c>
    </row>
    <row r="595" spans="1:2">
      <c r="A595" s="800" t="s">
        <v>4267</v>
      </c>
      <c r="B595" s="801">
        <v>31201364000</v>
      </c>
    </row>
    <row r="596" spans="1:2">
      <c r="A596" s="800" t="s">
        <v>4266</v>
      </c>
      <c r="B596" s="801">
        <v>31201365000</v>
      </c>
    </row>
    <row r="597" spans="1:2">
      <c r="A597" s="800" t="s">
        <v>4265</v>
      </c>
      <c r="B597" s="801">
        <v>31201366000</v>
      </c>
    </row>
    <row r="598" spans="1:2">
      <c r="A598" s="800" t="s">
        <v>4264</v>
      </c>
      <c r="B598" s="801">
        <v>31201366101</v>
      </c>
    </row>
    <row r="599" spans="1:2">
      <c r="A599" s="800" t="s">
        <v>4263</v>
      </c>
      <c r="B599" s="801">
        <v>31201366102</v>
      </c>
    </row>
    <row r="600" spans="1:2">
      <c r="A600" s="800" t="s">
        <v>4262</v>
      </c>
      <c r="B600" s="801">
        <v>31201367000</v>
      </c>
    </row>
    <row r="601" spans="1:2">
      <c r="A601" s="800" t="s">
        <v>4261</v>
      </c>
      <c r="B601" s="801">
        <v>31201368000</v>
      </c>
    </row>
    <row r="602" spans="1:2">
      <c r="A602" s="800" t="s">
        <v>4260</v>
      </c>
      <c r="B602" s="801">
        <v>31201368101</v>
      </c>
    </row>
    <row r="603" spans="1:2">
      <c r="A603" s="800" t="s">
        <v>4259</v>
      </c>
      <c r="B603" s="801">
        <v>31201369000</v>
      </c>
    </row>
    <row r="604" spans="1:2">
      <c r="A604" s="800" t="s">
        <v>4258</v>
      </c>
      <c r="B604" s="801">
        <v>31201370000</v>
      </c>
    </row>
    <row r="605" spans="1:2">
      <c r="A605" s="800" t="s">
        <v>4257</v>
      </c>
      <c r="B605" s="801">
        <v>31201370101</v>
      </c>
    </row>
    <row r="606" spans="1:2">
      <c r="A606" s="800" t="s">
        <v>4256</v>
      </c>
      <c r="B606" s="801">
        <v>31201370102</v>
      </c>
    </row>
    <row r="607" spans="1:2">
      <c r="A607" s="800" t="s">
        <v>4255</v>
      </c>
      <c r="B607" s="801">
        <v>31201371000</v>
      </c>
    </row>
    <row r="608" spans="1:2">
      <c r="A608" s="800" t="s">
        <v>4254</v>
      </c>
      <c r="B608" s="801">
        <v>31201372000</v>
      </c>
    </row>
    <row r="609" spans="1:2">
      <c r="A609" s="800" t="s">
        <v>4253</v>
      </c>
      <c r="B609" s="801">
        <v>31201372101</v>
      </c>
    </row>
    <row r="610" spans="1:2">
      <c r="A610" s="800" t="s">
        <v>4252</v>
      </c>
      <c r="B610" s="801">
        <v>31201373000</v>
      </c>
    </row>
    <row r="611" spans="1:2">
      <c r="A611" s="800" t="s">
        <v>4251</v>
      </c>
      <c r="B611" s="801">
        <v>31201374000</v>
      </c>
    </row>
    <row r="612" spans="1:2">
      <c r="A612" s="800" t="s">
        <v>4250</v>
      </c>
      <c r="B612" s="801">
        <v>31201375000</v>
      </c>
    </row>
    <row r="613" spans="1:2">
      <c r="A613" s="800" t="s">
        <v>4249</v>
      </c>
      <c r="B613" s="801">
        <v>31201375101</v>
      </c>
    </row>
    <row r="614" spans="1:2">
      <c r="A614" s="800" t="s">
        <v>4248</v>
      </c>
      <c r="B614" s="801">
        <v>31201375102</v>
      </c>
    </row>
    <row r="615" spans="1:2">
      <c r="A615" s="800" t="s">
        <v>4247</v>
      </c>
      <c r="B615" s="801">
        <v>31201376000</v>
      </c>
    </row>
    <row r="616" spans="1:2">
      <c r="A616" s="800" t="s">
        <v>4246</v>
      </c>
      <c r="B616" s="801">
        <v>31201377000</v>
      </c>
    </row>
    <row r="617" spans="1:2">
      <c r="A617" s="800" t="s">
        <v>4245</v>
      </c>
      <c r="B617" s="801">
        <v>31201378000</v>
      </c>
    </row>
    <row r="618" spans="1:2">
      <c r="A618" s="800" t="s">
        <v>4244</v>
      </c>
      <c r="B618" s="801">
        <v>31201379000</v>
      </c>
    </row>
    <row r="619" spans="1:2">
      <c r="A619" s="800" t="s">
        <v>4243</v>
      </c>
      <c r="B619" s="801">
        <v>31201380000</v>
      </c>
    </row>
    <row r="620" spans="1:2">
      <c r="A620" s="800" t="s">
        <v>4242</v>
      </c>
      <c r="B620" s="801">
        <v>31201381000</v>
      </c>
    </row>
    <row r="621" spans="1:2">
      <c r="A621" s="800" t="s">
        <v>4241</v>
      </c>
      <c r="B621" s="801">
        <v>31201382000</v>
      </c>
    </row>
    <row r="622" spans="1:2">
      <c r="A622" s="800" t="s">
        <v>4240</v>
      </c>
      <c r="B622" s="801">
        <v>31201382101</v>
      </c>
    </row>
    <row r="623" spans="1:2">
      <c r="A623" s="800" t="s">
        <v>4239</v>
      </c>
      <c r="B623" s="801">
        <v>31201382102</v>
      </c>
    </row>
    <row r="624" spans="1:2">
      <c r="A624" s="800" t="s">
        <v>4238</v>
      </c>
      <c r="B624" s="801">
        <v>31201382103</v>
      </c>
    </row>
    <row r="625" spans="1:2">
      <c r="A625" s="800" t="s">
        <v>4237</v>
      </c>
      <c r="B625" s="801">
        <v>31201383000</v>
      </c>
    </row>
    <row r="626" spans="1:2">
      <c r="A626" s="800" t="s">
        <v>4236</v>
      </c>
      <c r="B626" s="801">
        <v>31201383101</v>
      </c>
    </row>
    <row r="627" spans="1:2">
      <c r="A627" s="800" t="s">
        <v>4235</v>
      </c>
      <c r="B627" s="801">
        <v>31201383102</v>
      </c>
    </row>
    <row r="628" spans="1:2">
      <c r="A628" s="800" t="s">
        <v>4234</v>
      </c>
      <c r="B628" s="801">
        <v>31201383103</v>
      </c>
    </row>
    <row r="629" spans="1:2">
      <c r="A629" s="800" t="s">
        <v>4233</v>
      </c>
      <c r="B629" s="801">
        <v>31201383104</v>
      </c>
    </row>
    <row r="630" spans="1:2">
      <c r="A630" s="800" t="s">
        <v>4232</v>
      </c>
      <c r="B630" s="801">
        <v>31201383105</v>
      </c>
    </row>
    <row r="631" spans="1:2">
      <c r="A631" s="800" t="s">
        <v>4231</v>
      </c>
      <c r="B631" s="801">
        <v>31201383106</v>
      </c>
    </row>
    <row r="632" spans="1:2">
      <c r="A632" s="800" t="s">
        <v>4230</v>
      </c>
      <c r="B632" s="801">
        <v>31201384000</v>
      </c>
    </row>
    <row r="633" spans="1:2">
      <c r="A633" s="800" t="s">
        <v>4229</v>
      </c>
      <c r="B633" s="801">
        <v>31201384101</v>
      </c>
    </row>
    <row r="634" spans="1:2">
      <c r="A634" s="800" t="s">
        <v>4228</v>
      </c>
      <c r="B634" s="801">
        <v>31201384102</v>
      </c>
    </row>
    <row r="635" spans="1:2">
      <c r="A635" s="800" t="s">
        <v>4227</v>
      </c>
      <c r="B635" s="801">
        <v>31201384103</v>
      </c>
    </row>
    <row r="636" spans="1:2">
      <c r="A636" s="800" t="s">
        <v>4226</v>
      </c>
      <c r="B636" s="801">
        <v>31201384104</v>
      </c>
    </row>
    <row r="637" spans="1:2">
      <c r="A637" s="800" t="s">
        <v>4225</v>
      </c>
      <c r="B637" s="801">
        <v>31201384105</v>
      </c>
    </row>
    <row r="638" spans="1:2">
      <c r="A638" s="800" t="s">
        <v>4224</v>
      </c>
      <c r="B638" s="801">
        <v>31201385000</v>
      </c>
    </row>
    <row r="639" spans="1:2">
      <c r="A639" s="800" t="s">
        <v>4223</v>
      </c>
      <c r="B639" s="801">
        <v>31201386000</v>
      </c>
    </row>
    <row r="640" spans="1:2">
      <c r="A640" s="800" t="s">
        <v>4222</v>
      </c>
      <c r="B640" s="801">
        <v>31201387000</v>
      </c>
    </row>
    <row r="641" spans="1:2">
      <c r="A641" s="800" t="s">
        <v>4221</v>
      </c>
      <c r="B641" s="801">
        <v>31201388000</v>
      </c>
    </row>
    <row r="642" spans="1:2">
      <c r="A642" s="800" t="s">
        <v>4220</v>
      </c>
      <c r="B642" s="801">
        <v>31201388101</v>
      </c>
    </row>
    <row r="643" spans="1:2">
      <c r="A643" s="800" t="s">
        <v>4219</v>
      </c>
      <c r="B643" s="801">
        <v>31201389000</v>
      </c>
    </row>
    <row r="644" spans="1:2">
      <c r="A644" s="800" t="s">
        <v>4218</v>
      </c>
      <c r="B644" s="801">
        <v>31201390000</v>
      </c>
    </row>
    <row r="645" spans="1:2">
      <c r="A645" s="800" t="s">
        <v>4217</v>
      </c>
      <c r="B645" s="801">
        <v>31201390101</v>
      </c>
    </row>
    <row r="646" spans="1:2">
      <c r="A646" s="800" t="s">
        <v>4216</v>
      </c>
      <c r="B646" s="801">
        <v>31201390102</v>
      </c>
    </row>
    <row r="647" spans="1:2">
      <c r="A647" s="800" t="s">
        <v>4215</v>
      </c>
      <c r="B647" s="801">
        <v>31201391000</v>
      </c>
    </row>
    <row r="648" spans="1:2">
      <c r="A648" s="800" t="s">
        <v>4214</v>
      </c>
      <c r="B648" s="801">
        <v>31201391101</v>
      </c>
    </row>
    <row r="649" spans="1:2">
      <c r="A649" s="800" t="s">
        <v>4213</v>
      </c>
      <c r="B649" s="801">
        <v>31201392000</v>
      </c>
    </row>
    <row r="650" spans="1:2">
      <c r="A650" s="800" t="s">
        <v>4212</v>
      </c>
      <c r="B650" s="801">
        <v>31201393000</v>
      </c>
    </row>
    <row r="651" spans="1:2">
      <c r="A651" s="800" t="s">
        <v>4211</v>
      </c>
      <c r="B651" s="801">
        <v>31201394000</v>
      </c>
    </row>
    <row r="652" spans="1:2">
      <c r="A652" s="800" t="s">
        <v>4210</v>
      </c>
      <c r="B652" s="801">
        <v>31201394101</v>
      </c>
    </row>
    <row r="653" spans="1:2">
      <c r="A653" s="800" t="s">
        <v>4209</v>
      </c>
      <c r="B653" s="801">
        <v>31201395000</v>
      </c>
    </row>
    <row r="654" spans="1:2">
      <c r="A654" s="800" t="s">
        <v>4208</v>
      </c>
      <c r="B654" s="801">
        <v>31201395101</v>
      </c>
    </row>
    <row r="655" spans="1:2">
      <c r="A655" s="800" t="s">
        <v>4207</v>
      </c>
      <c r="B655" s="801">
        <v>31201395102</v>
      </c>
    </row>
    <row r="656" spans="1:2">
      <c r="A656" s="800" t="s">
        <v>4206</v>
      </c>
      <c r="B656" s="801">
        <v>31201395103</v>
      </c>
    </row>
    <row r="657" spans="1:2">
      <c r="A657" s="800" t="s">
        <v>4205</v>
      </c>
      <c r="B657" s="801">
        <v>31201395104</v>
      </c>
    </row>
    <row r="658" spans="1:2">
      <c r="A658" s="800" t="s">
        <v>4204</v>
      </c>
      <c r="B658" s="801">
        <v>31201395105</v>
      </c>
    </row>
    <row r="659" spans="1:2">
      <c r="A659" s="800" t="s">
        <v>4203</v>
      </c>
      <c r="B659" s="801">
        <v>31201396000</v>
      </c>
    </row>
    <row r="660" spans="1:2">
      <c r="A660" s="800" t="s">
        <v>4202</v>
      </c>
      <c r="B660" s="801">
        <v>31201397000</v>
      </c>
    </row>
    <row r="661" spans="1:2">
      <c r="A661" s="800" t="s">
        <v>4201</v>
      </c>
      <c r="B661" s="801">
        <v>31201398000</v>
      </c>
    </row>
    <row r="662" spans="1:2">
      <c r="A662" s="800" t="s">
        <v>4200</v>
      </c>
      <c r="B662" s="801">
        <v>31201399000</v>
      </c>
    </row>
    <row r="663" spans="1:2">
      <c r="A663" s="800" t="s">
        <v>4199</v>
      </c>
      <c r="B663" s="801">
        <v>31202000000</v>
      </c>
    </row>
    <row r="664" spans="1:2">
      <c r="A664" s="800" t="s">
        <v>4198</v>
      </c>
      <c r="B664" s="801">
        <v>31202001000</v>
      </c>
    </row>
    <row r="665" spans="1:2">
      <c r="A665" s="800" t="s">
        <v>4197</v>
      </c>
      <c r="B665" s="801">
        <v>31202002000</v>
      </c>
    </row>
    <row r="666" spans="1:2">
      <c r="A666" s="800" t="s">
        <v>4196</v>
      </c>
      <c r="B666" s="801">
        <v>31202003000</v>
      </c>
    </row>
    <row r="667" spans="1:2">
      <c r="A667" s="800" t="s">
        <v>4195</v>
      </c>
      <c r="B667" s="801">
        <v>31202004000</v>
      </c>
    </row>
    <row r="668" spans="1:2">
      <c r="A668" s="800" t="s">
        <v>4194</v>
      </c>
      <c r="B668" s="801">
        <v>31202005000</v>
      </c>
    </row>
    <row r="669" spans="1:2">
      <c r="A669" s="800" t="s">
        <v>4193</v>
      </c>
      <c r="B669" s="801">
        <v>31202006000</v>
      </c>
    </row>
    <row r="670" spans="1:2">
      <c r="A670" s="800" t="s">
        <v>4192</v>
      </c>
      <c r="B670" s="801">
        <v>31202007000</v>
      </c>
    </row>
    <row r="671" spans="1:2">
      <c r="A671" s="800" t="s">
        <v>4191</v>
      </c>
      <c r="B671" s="801">
        <v>31202008000</v>
      </c>
    </row>
    <row r="672" spans="1:2">
      <c r="A672" s="800" t="s">
        <v>4190</v>
      </c>
      <c r="B672" s="801">
        <v>31202009000</v>
      </c>
    </row>
    <row r="673" spans="1:2">
      <c r="A673" s="800" t="s">
        <v>4189</v>
      </c>
      <c r="B673" s="801">
        <v>31202010000</v>
      </c>
    </row>
    <row r="674" spans="1:2">
      <c r="A674" s="800" t="s">
        <v>4188</v>
      </c>
      <c r="B674" s="801">
        <v>31202011000</v>
      </c>
    </row>
    <row r="675" spans="1:2">
      <c r="A675" s="800" t="s">
        <v>4187</v>
      </c>
      <c r="B675" s="801">
        <v>31202012000</v>
      </c>
    </row>
    <row r="676" spans="1:2">
      <c r="A676" s="800" t="s">
        <v>4186</v>
      </c>
      <c r="B676" s="801">
        <v>31202013000</v>
      </c>
    </row>
    <row r="677" spans="1:2">
      <c r="A677" s="800" t="s">
        <v>4185</v>
      </c>
      <c r="B677" s="801">
        <v>31202014000</v>
      </c>
    </row>
    <row r="678" spans="1:2">
      <c r="A678" s="800" t="s">
        <v>4184</v>
      </c>
      <c r="B678" s="801">
        <v>31202015000</v>
      </c>
    </row>
    <row r="679" spans="1:2">
      <c r="A679" s="800" t="s">
        <v>4183</v>
      </c>
      <c r="B679" s="801">
        <v>31202016000</v>
      </c>
    </row>
    <row r="680" spans="1:2">
      <c r="A680" s="800" t="s">
        <v>4182</v>
      </c>
      <c r="B680" s="801">
        <v>31202017000</v>
      </c>
    </row>
    <row r="681" spans="1:2">
      <c r="A681" s="800" t="s">
        <v>4181</v>
      </c>
      <c r="B681" s="801">
        <v>31202018000</v>
      </c>
    </row>
    <row r="682" spans="1:2">
      <c r="A682" s="800" t="s">
        <v>4180</v>
      </c>
      <c r="B682" s="801">
        <v>31202019000</v>
      </c>
    </row>
    <row r="683" spans="1:2">
      <c r="A683" s="800" t="s">
        <v>4179</v>
      </c>
      <c r="B683" s="801">
        <v>31202020000</v>
      </c>
    </row>
    <row r="684" spans="1:2">
      <c r="A684" s="800" t="s">
        <v>4178</v>
      </c>
      <c r="B684" s="801">
        <v>31202021000</v>
      </c>
    </row>
    <row r="685" spans="1:2">
      <c r="A685" s="800" t="s">
        <v>4177</v>
      </c>
      <c r="B685" s="801">
        <v>31202022000</v>
      </c>
    </row>
    <row r="686" spans="1:2">
      <c r="A686" s="800" t="s">
        <v>4176</v>
      </c>
      <c r="B686" s="801">
        <v>31202023000</v>
      </c>
    </row>
    <row r="687" spans="1:2">
      <c r="A687" s="800" t="s">
        <v>4175</v>
      </c>
      <c r="B687" s="801">
        <v>31202023001</v>
      </c>
    </row>
    <row r="688" spans="1:2">
      <c r="A688" s="800" t="s">
        <v>4174</v>
      </c>
      <c r="B688" s="801">
        <v>31202023002</v>
      </c>
    </row>
    <row r="689" spans="1:2">
      <c r="A689" s="800" t="s">
        <v>4173</v>
      </c>
      <c r="B689" s="801">
        <v>31202023003</v>
      </c>
    </row>
    <row r="690" spans="1:2">
      <c r="A690" s="800" t="s">
        <v>4172</v>
      </c>
      <c r="B690" s="801">
        <v>31202023004</v>
      </c>
    </row>
    <row r="691" spans="1:2">
      <c r="A691" s="800" t="s">
        <v>4171</v>
      </c>
      <c r="B691" s="801">
        <v>31202023005</v>
      </c>
    </row>
    <row r="692" spans="1:2">
      <c r="A692" s="800" t="s">
        <v>4170</v>
      </c>
      <c r="B692" s="801">
        <v>31202023006</v>
      </c>
    </row>
    <row r="693" spans="1:2">
      <c r="A693" s="800" t="s">
        <v>4169</v>
      </c>
      <c r="B693" s="801">
        <v>31202024001</v>
      </c>
    </row>
    <row r="694" spans="1:2">
      <c r="A694" s="800" t="s">
        <v>4168</v>
      </c>
      <c r="B694" s="801">
        <v>31202024002</v>
      </c>
    </row>
    <row r="695" spans="1:2">
      <c r="A695" s="800" t="s">
        <v>4167</v>
      </c>
      <c r="B695" s="801">
        <v>31202024003</v>
      </c>
    </row>
    <row r="696" spans="1:2">
      <c r="A696" s="800" t="s">
        <v>4166</v>
      </c>
      <c r="B696" s="801">
        <v>31202024004</v>
      </c>
    </row>
    <row r="697" spans="1:2">
      <c r="A697" s="800" t="s">
        <v>4165</v>
      </c>
      <c r="B697" s="801">
        <v>31202025000</v>
      </c>
    </row>
    <row r="698" spans="1:2">
      <c r="A698" s="800" t="s">
        <v>4164</v>
      </c>
      <c r="B698" s="801">
        <v>31202026000</v>
      </c>
    </row>
    <row r="699" spans="1:2">
      <c r="A699" s="800" t="s">
        <v>4163</v>
      </c>
      <c r="B699" s="801">
        <v>31202027000</v>
      </c>
    </row>
    <row r="700" spans="1:2">
      <c r="A700" s="800" t="s">
        <v>4162</v>
      </c>
      <c r="B700" s="801">
        <v>31202027001</v>
      </c>
    </row>
    <row r="701" spans="1:2">
      <c r="A701" s="800" t="s">
        <v>4161</v>
      </c>
      <c r="B701" s="801">
        <v>31202027002</v>
      </c>
    </row>
    <row r="702" spans="1:2">
      <c r="A702" s="800" t="s">
        <v>4160</v>
      </c>
      <c r="B702" s="801">
        <v>31202027003</v>
      </c>
    </row>
    <row r="703" spans="1:2">
      <c r="A703" s="800" t="s">
        <v>4159</v>
      </c>
      <c r="B703" s="801">
        <v>31202027004</v>
      </c>
    </row>
    <row r="704" spans="1:2">
      <c r="A704" s="800" t="s">
        <v>4158</v>
      </c>
      <c r="B704" s="801">
        <v>31202027005</v>
      </c>
    </row>
    <row r="705" spans="1:2">
      <c r="A705" s="800" t="s">
        <v>4157</v>
      </c>
      <c r="B705" s="801">
        <v>31202027006</v>
      </c>
    </row>
    <row r="706" spans="1:2">
      <c r="A706" s="800" t="s">
        <v>4156</v>
      </c>
      <c r="B706" s="801">
        <v>31202027007</v>
      </c>
    </row>
    <row r="707" spans="1:2">
      <c r="A707" s="800" t="s">
        <v>4155</v>
      </c>
      <c r="B707" s="801">
        <v>31202027008</v>
      </c>
    </row>
    <row r="708" spans="1:2">
      <c r="A708" s="800" t="s">
        <v>4154</v>
      </c>
      <c r="B708" s="801">
        <v>31202028000</v>
      </c>
    </row>
    <row r="709" spans="1:2">
      <c r="A709" s="800" t="s">
        <v>4153</v>
      </c>
      <c r="B709" s="801">
        <v>31202029000</v>
      </c>
    </row>
    <row r="710" spans="1:2">
      <c r="A710" s="800" t="s">
        <v>4152</v>
      </c>
      <c r="B710" s="801">
        <v>31202029001</v>
      </c>
    </row>
    <row r="711" spans="1:2">
      <c r="A711" s="800" t="s">
        <v>4151</v>
      </c>
      <c r="B711" s="801">
        <v>31202029002</v>
      </c>
    </row>
    <row r="712" spans="1:2">
      <c r="A712" s="800" t="s">
        <v>4150</v>
      </c>
      <c r="B712" s="801">
        <v>31202029003</v>
      </c>
    </row>
    <row r="713" spans="1:2">
      <c r="A713" s="800" t="s">
        <v>4149</v>
      </c>
      <c r="B713" s="801">
        <v>31202029004</v>
      </c>
    </row>
    <row r="714" spans="1:2">
      <c r="A714" s="800" t="s">
        <v>4148</v>
      </c>
      <c r="B714" s="801">
        <v>31202029005</v>
      </c>
    </row>
    <row r="715" spans="1:2">
      <c r="A715" s="800" t="s">
        <v>4147</v>
      </c>
      <c r="B715" s="801">
        <v>31202029006</v>
      </c>
    </row>
    <row r="716" spans="1:2">
      <c r="A716" s="800" t="s">
        <v>4146</v>
      </c>
      <c r="B716" s="801">
        <v>31202029007</v>
      </c>
    </row>
    <row r="717" spans="1:2">
      <c r="A717" s="800" t="s">
        <v>4145</v>
      </c>
      <c r="B717" s="801">
        <v>31202030001</v>
      </c>
    </row>
    <row r="718" spans="1:2">
      <c r="A718" s="800" t="s">
        <v>4144</v>
      </c>
      <c r="B718" s="801">
        <v>31202030002</v>
      </c>
    </row>
    <row r="719" spans="1:2">
      <c r="A719" s="800" t="s">
        <v>4143</v>
      </c>
      <c r="B719" s="801">
        <v>31202031000</v>
      </c>
    </row>
    <row r="720" spans="1:2">
      <c r="A720" s="800" t="s">
        <v>4142</v>
      </c>
      <c r="B720" s="801">
        <v>31202032000</v>
      </c>
    </row>
    <row r="721" spans="1:2">
      <c r="A721" s="800" t="s">
        <v>4141</v>
      </c>
      <c r="B721" s="801">
        <v>31202033000</v>
      </c>
    </row>
    <row r="722" spans="1:2">
      <c r="A722" s="800" t="s">
        <v>4140</v>
      </c>
      <c r="B722" s="801">
        <v>31202034000</v>
      </c>
    </row>
    <row r="723" spans="1:2">
      <c r="A723" s="800" t="s">
        <v>4139</v>
      </c>
      <c r="B723" s="801">
        <v>31202035000</v>
      </c>
    </row>
    <row r="724" spans="1:2">
      <c r="A724" s="800" t="s">
        <v>4138</v>
      </c>
      <c r="B724" s="801">
        <v>31202036001</v>
      </c>
    </row>
    <row r="725" spans="1:2">
      <c r="A725" s="800" t="s">
        <v>4137</v>
      </c>
      <c r="B725" s="801">
        <v>31202036002</v>
      </c>
    </row>
    <row r="726" spans="1:2">
      <c r="A726" s="800" t="s">
        <v>4136</v>
      </c>
      <c r="B726" s="801">
        <v>31202037000</v>
      </c>
    </row>
    <row r="727" spans="1:2">
      <c r="A727" s="800" t="s">
        <v>4135</v>
      </c>
      <c r="B727" s="801">
        <v>31202038000</v>
      </c>
    </row>
    <row r="728" spans="1:2">
      <c r="A728" s="800" t="s">
        <v>4134</v>
      </c>
      <c r="B728" s="801">
        <v>31202038001</v>
      </c>
    </row>
    <row r="729" spans="1:2">
      <c r="A729" s="800" t="s">
        <v>4133</v>
      </c>
      <c r="B729" s="801">
        <v>31202038002</v>
      </c>
    </row>
    <row r="730" spans="1:2">
      <c r="A730" s="800" t="s">
        <v>4132</v>
      </c>
      <c r="B730" s="801">
        <v>31202038003</v>
      </c>
    </row>
    <row r="731" spans="1:2">
      <c r="A731" s="800" t="s">
        <v>4131</v>
      </c>
      <c r="B731" s="801">
        <v>31202038004</v>
      </c>
    </row>
    <row r="732" spans="1:2">
      <c r="A732" s="800" t="s">
        <v>4130</v>
      </c>
      <c r="B732" s="801">
        <v>31202038005</v>
      </c>
    </row>
    <row r="733" spans="1:2">
      <c r="A733" s="800" t="s">
        <v>4129</v>
      </c>
      <c r="B733" s="801">
        <v>31202038006</v>
      </c>
    </row>
    <row r="734" spans="1:2">
      <c r="A734" s="800" t="s">
        <v>4128</v>
      </c>
      <c r="B734" s="801">
        <v>31202038007</v>
      </c>
    </row>
    <row r="735" spans="1:2">
      <c r="A735" s="800" t="s">
        <v>4127</v>
      </c>
      <c r="B735" s="801">
        <v>31202039000</v>
      </c>
    </row>
    <row r="736" spans="1:2">
      <c r="A736" s="800" t="s">
        <v>4126</v>
      </c>
      <c r="B736" s="801">
        <v>31202040000</v>
      </c>
    </row>
    <row r="737" spans="1:2">
      <c r="A737" s="800" t="s">
        <v>4125</v>
      </c>
      <c r="B737" s="801">
        <v>31202041001</v>
      </c>
    </row>
    <row r="738" spans="1:2">
      <c r="A738" s="800" t="s">
        <v>4124</v>
      </c>
      <c r="B738" s="801">
        <v>31202041002</v>
      </c>
    </row>
    <row r="739" spans="1:2">
      <c r="A739" s="800" t="s">
        <v>4123</v>
      </c>
      <c r="B739" s="801">
        <v>31202042000</v>
      </c>
    </row>
    <row r="740" spans="1:2">
      <c r="A740" s="800" t="s">
        <v>4122</v>
      </c>
      <c r="B740" s="801">
        <v>31202043000</v>
      </c>
    </row>
    <row r="741" spans="1:2">
      <c r="A741" s="800" t="s">
        <v>4121</v>
      </c>
      <c r="B741" s="801">
        <v>31202044000</v>
      </c>
    </row>
    <row r="742" spans="1:2">
      <c r="A742" s="800" t="s">
        <v>4120</v>
      </c>
      <c r="B742" s="801">
        <v>31202045000</v>
      </c>
    </row>
    <row r="743" spans="1:2">
      <c r="A743" s="800" t="s">
        <v>4119</v>
      </c>
      <c r="B743" s="801">
        <v>31202046000</v>
      </c>
    </row>
    <row r="744" spans="1:2">
      <c r="A744" s="800" t="s">
        <v>4118</v>
      </c>
      <c r="B744" s="801">
        <v>31202047000</v>
      </c>
    </row>
    <row r="745" spans="1:2">
      <c r="A745" s="800" t="s">
        <v>4117</v>
      </c>
      <c r="B745" s="801">
        <v>31202048000</v>
      </c>
    </row>
    <row r="746" spans="1:2">
      <c r="A746" s="800" t="s">
        <v>4116</v>
      </c>
      <c r="B746" s="801">
        <v>31202049000</v>
      </c>
    </row>
    <row r="747" spans="1:2">
      <c r="A747" s="800" t="s">
        <v>4115</v>
      </c>
      <c r="B747" s="801">
        <v>31202050000</v>
      </c>
    </row>
    <row r="748" spans="1:2">
      <c r="A748" s="800" t="s">
        <v>4114</v>
      </c>
      <c r="B748" s="801">
        <v>31202051000</v>
      </c>
    </row>
    <row r="749" spans="1:2">
      <c r="A749" s="800" t="s">
        <v>4113</v>
      </c>
      <c r="B749" s="801">
        <v>31202052000</v>
      </c>
    </row>
    <row r="750" spans="1:2">
      <c r="A750" s="800" t="s">
        <v>4112</v>
      </c>
      <c r="B750" s="801">
        <v>31202053001</v>
      </c>
    </row>
    <row r="751" spans="1:2">
      <c r="A751" s="800" t="s">
        <v>4111</v>
      </c>
      <c r="B751" s="801">
        <v>31202053002</v>
      </c>
    </row>
    <row r="752" spans="1:2">
      <c r="A752" s="800" t="s">
        <v>4110</v>
      </c>
      <c r="B752" s="801">
        <v>31202053003</v>
      </c>
    </row>
    <row r="753" spans="1:2">
      <c r="A753" s="800" t="s">
        <v>4109</v>
      </c>
      <c r="B753" s="801">
        <v>31202053004</v>
      </c>
    </row>
    <row r="754" spans="1:2">
      <c r="A754" s="800" t="s">
        <v>4108</v>
      </c>
      <c r="B754" s="801">
        <v>31202054000</v>
      </c>
    </row>
    <row r="755" spans="1:2">
      <c r="A755" s="800" t="s">
        <v>4107</v>
      </c>
      <c r="B755" s="801">
        <v>31202055000</v>
      </c>
    </row>
    <row r="756" spans="1:2">
      <c r="A756" s="800" t="s">
        <v>4106</v>
      </c>
      <c r="B756" s="801">
        <v>31202056000</v>
      </c>
    </row>
    <row r="757" spans="1:2">
      <c r="A757" s="800" t="s">
        <v>4105</v>
      </c>
      <c r="B757" s="801">
        <v>31202057001</v>
      </c>
    </row>
    <row r="758" spans="1:2">
      <c r="A758" s="800" t="s">
        <v>4104</v>
      </c>
      <c r="B758" s="801">
        <v>31202057002</v>
      </c>
    </row>
    <row r="759" spans="1:2">
      <c r="A759" s="800" t="s">
        <v>4103</v>
      </c>
      <c r="B759" s="801">
        <v>31202058000</v>
      </c>
    </row>
    <row r="760" spans="1:2">
      <c r="A760" s="800" t="s">
        <v>4102</v>
      </c>
      <c r="B760" s="801">
        <v>31202059001</v>
      </c>
    </row>
    <row r="761" spans="1:2">
      <c r="A761" s="800" t="s">
        <v>4101</v>
      </c>
      <c r="B761" s="801">
        <v>31202059002</v>
      </c>
    </row>
    <row r="762" spans="1:2">
      <c r="A762" s="800" t="s">
        <v>4100</v>
      </c>
      <c r="B762" s="801">
        <v>31202059003</v>
      </c>
    </row>
    <row r="763" spans="1:2">
      <c r="A763" s="800" t="s">
        <v>4099</v>
      </c>
      <c r="B763" s="801">
        <v>31202059004</v>
      </c>
    </row>
    <row r="764" spans="1:2">
      <c r="A764" s="800" t="s">
        <v>4098</v>
      </c>
      <c r="B764" s="801">
        <v>31202060000</v>
      </c>
    </row>
    <row r="765" spans="1:2">
      <c r="A765" s="800" t="s">
        <v>4097</v>
      </c>
      <c r="B765" s="801">
        <v>31202060001</v>
      </c>
    </row>
    <row r="766" spans="1:2">
      <c r="A766" s="800" t="s">
        <v>4096</v>
      </c>
      <c r="B766" s="801">
        <v>31202060002</v>
      </c>
    </row>
    <row r="767" spans="1:2">
      <c r="A767" s="800" t="s">
        <v>4095</v>
      </c>
      <c r="B767" s="801">
        <v>31202061000</v>
      </c>
    </row>
    <row r="768" spans="1:2">
      <c r="A768" s="800" t="s">
        <v>4094</v>
      </c>
      <c r="B768" s="801">
        <v>31202062000</v>
      </c>
    </row>
    <row r="769" spans="1:2">
      <c r="A769" s="800" t="s">
        <v>4093</v>
      </c>
      <c r="B769" s="801">
        <v>31202063000</v>
      </c>
    </row>
    <row r="770" spans="1:2">
      <c r="A770" s="800" t="s">
        <v>4092</v>
      </c>
      <c r="B770" s="801">
        <v>31202064000</v>
      </c>
    </row>
    <row r="771" spans="1:2">
      <c r="A771" s="800" t="s">
        <v>4091</v>
      </c>
      <c r="B771" s="801">
        <v>31202065001</v>
      </c>
    </row>
    <row r="772" spans="1:2">
      <c r="A772" s="800" t="s">
        <v>4090</v>
      </c>
      <c r="B772" s="801">
        <v>31202065002</v>
      </c>
    </row>
    <row r="773" spans="1:2">
      <c r="A773" s="800" t="s">
        <v>4089</v>
      </c>
      <c r="B773" s="801">
        <v>31202065003</v>
      </c>
    </row>
    <row r="774" spans="1:2">
      <c r="A774" s="800" t="s">
        <v>4088</v>
      </c>
      <c r="B774" s="801">
        <v>31202066000</v>
      </c>
    </row>
    <row r="775" spans="1:2">
      <c r="A775" s="800" t="s">
        <v>4087</v>
      </c>
      <c r="B775" s="801">
        <v>31202067001</v>
      </c>
    </row>
    <row r="776" spans="1:2">
      <c r="A776" s="800" t="s">
        <v>4086</v>
      </c>
      <c r="B776" s="801">
        <v>31202067002</v>
      </c>
    </row>
    <row r="777" spans="1:2">
      <c r="A777" s="800" t="s">
        <v>4085</v>
      </c>
      <c r="B777" s="801">
        <v>31202067003</v>
      </c>
    </row>
    <row r="778" spans="1:2">
      <c r="A778" s="800" t="s">
        <v>4084</v>
      </c>
      <c r="B778" s="801">
        <v>31202068000</v>
      </c>
    </row>
    <row r="779" spans="1:2">
      <c r="A779" s="800" t="s">
        <v>4083</v>
      </c>
      <c r="B779" s="801">
        <v>31202069000</v>
      </c>
    </row>
    <row r="780" spans="1:2">
      <c r="A780" s="800" t="s">
        <v>4082</v>
      </c>
      <c r="B780" s="801">
        <v>31202070000</v>
      </c>
    </row>
    <row r="781" spans="1:2">
      <c r="A781" s="800" t="s">
        <v>4081</v>
      </c>
      <c r="B781" s="801">
        <v>31202070001</v>
      </c>
    </row>
    <row r="782" spans="1:2">
      <c r="A782" s="800" t="s">
        <v>4080</v>
      </c>
      <c r="B782" s="801">
        <v>31202070002</v>
      </c>
    </row>
    <row r="783" spans="1:2">
      <c r="A783" s="800" t="s">
        <v>4079</v>
      </c>
      <c r="B783" s="801">
        <v>31202070003</v>
      </c>
    </row>
    <row r="784" spans="1:2">
      <c r="A784" s="800" t="s">
        <v>4078</v>
      </c>
      <c r="B784" s="801">
        <v>31202070004</v>
      </c>
    </row>
    <row r="785" spans="1:2">
      <c r="A785" s="800" t="s">
        <v>4077</v>
      </c>
      <c r="B785" s="801">
        <v>31202070005</v>
      </c>
    </row>
    <row r="786" spans="1:2">
      <c r="A786" s="800" t="s">
        <v>4076</v>
      </c>
      <c r="B786" s="801">
        <v>31202070006</v>
      </c>
    </row>
    <row r="787" spans="1:2">
      <c r="A787" s="800" t="s">
        <v>4075</v>
      </c>
      <c r="B787" s="801">
        <v>31202070007</v>
      </c>
    </row>
    <row r="788" spans="1:2">
      <c r="A788" s="800" t="s">
        <v>4074</v>
      </c>
      <c r="B788" s="801">
        <v>31202070008</v>
      </c>
    </row>
    <row r="789" spans="1:2">
      <c r="A789" s="800" t="s">
        <v>4073</v>
      </c>
      <c r="B789" s="801">
        <v>31202070009</v>
      </c>
    </row>
    <row r="790" spans="1:2">
      <c r="A790" s="800" t="s">
        <v>4072</v>
      </c>
      <c r="B790" s="801">
        <v>31202071000</v>
      </c>
    </row>
    <row r="791" spans="1:2">
      <c r="A791" s="800" t="s">
        <v>4071</v>
      </c>
      <c r="B791" s="801">
        <v>31202072000</v>
      </c>
    </row>
    <row r="792" spans="1:2">
      <c r="A792" s="800" t="s">
        <v>4070</v>
      </c>
      <c r="B792" s="801">
        <v>31202073000</v>
      </c>
    </row>
    <row r="793" spans="1:2">
      <c r="A793" s="800" t="s">
        <v>4069</v>
      </c>
      <c r="B793" s="801">
        <v>31202073001</v>
      </c>
    </row>
    <row r="794" spans="1:2">
      <c r="A794" s="800" t="s">
        <v>4068</v>
      </c>
      <c r="B794" s="801">
        <v>31202073002</v>
      </c>
    </row>
    <row r="795" spans="1:2">
      <c r="A795" s="800" t="s">
        <v>4067</v>
      </c>
      <c r="B795" s="801">
        <v>31202073003</v>
      </c>
    </row>
    <row r="796" spans="1:2">
      <c r="A796" s="800" t="s">
        <v>4066</v>
      </c>
      <c r="B796" s="801">
        <v>31202073004</v>
      </c>
    </row>
    <row r="797" spans="1:2">
      <c r="A797" s="800" t="s">
        <v>4065</v>
      </c>
      <c r="B797" s="801">
        <v>31202073005</v>
      </c>
    </row>
    <row r="798" spans="1:2">
      <c r="A798" s="800" t="s">
        <v>4064</v>
      </c>
      <c r="B798" s="801">
        <v>31202073006</v>
      </c>
    </row>
    <row r="799" spans="1:2">
      <c r="A799" s="800" t="s">
        <v>4063</v>
      </c>
      <c r="B799" s="801">
        <v>31202073007</v>
      </c>
    </row>
    <row r="800" spans="1:2">
      <c r="A800" s="800" t="s">
        <v>4062</v>
      </c>
      <c r="B800" s="801">
        <v>31202073008</v>
      </c>
    </row>
    <row r="801" spans="1:2">
      <c r="A801" s="800" t="s">
        <v>4061</v>
      </c>
      <c r="B801" s="801">
        <v>31202073009</v>
      </c>
    </row>
    <row r="802" spans="1:2">
      <c r="A802" s="800" t="s">
        <v>4060</v>
      </c>
      <c r="B802" s="801">
        <v>31202074000</v>
      </c>
    </row>
    <row r="803" spans="1:2">
      <c r="A803" s="800" t="s">
        <v>4059</v>
      </c>
      <c r="B803" s="801">
        <v>31202075001</v>
      </c>
    </row>
    <row r="804" spans="1:2">
      <c r="A804" s="800" t="s">
        <v>4058</v>
      </c>
      <c r="B804" s="801">
        <v>31202075002</v>
      </c>
    </row>
    <row r="805" spans="1:2">
      <c r="A805" s="800" t="s">
        <v>4057</v>
      </c>
      <c r="B805" s="801">
        <v>31202075003</v>
      </c>
    </row>
    <row r="806" spans="1:2">
      <c r="A806" s="800" t="s">
        <v>4056</v>
      </c>
      <c r="B806" s="801">
        <v>31202075004</v>
      </c>
    </row>
    <row r="807" spans="1:2">
      <c r="A807" s="800" t="s">
        <v>4055</v>
      </c>
      <c r="B807" s="801">
        <v>31202076000</v>
      </c>
    </row>
    <row r="808" spans="1:2">
      <c r="A808" s="800" t="s">
        <v>4054</v>
      </c>
      <c r="B808" s="801">
        <v>31202077000</v>
      </c>
    </row>
    <row r="809" spans="1:2">
      <c r="A809" s="800" t="s">
        <v>4053</v>
      </c>
      <c r="B809" s="801">
        <v>31202078000</v>
      </c>
    </row>
    <row r="810" spans="1:2">
      <c r="A810" s="800" t="s">
        <v>4052</v>
      </c>
      <c r="B810" s="801">
        <v>31202078001</v>
      </c>
    </row>
    <row r="811" spans="1:2">
      <c r="A811" s="800" t="s">
        <v>4051</v>
      </c>
      <c r="B811" s="801">
        <v>31202078002</v>
      </c>
    </row>
    <row r="812" spans="1:2">
      <c r="A812" s="800" t="s">
        <v>4050</v>
      </c>
      <c r="B812" s="801">
        <v>31202078003</v>
      </c>
    </row>
    <row r="813" spans="1:2">
      <c r="A813" s="800" t="s">
        <v>4049</v>
      </c>
      <c r="B813" s="801">
        <v>31202078004</v>
      </c>
    </row>
    <row r="814" spans="1:2">
      <c r="A814" s="800" t="s">
        <v>4048</v>
      </c>
      <c r="B814" s="801">
        <v>31202078005</v>
      </c>
    </row>
    <row r="815" spans="1:2">
      <c r="A815" s="800" t="s">
        <v>4047</v>
      </c>
      <c r="B815" s="801">
        <v>31202078006</v>
      </c>
    </row>
    <row r="816" spans="1:2">
      <c r="A816" s="800" t="s">
        <v>4046</v>
      </c>
      <c r="B816" s="801">
        <v>31202078007</v>
      </c>
    </row>
    <row r="817" spans="1:2">
      <c r="A817" s="800" t="s">
        <v>4045</v>
      </c>
      <c r="B817" s="801">
        <v>31202078008</v>
      </c>
    </row>
    <row r="818" spans="1:2">
      <c r="A818" s="800" t="s">
        <v>4044</v>
      </c>
      <c r="B818" s="801">
        <v>31202079000</v>
      </c>
    </row>
    <row r="819" spans="1:2">
      <c r="A819" s="800" t="s">
        <v>4043</v>
      </c>
      <c r="B819" s="801">
        <v>31202080000</v>
      </c>
    </row>
    <row r="820" spans="1:2">
      <c r="A820" s="800" t="s">
        <v>4042</v>
      </c>
      <c r="B820" s="801">
        <v>31202081000</v>
      </c>
    </row>
    <row r="821" spans="1:2">
      <c r="A821" s="800" t="s">
        <v>4041</v>
      </c>
      <c r="B821" s="801">
        <v>31202082000</v>
      </c>
    </row>
    <row r="822" spans="1:2">
      <c r="A822" s="800" t="s">
        <v>4040</v>
      </c>
      <c r="B822" s="801">
        <v>31202082001</v>
      </c>
    </row>
    <row r="823" spans="1:2">
      <c r="A823" s="800" t="s">
        <v>4039</v>
      </c>
      <c r="B823" s="801">
        <v>31202082002</v>
      </c>
    </row>
    <row r="824" spans="1:2">
      <c r="A824" s="800" t="s">
        <v>4038</v>
      </c>
      <c r="B824" s="801">
        <v>31202083000</v>
      </c>
    </row>
    <row r="825" spans="1:2">
      <c r="A825" s="800" t="s">
        <v>4037</v>
      </c>
      <c r="B825" s="801">
        <v>31202084000</v>
      </c>
    </row>
    <row r="826" spans="1:2">
      <c r="A826" s="800" t="s">
        <v>4036</v>
      </c>
      <c r="B826" s="801">
        <v>31202085000</v>
      </c>
    </row>
    <row r="827" spans="1:2">
      <c r="A827" s="800" t="s">
        <v>4035</v>
      </c>
      <c r="B827" s="801">
        <v>31202086000</v>
      </c>
    </row>
    <row r="828" spans="1:2">
      <c r="A828" s="800" t="s">
        <v>4034</v>
      </c>
      <c r="B828" s="801">
        <v>31202087000</v>
      </c>
    </row>
    <row r="829" spans="1:2">
      <c r="A829" s="800" t="s">
        <v>4033</v>
      </c>
      <c r="B829" s="801">
        <v>31202087001</v>
      </c>
    </row>
    <row r="830" spans="1:2">
      <c r="A830" s="800" t="s">
        <v>4032</v>
      </c>
      <c r="B830" s="801">
        <v>31202087002</v>
      </c>
    </row>
    <row r="831" spans="1:2">
      <c r="A831" s="800" t="s">
        <v>4031</v>
      </c>
      <c r="B831" s="801">
        <v>31202088000</v>
      </c>
    </row>
    <row r="832" spans="1:2">
      <c r="A832" s="800" t="s">
        <v>4030</v>
      </c>
      <c r="B832" s="801">
        <v>31202089000</v>
      </c>
    </row>
    <row r="833" spans="1:2">
      <c r="A833" s="800" t="s">
        <v>4029</v>
      </c>
      <c r="B833" s="801">
        <v>31202090000</v>
      </c>
    </row>
    <row r="834" spans="1:2">
      <c r="A834" s="800" t="s">
        <v>4028</v>
      </c>
      <c r="B834" s="801">
        <v>31202091000</v>
      </c>
    </row>
    <row r="835" spans="1:2">
      <c r="A835" s="800" t="s">
        <v>4027</v>
      </c>
      <c r="B835" s="801">
        <v>31202092000</v>
      </c>
    </row>
    <row r="836" spans="1:2">
      <c r="A836" s="800" t="s">
        <v>4026</v>
      </c>
      <c r="B836" s="801">
        <v>31202093000</v>
      </c>
    </row>
    <row r="837" spans="1:2">
      <c r="A837" s="800" t="s">
        <v>4025</v>
      </c>
      <c r="B837" s="801">
        <v>31202094000</v>
      </c>
    </row>
    <row r="838" spans="1:2">
      <c r="A838" s="800" t="s">
        <v>4024</v>
      </c>
      <c r="B838" s="801">
        <v>31202095000</v>
      </c>
    </row>
    <row r="839" spans="1:2">
      <c r="A839" s="800" t="s">
        <v>4023</v>
      </c>
      <c r="B839" s="801">
        <v>31202096000</v>
      </c>
    </row>
    <row r="840" spans="1:2">
      <c r="A840" s="800" t="s">
        <v>4022</v>
      </c>
      <c r="B840" s="801">
        <v>31202097000</v>
      </c>
    </row>
    <row r="841" spans="1:2">
      <c r="A841" s="800" t="s">
        <v>4021</v>
      </c>
      <c r="B841" s="801">
        <v>31202098000</v>
      </c>
    </row>
    <row r="842" spans="1:2">
      <c r="A842" s="800" t="s">
        <v>4020</v>
      </c>
      <c r="B842" s="801">
        <v>31202099000</v>
      </c>
    </row>
    <row r="843" spans="1:2">
      <c r="A843" s="800" t="s">
        <v>4019</v>
      </c>
      <c r="B843" s="801">
        <v>31202100000</v>
      </c>
    </row>
    <row r="844" spans="1:2">
      <c r="A844" s="800" t="s">
        <v>4018</v>
      </c>
      <c r="B844" s="801">
        <v>31202101000</v>
      </c>
    </row>
    <row r="845" spans="1:2">
      <c r="A845" s="800" t="s">
        <v>4017</v>
      </c>
      <c r="B845" s="801">
        <v>31202102000</v>
      </c>
    </row>
    <row r="846" spans="1:2">
      <c r="A846" s="800" t="s">
        <v>4016</v>
      </c>
      <c r="B846" s="801">
        <v>31202103000</v>
      </c>
    </row>
    <row r="847" spans="1:2">
      <c r="A847" s="800" t="s">
        <v>4015</v>
      </c>
      <c r="B847" s="801">
        <v>31202104000</v>
      </c>
    </row>
    <row r="848" spans="1:2">
      <c r="A848" s="800" t="s">
        <v>4014</v>
      </c>
      <c r="B848" s="801">
        <v>31202105000</v>
      </c>
    </row>
    <row r="849" spans="1:2">
      <c r="A849" s="800" t="s">
        <v>4013</v>
      </c>
      <c r="B849" s="801">
        <v>31202105001</v>
      </c>
    </row>
    <row r="850" spans="1:2">
      <c r="A850" s="800" t="s">
        <v>4012</v>
      </c>
      <c r="B850" s="801">
        <v>31202105002</v>
      </c>
    </row>
    <row r="851" spans="1:2">
      <c r="A851" s="800" t="s">
        <v>4011</v>
      </c>
      <c r="B851" s="801">
        <v>31202105003</v>
      </c>
    </row>
    <row r="852" spans="1:2">
      <c r="A852" s="800" t="s">
        <v>4010</v>
      </c>
      <c r="B852" s="801">
        <v>31202105004</v>
      </c>
    </row>
    <row r="853" spans="1:2">
      <c r="A853" s="800" t="s">
        <v>4009</v>
      </c>
      <c r="B853" s="801">
        <v>31202105005</v>
      </c>
    </row>
    <row r="854" spans="1:2">
      <c r="A854" s="800" t="s">
        <v>4008</v>
      </c>
      <c r="B854" s="801">
        <v>31202105006</v>
      </c>
    </row>
    <row r="855" spans="1:2">
      <c r="A855" s="800" t="s">
        <v>4007</v>
      </c>
      <c r="B855" s="801">
        <v>31202105007</v>
      </c>
    </row>
    <row r="856" spans="1:2">
      <c r="A856" s="800" t="s">
        <v>4006</v>
      </c>
      <c r="B856" s="801">
        <v>31202105008</v>
      </c>
    </row>
    <row r="857" spans="1:2">
      <c r="A857" s="800" t="s">
        <v>4005</v>
      </c>
      <c r="B857" s="801">
        <v>31202105009</v>
      </c>
    </row>
    <row r="858" spans="1:2">
      <c r="A858" s="800" t="s">
        <v>4004</v>
      </c>
      <c r="B858" s="801">
        <v>31202106000</v>
      </c>
    </row>
    <row r="859" spans="1:2">
      <c r="A859" s="800" t="s">
        <v>4003</v>
      </c>
      <c r="B859" s="801">
        <v>31202107000</v>
      </c>
    </row>
    <row r="860" spans="1:2">
      <c r="A860" s="800" t="s">
        <v>4002</v>
      </c>
      <c r="B860" s="801">
        <v>31202108000</v>
      </c>
    </row>
    <row r="861" spans="1:2">
      <c r="A861" s="800" t="s">
        <v>4001</v>
      </c>
      <c r="B861" s="801">
        <v>31202109001</v>
      </c>
    </row>
    <row r="862" spans="1:2">
      <c r="A862" s="800" t="s">
        <v>4000</v>
      </c>
      <c r="B862" s="801">
        <v>31202109002</v>
      </c>
    </row>
    <row r="863" spans="1:2">
      <c r="A863" s="800" t="s">
        <v>3999</v>
      </c>
      <c r="B863" s="801">
        <v>31202109003</v>
      </c>
    </row>
    <row r="864" spans="1:2">
      <c r="A864" s="800" t="s">
        <v>3998</v>
      </c>
      <c r="B864" s="801">
        <v>31202110001</v>
      </c>
    </row>
    <row r="865" spans="1:2">
      <c r="A865" s="800" t="s">
        <v>3997</v>
      </c>
      <c r="B865" s="801">
        <v>31202110002</v>
      </c>
    </row>
    <row r="866" spans="1:2">
      <c r="A866" s="800" t="s">
        <v>3996</v>
      </c>
      <c r="B866" s="801">
        <v>31202110003</v>
      </c>
    </row>
    <row r="867" spans="1:2">
      <c r="A867" s="800" t="s">
        <v>3995</v>
      </c>
      <c r="B867" s="801">
        <v>31202111000</v>
      </c>
    </row>
    <row r="868" spans="1:2">
      <c r="A868" s="800" t="s">
        <v>3994</v>
      </c>
      <c r="B868" s="801">
        <v>31202112001</v>
      </c>
    </row>
    <row r="869" spans="1:2">
      <c r="A869" s="800" t="s">
        <v>3993</v>
      </c>
      <c r="B869" s="801">
        <v>31202112002</v>
      </c>
    </row>
    <row r="870" spans="1:2">
      <c r="A870" s="800" t="s">
        <v>3992</v>
      </c>
      <c r="B870" s="801">
        <v>31202112003</v>
      </c>
    </row>
    <row r="871" spans="1:2">
      <c r="A871" s="800" t="s">
        <v>3991</v>
      </c>
      <c r="B871" s="801">
        <v>31202112004</v>
      </c>
    </row>
    <row r="872" spans="1:2">
      <c r="A872" s="800" t="s">
        <v>3990</v>
      </c>
      <c r="B872" s="801">
        <v>31202113000</v>
      </c>
    </row>
    <row r="873" spans="1:2">
      <c r="A873" s="800" t="s">
        <v>3989</v>
      </c>
      <c r="B873" s="801">
        <v>31202114001</v>
      </c>
    </row>
    <row r="874" spans="1:2">
      <c r="A874" s="800" t="s">
        <v>3988</v>
      </c>
      <c r="B874" s="801">
        <v>31202114002</v>
      </c>
    </row>
    <row r="875" spans="1:2">
      <c r="A875" s="800" t="s">
        <v>3987</v>
      </c>
      <c r="B875" s="801">
        <v>31202114003</v>
      </c>
    </row>
    <row r="876" spans="1:2">
      <c r="A876" s="800" t="s">
        <v>3986</v>
      </c>
      <c r="B876" s="801">
        <v>31202114004</v>
      </c>
    </row>
    <row r="877" spans="1:2">
      <c r="A877" s="800" t="s">
        <v>3985</v>
      </c>
      <c r="B877" s="801">
        <v>31202115001</v>
      </c>
    </row>
    <row r="878" spans="1:2">
      <c r="A878" s="800" t="s">
        <v>3984</v>
      </c>
      <c r="B878" s="801">
        <v>31202115002</v>
      </c>
    </row>
    <row r="879" spans="1:2">
      <c r="A879" s="800" t="s">
        <v>3983</v>
      </c>
      <c r="B879" s="801">
        <v>31202115003</v>
      </c>
    </row>
    <row r="880" spans="1:2">
      <c r="A880" s="800" t="s">
        <v>3982</v>
      </c>
      <c r="B880" s="801">
        <v>31202115004</v>
      </c>
    </row>
    <row r="881" spans="1:2">
      <c r="A881" s="800" t="s">
        <v>3981</v>
      </c>
      <c r="B881" s="801">
        <v>31202115005</v>
      </c>
    </row>
    <row r="882" spans="1:2">
      <c r="A882" s="800" t="s">
        <v>3980</v>
      </c>
      <c r="B882" s="801">
        <v>31202115006</v>
      </c>
    </row>
    <row r="883" spans="1:2">
      <c r="A883" s="800" t="s">
        <v>3979</v>
      </c>
      <c r="B883" s="801">
        <v>31202115007</v>
      </c>
    </row>
    <row r="884" spans="1:2">
      <c r="A884" s="800" t="s">
        <v>3978</v>
      </c>
      <c r="B884" s="801">
        <v>31202116000</v>
      </c>
    </row>
    <row r="885" spans="1:2">
      <c r="A885" s="800" t="s">
        <v>3977</v>
      </c>
      <c r="B885" s="801">
        <v>31202117001</v>
      </c>
    </row>
    <row r="886" spans="1:2">
      <c r="A886" s="800" t="s">
        <v>3976</v>
      </c>
      <c r="B886" s="801">
        <v>31202117002</v>
      </c>
    </row>
    <row r="887" spans="1:2">
      <c r="A887" s="800" t="s">
        <v>3975</v>
      </c>
      <c r="B887" s="801">
        <v>31202117003</v>
      </c>
    </row>
    <row r="888" spans="1:2">
      <c r="A888" s="800" t="s">
        <v>3974</v>
      </c>
      <c r="B888" s="801">
        <v>31202117004</v>
      </c>
    </row>
    <row r="889" spans="1:2">
      <c r="A889" s="800" t="s">
        <v>3973</v>
      </c>
      <c r="B889" s="801">
        <v>31202117005</v>
      </c>
    </row>
    <row r="890" spans="1:2">
      <c r="A890" s="800" t="s">
        <v>3972</v>
      </c>
      <c r="B890" s="801">
        <v>31202118001</v>
      </c>
    </row>
    <row r="891" spans="1:2">
      <c r="A891" s="800" t="s">
        <v>3971</v>
      </c>
      <c r="B891" s="801">
        <v>31202118002</v>
      </c>
    </row>
    <row r="892" spans="1:2">
      <c r="A892" s="800" t="s">
        <v>3970</v>
      </c>
      <c r="B892" s="801">
        <v>31202119000</v>
      </c>
    </row>
    <row r="893" spans="1:2">
      <c r="A893" s="800" t="s">
        <v>3969</v>
      </c>
      <c r="B893" s="801">
        <v>31202120000</v>
      </c>
    </row>
    <row r="894" spans="1:2">
      <c r="A894" s="800" t="s">
        <v>3968</v>
      </c>
      <c r="B894" s="801">
        <v>31202121000</v>
      </c>
    </row>
    <row r="895" spans="1:2">
      <c r="A895" s="800" t="s">
        <v>3967</v>
      </c>
      <c r="B895" s="801">
        <v>31202121101</v>
      </c>
    </row>
    <row r="896" spans="1:2">
      <c r="A896" s="800" t="s">
        <v>3966</v>
      </c>
      <c r="B896" s="801">
        <v>31202121102</v>
      </c>
    </row>
    <row r="897" spans="1:2">
      <c r="A897" s="800" t="s">
        <v>3965</v>
      </c>
      <c r="B897" s="801">
        <v>31202122000</v>
      </c>
    </row>
    <row r="898" spans="1:2">
      <c r="A898" s="800" t="s">
        <v>3964</v>
      </c>
      <c r="B898" s="801">
        <v>31202122101</v>
      </c>
    </row>
    <row r="899" spans="1:2">
      <c r="A899" s="800" t="s">
        <v>3963</v>
      </c>
      <c r="B899" s="801">
        <v>31202122102</v>
      </c>
    </row>
    <row r="900" spans="1:2">
      <c r="A900" s="800" t="s">
        <v>3962</v>
      </c>
      <c r="B900" s="801">
        <v>31202123000</v>
      </c>
    </row>
    <row r="901" spans="1:2">
      <c r="A901" s="800" t="s">
        <v>3961</v>
      </c>
      <c r="B901" s="801">
        <v>31202124000</v>
      </c>
    </row>
    <row r="902" spans="1:2">
      <c r="A902" s="800" t="s">
        <v>3960</v>
      </c>
      <c r="B902" s="801">
        <v>31202125000</v>
      </c>
    </row>
    <row r="903" spans="1:2">
      <c r="A903" s="800" t="s">
        <v>3959</v>
      </c>
      <c r="B903" s="801">
        <v>31202126000</v>
      </c>
    </row>
    <row r="904" spans="1:2">
      <c r="A904" s="800" t="s">
        <v>3958</v>
      </c>
      <c r="B904" s="801">
        <v>31202126101</v>
      </c>
    </row>
    <row r="905" spans="1:2">
      <c r="A905" s="800" t="s">
        <v>3957</v>
      </c>
      <c r="B905" s="801">
        <v>31202126102</v>
      </c>
    </row>
    <row r="906" spans="1:2">
      <c r="A906" s="800" t="s">
        <v>3956</v>
      </c>
      <c r="B906" s="801">
        <v>31202127000</v>
      </c>
    </row>
    <row r="907" spans="1:2">
      <c r="A907" s="800" t="s">
        <v>3955</v>
      </c>
      <c r="B907" s="801">
        <v>31202128000</v>
      </c>
    </row>
    <row r="908" spans="1:2">
      <c r="A908" s="800" t="s">
        <v>3954</v>
      </c>
      <c r="B908" s="801">
        <v>31202128101</v>
      </c>
    </row>
    <row r="909" spans="1:2">
      <c r="A909" s="800" t="s">
        <v>3953</v>
      </c>
      <c r="B909" s="801">
        <v>31202128102</v>
      </c>
    </row>
    <row r="910" spans="1:2">
      <c r="A910" s="800" t="s">
        <v>3952</v>
      </c>
      <c r="B910" s="801">
        <v>31202128103</v>
      </c>
    </row>
    <row r="911" spans="1:2">
      <c r="A911" s="800" t="s">
        <v>3951</v>
      </c>
      <c r="B911" s="801">
        <v>31202129000</v>
      </c>
    </row>
    <row r="912" spans="1:2">
      <c r="A912" s="800" t="s">
        <v>3950</v>
      </c>
      <c r="B912" s="801">
        <v>31202130000</v>
      </c>
    </row>
    <row r="913" spans="1:2">
      <c r="A913" s="800" t="s">
        <v>3949</v>
      </c>
      <c r="B913" s="801">
        <v>31202131000</v>
      </c>
    </row>
    <row r="914" spans="1:2">
      <c r="A914" s="800" t="s">
        <v>3948</v>
      </c>
      <c r="B914" s="801">
        <v>31202131101</v>
      </c>
    </row>
    <row r="915" spans="1:2">
      <c r="A915" s="800" t="s">
        <v>3947</v>
      </c>
      <c r="B915" s="801">
        <v>31202131102</v>
      </c>
    </row>
    <row r="916" spans="1:2">
      <c r="A916" s="800" t="s">
        <v>3946</v>
      </c>
      <c r="B916" s="801">
        <v>31202132000</v>
      </c>
    </row>
    <row r="917" spans="1:2">
      <c r="A917" s="800" t="s">
        <v>3945</v>
      </c>
      <c r="B917" s="801">
        <v>31202133000</v>
      </c>
    </row>
    <row r="918" spans="1:2">
      <c r="A918" s="800" t="s">
        <v>3944</v>
      </c>
      <c r="B918" s="801">
        <v>31202134000</v>
      </c>
    </row>
    <row r="919" spans="1:2">
      <c r="A919" s="800" t="s">
        <v>3943</v>
      </c>
      <c r="B919" s="801">
        <v>31202134101</v>
      </c>
    </row>
    <row r="920" spans="1:2">
      <c r="A920" s="800" t="s">
        <v>3942</v>
      </c>
      <c r="B920" s="801">
        <v>31202134102</v>
      </c>
    </row>
    <row r="921" spans="1:2">
      <c r="A921" s="800" t="s">
        <v>3941</v>
      </c>
      <c r="B921" s="801">
        <v>31202134103</v>
      </c>
    </row>
    <row r="922" spans="1:2">
      <c r="A922" s="800" t="s">
        <v>3940</v>
      </c>
      <c r="B922" s="801">
        <v>31202134104</v>
      </c>
    </row>
    <row r="923" spans="1:2">
      <c r="A923" s="800" t="s">
        <v>3939</v>
      </c>
      <c r="B923" s="801">
        <v>31202134105</v>
      </c>
    </row>
    <row r="924" spans="1:2">
      <c r="A924" s="800" t="s">
        <v>3938</v>
      </c>
      <c r="B924" s="801">
        <v>31202134106</v>
      </c>
    </row>
    <row r="925" spans="1:2">
      <c r="A925" s="800" t="s">
        <v>3937</v>
      </c>
      <c r="B925" s="801">
        <v>31202134107</v>
      </c>
    </row>
    <row r="926" spans="1:2">
      <c r="A926" s="800" t="s">
        <v>3936</v>
      </c>
      <c r="B926" s="801">
        <v>31202134108</v>
      </c>
    </row>
    <row r="927" spans="1:2">
      <c r="A927" s="800" t="s">
        <v>3935</v>
      </c>
      <c r="B927" s="801">
        <v>31203000000</v>
      </c>
    </row>
    <row r="928" spans="1:2">
      <c r="A928" s="800" t="s">
        <v>3934</v>
      </c>
      <c r="B928" s="801">
        <v>31203001000</v>
      </c>
    </row>
    <row r="929" spans="1:2">
      <c r="A929" s="800" t="s">
        <v>3933</v>
      </c>
      <c r="B929" s="801">
        <v>31203002000</v>
      </c>
    </row>
    <row r="930" spans="1:2">
      <c r="A930" s="800" t="s">
        <v>3932</v>
      </c>
      <c r="B930" s="801">
        <v>31203002101</v>
      </c>
    </row>
    <row r="931" spans="1:2">
      <c r="A931" s="800" t="s">
        <v>3931</v>
      </c>
      <c r="B931" s="801">
        <v>31203002102</v>
      </c>
    </row>
    <row r="932" spans="1:2">
      <c r="A932" s="800" t="s">
        <v>3930</v>
      </c>
      <c r="B932" s="801">
        <v>31203002103</v>
      </c>
    </row>
    <row r="933" spans="1:2">
      <c r="A933" s="800" t="s">
        <v>3929</v>
      </c>
      <c r="B933" s="801">
        <v>31203002104</v>
      </c>
    </row>
    <row r="934" spans="1:2">
      <c r="A934" s="800" t="s">
        <v>3928</v>
      </c>
      <c r="B934" s="801">
        <v>31203002105</v>
      </c>
    </row>
    <row r="935" spans="1:2">
      <c r="A935" s="800" t="s">
        <v>3927</v>
      </c>
      <c r="B935" s="801">
        <v>31203002106</v>
      </c>
    </row>
    <row r="936" spans="1:2">
      <c r="A936" s="800" t="s">
        <v>3926</v>
      </c>
      <c r="B936" s="801">
        <v>31203003001</v>
      </c>
    </row>
    <row r="937" spans="1:2">
      <c r="A937" s="800" t="s">
        <v>3925</v>
      </c>
      <c r="B937" s="801">
        <v>31203003002</v>
      </c>
    </row>
    <row r="938" spans="1:2">
      <c r="A938" s="800" t="s">
        <v>3924</v>
      </c>
      <c r="B938" s="801">
        <v>31203004000</v>
      </c>
    </row>
    <row r="939" spans="1:2">
      <c r="A939" s="800" t="s">
        <v>3923</v>
      </c>
      <c r="B939" s="801">
        <v>31203005000</v>
      </c>
    </row>
    <row r="940" spans="1:2">
      <c r="A940" s="800" t="s">
        <v>3922</v>
      </c>
      <c r="B940" s="801">
        <v>31203006000</v>
      </c>
    </row>
    <row r="941" spans="1:2">
      <c r="A941" s="800" t="s">
        <v>3921</v>
      </c>
      <c r="B941" s="801">
        <v>31203007000</v>
      </c>
    </row>
    <row r="942" spans="1:2">
      <c r="A942" s="800" t="s">
        <v>3920</v>
      </c>
      <c r="B942" s="801">
        <v>31203008000</v>
      </c>
    </row>
    <row r="943" spans="1:2">
      <c r="A943" s="800" t="s">
        <v>3919</v>
      </c>
      <c r="B943" s="801">
        <v>31203009000</v>
      </c>
    </row>
    <row r="944" spans="1:2">
      <c r="A944" s="800" t="s">
        <v>3918</v>
      </c>
      <c r="B944" s="801">
        <v>31203010000</v>
      </c>
    </row>
    <row r="945" spans="1:2">
      <c r="A945" s="800" t="s">
        <v>3917</v>
      </c>
      <c r="B945" s="801">
        <v>31203011000</v>
      </c>
    </row>
    <row r="946" spans="1:2">
      <c r="A946" s="800" t="s">
        <v>3916</v>
      </c>
      <c r="B946" s="801">
        <v>31203012000</v>
      </c>
    </row>
    <row r="947" spans="1:2">
      <c r="A947" s="800" t="s">
        <v>3915</v>
      </c>
      <c r="B947" s="801">
        <v>31203012101</v>
      </c>
    </row>
    <row r="948" spans="1:2">
      <c r="A948" s="800" t="s">
        <v>3914</v>
      </c>
      <c r="B948" s="801">
        <v>31203012102</v>
      </c>
    </row>
    <row r="949" spans="1:2">
      <c r="A949" s="800" t="s">
        <v>3913</v>
      </c>
      <c r="B949" s="801">
        <v>31203012103</v>
      </c>
    </row>
    <row r="950" spans="1:2">
      <c r="A950" s="800" t="s">
        <v>3912</v>
      </c>
      <c r="B950" s="801">
        <v>31203013000</v>
      </c>
    </row>
    <row r="951" spans="1:2">
      <c r="A951" s="800" t="s">
        <v>3911</v>
      </c>
      <c r="B951" s="801">
        <v>31203014000</v>
      </c>
    </row>
    <row r="952" spans="1:2">
      <c r="A952" s="800" t="s">
        <v>3910</v>
      </c>
      <c r="B952" s="801">
        <v>31203015000</v>
      </c>
    </row>
    <row r="953" spans="1:2">
      <c r="A953" s="800" t="s">
        <v>3909</v>
      </c>
      <c r="B953" s="801">
        <v>31203016000</v>
      </c>
    </row>
    <row r="954" spans="1:2">
      <c r="A954" s="800" t="s">
        <v>3908</v>
      </c>
      <c r="B954" s="801">
        <v>31203017000</v>
      </c>
    </row>
    <row r="955" spans="1:2">
      <c r="A955" s="800" t="s">
        <v>3907</v>
      </c>
      <c r="B955" s="801">
        <v>31203017101</v>
      </c>
    </row>
    <row r="956" spans="1:2">
      <c r="A956" s="800" t="s">
        <v>3906</v>
      </c>
      <c r="B956" s="801">
        <v>31203017102</v>
      </c>
    </row>
    <row r="957" spans="1:2">
      <c r="A957" s="800" t="s">
        <v>3905</v>
      </c>
      <c r="B957" s="801">
        <v>31203018000</v>
      </c>
    </row>
    <row r="958" spans="1:2">
      <c r="A958" s="800" t="s">
        <v>3904</v>
      </c>
      <c r="B958" s="801">
        <v>31203018101</v>
      </c>
    </row>
    <row r="959" spans="1:2">
      <c r="A959" s="800" t="s">
        <v>3903</v>
      </c>
      <c r="B959" s="801">
        <v>31203019000</v>
      </c>
    </row>
    <row r="960" spans="1:2">
      <c r="A960" s="800" t="s">
        <v>3731</v>
      </c>
      <c r="B960" s="801">
        <v>31203019101</v>
      </c>
    </row>
    <row r="961" spans="1:2">
      <c r="A961" s="800" t="s">
        <v>3902</v>
      </c>
      <c r="B961" s="801">
        <v>31203020000</v>
      </c>
    </row>
    <row r="962" spans="1:2">
      <c r="A962" s="800" t="s">
        <v>3901</v>
      </c>
      <c r="B962" s="801">
        <v>31203021000</v>
      </c>
    </row>
    <row r="963" spans="1:2">
      <c r="A963" s="800" t="s">
        <v>3900</v>
      </c>
      <c r="B963" s="801">
        <v>31203022000</v>
      </c>
    </row>
    <row r="964" spans="1:2">
      <c r="A964" s="800" t="s">
        <v>3899</v>
      </c>
      <c r="B964" s="801">
        <v>31203023000</v>
      </c>
    </row>
    <row r="965" spans="1:2">
      <c r="A965" s="800" t="s">
        <v>3898</v>
      </c>
      <c r="B965" s="801">
        <v>31203024000</v>
      </c>
    </row>
    <row r="966" spans="1:2">
      <c r="A966" s="800" t="s">
        <v>3897</v>
      </c>
      <c r="B966" s="801">
        <v>31203024101</v>
      </c>
    </row>
    <row r="967" spans="1:2">
      <c r="A967" s="800" t="s">
        <v>3896</v>
      </c>
      <c r="B967" s="801">
        <v>31203025000</v>
      </c>
    </row>
    <row r="968" spans="1:2">
      <c r="A968" s="800" t="s">
        <v>3895</v>
      </c>
      <c r="B968" s="801">
        <v>31203026000</v>
      </c>
    </row>
    <row r="969" spans="1:2">
      <c r="A969" s="800" t="s">
        <v>3894</v>
      </c>
      <c r="B969" s="801">
        <v>31203027000</v>
      </c>
    </row>
    <row r="970" spans="1:2">
      <c r="A970" s="800" t="s">
        <v>3893</v>
      </c>
      <c r="B970" s="801">
        <v>31203028000</v>
      </c>
    </row>
    <row r="971" spans="1:2">
      <c r="A971" s="800" t="s">
        <v>3892</v>
      </c>
      <c r="B971" s="801">
        <v>31203028001</v>
      </c>
    </row>
    <row r="972" spans="1:2">
      <c r="A972" s="800" t="s">
        <v>3891</v>
      </c>
      <c r="B972" s="801">
        <v>31203028002</v>
      </c>
    </row>
    <row r="973" spans="1:2">
      <c r="A973" s="800" t="s">
        <v>3890</v>
      </c>
      <c r="B973" s="801">
        <v>31203029000</v>
      </c>
    </row>
    <row r="974" spans="1:2">
      <c r="A974" s="800" t="s">
        <v>3889</v>
      </c>
      <c r="B974" s="801">
        <v>31203030000</v>
      </c>
    </row>
    <row r="975" spans="1:2">
      <c r="A975" s="800" t="s">
        <v>3888</v>
      </c>
      <c r="B975" s="801">
        <v>31203031001</v>
      </c>
    </row>
    <row r="976" spans="1:2">
      <c r="A976" s="800" t="s">
        <v>3887</v>
      </c>
      <c r="B976" s="801">
        <v>31203031002</v>
      </c>
    </row>
    <row r="977" spans="1:2">
      <c r="A977" s="800" t="s">
        <v>3886</v>
      </c>
      <c r="B977" s="801">
        <v>31203032000</v>
      </c>
    </row>
    <row r="978" spans="1:2">
      <c r="A978" s="800" t="s">
        <v>3885</v>
      </c>
      <c r="B978" s="801">
        <v>31203033000</v>
      </c>
    </row>
    <row r="979" spans="1:2">
      <c r="A979" s="800" t="s">
        <v>3884</v>
      </c>
      <c r="B979" s="801">
        <v>31203034000</v>
      </c>
    </row>
    <row r="980" spans="1:2">
      <c r="A980" s="800" t="s">
        <v>3883</v>
      </c>
      <c r="B980" s="801">
        <v>31203035000</v>
      </c>
    </row>
    <row r="981" spans="1:2">
      <c r="A981" s="800" t="s">
        <v>3882</v>
      </c>
      <c r="B981" s="801">
        <v>31203036000</v>
      </c>
    </row>
    <row r="982" spans="1:2">
      <c r="A982" s="800" t="s">
        <v>3881</v>
      </c>
      <c r="B982" s="801">
        <v>31203037000</v>
      </c>
    </row>
    <row r="983" spans="1:2">
      <c r="A983" s="800" t="s">
        <v>3880</v>
      </c>
      <c r="B983" s="801">
        <v>31203037101</v>
      </c>
    </row>
    <row r="984" spans="1:2">
      <c r="A984" s="800" t="s">
        <v>3879</v>
      </c>
      <c r="B984" s="801">
        <v>31203037102</v>
      </c>
    </row>
    <row r="985" spans="1:2">
      <c r="A985" s="800" t="s">
        <v>3878</v>
      </c>
      <c r="B985" s="801">
        <v>31203038000</v>
      </c>
    </row>
    <row r="986" spans="1:2">
      <c r="A986" s="800" t="s">
        <v>3877</v>
      </c>
      <c r="B986" s="801">
        <v>31203038101</v>
      </c>
    </row>
    <row r="987" spans="1:2">
      <c r="A987" s="800" t="s">
        <v>3876</v>
      </c>
      <c r="B987" s="801">
        <v>31203039000</v>
      </c>
    </row>
    <row r="988" spans="1:2">
      <c r="A988" s="800" t="s">
        <v>3875</v>
      </c>
      <c r="B988" s="801">
        <v>31203040000</v>
      </c>
    </row>
    <row r="989" spans="1:2">
      <c r="A989" s="800" t="s">
        <v>3874</v>
      </c>
      <c r="B989" s="801">
        <v>31203040101</v>
      </c>
    </row>
    <row r="990" spans="1:2">
      <c r="A990" s="800" t="s">
        <v>3873</v>
      </c>
      <c r="B990" s="801">
        <v>31203040102</v>
      </c>
    </row>
    <row r="991" spans="1:2">
      <c r="A991" s="800" t="s">
        <v>3872</v>
      </c>
      <c r="B991" s="801">
        <v>31203040103</v>
      </c>
    </row>
    <row r="992" spans="1:2">
      <c r="A992" s="800" t="s">
        <v>3871</v>
      </c>
      <c r="B992" s="801">
        <v>31203041000</v>
      </c>
    </row>
    <row r="993" spans="1:2">
      <c r="A993" s="800" t="s">
        <v>3870</v>
      </c>
      <c r="B993" s="801">
        <v>31203041101</v>
      </c>
    </row>
    <row r="994" spans="1:2">
      <c r="A994" s="800" t="s">
        <v>3869</v>
      </c>
      <c r="B994" s="801">
        <v>31203042000</v>
      </c>
    </row>
    <row r="995" spans="1:2">
      <c r="A995" s="800" t="s">
        <v>3868</v>
      </c>
      <c r="B995" s="801">
        <v>31203042101</v>
      </c>
    </row>
    <row r="996" spans="1:2">
      <c r="A996" s="800" t="s">
        <v>3867</v>
      </c>
      <c r="B996" s="801">
        <v>31203042102</v>
      </c>
    </row>
    <row r="997" spans="1:2">
      <c r="A997" s="800" t="s">
        <v>3866</v>
      </c>
      <c r="B997" s="801">
        <v>31203042103</v>
      </c>
    </row>
    <row r="998" spans="1:2">
      <c r="A998" s="800" t="s">
        <v>3865</v>
      </c>
      <c r="B998" s="801">
        <v>31203042104</v>
      </c>
    </row>
    <row r="999" spans="1:2">
      <c r="A999" s="800" t="s">
        <v>3864</v>
      </c>
      <c r="B999" s="801">
        <v>31203043000</v>
      </c>
    </row>
    <row r="1000" spans="1:2">
      <c r="A1000" s="800" t="s">
        <v>3863</v>
      </c>
      <c r="B1000" s="801">
        <v>31203044000</v>
      </c>
    </row>
    <row r="1001" spans="1:2">
      <c r="A1001" s="800" t="s">
        <v>3862</v>
      </c>
      <c r="B1001" s="801">
        <v>31203045000</v>
      </c>
    </row>
    <row r="1002" spans="1:2">
      <c r="A1002" s="800" t="s">
        <v>3861</v>
      </c>
      <c r="B1002" s="801">
        <v>31203045101</v>
      </c>
    </row>
    <row r="1003" spans="1:2">
      <c r="A1003" s="800" t="s">
        <v>3860</v>
      </c>
      <c r="B1003" s="801">
        <v>31203046000</v>
      </c>
    </row>
    <row r="1004" spans="1:2">
      <c r="A1004" s="800" t="s">
        <v>3859</v>
      </c>
      <c r="B1004" s="801">
        <v>31203047000</v>
      </c>
    </row>
    <row r="1005" spans="1:2">
      <c r="A1005" s="800" t="s">
        <v>3858</v>
      </c>
      <c r="B1005" s="801">
        <v>31203048000</v>
      </c>
    </row>
    <row r="1006" spans="1:2">
      <c r="A1006" s="800" t="s">
        <v>3857</v>
      </c>
      <c r="B1006" s="801">
        <v>31203049000</v>
      </c>
    </row>
    <row r="1007" spans="1:2">
      <c r="A1007" s="800" t="s">
        <v>3856</v>
      </c>
      <c r="B1007" s="801">
        <v>31203050000</v>
      </c>
    </row>
    <row r="1008" spans="1:2">
      <c r="A1008" s="800" t="s">
        <v>3855</v>
      </c>
      <c r="B1008" s="801">
        <v>31203050101</v>
      </c>
    </row>
    <row r="1009" spans="1:2">
      <c r="A1009" s="800" t="s">
        <v>3854</v>
      </c>
      <c r="B1009" s="801">
        <v>31203051000</v>
      </c>
    </row>
    <row r="1010" spans="1:2">
      <c r="A1010" s="800" t="s">
        <v>3853</v>
      </c>
      <c r="B1010" s="801">
        <v>31203052000</v>
      </c>
    </row>
    <row r="1011" spans="1:2">
      <c r="A1011" s="800" t="s">
        <v>3852</v>
      </c>
      <c r="B1011" s="801">
        <v>31203053000</v>
      </c>
    </row>
    <row r="1012" spans="1:2">
      <c r="A1012" s="800" t="s">
        <v>3851</v>
      </c>
      <c r="B1012" s="801">
        <v>31203054000</v>
      </c>
    </row>
    <row r="1013" spans="1:2">
      <c r="A1013" s="800" t="s">
        <v>3850</v>
      </c>
      <c r="B1013" s="801">
        <v>31203055000</v>
      </c>
    </row>
    <row r="1014" spans="1:2">
      <c r="A1014" s="800" t="s">
        <v>3849</v>
      </c>
      <c r="B1014" s="801">
        <v>31203055101</v>
      </c>
    </row>
    <row r="1015" spans="1:2">
      <c r="A1015" s="800" t="s">
        <v>3848</v>
      </c>
      <c r="B1015" s="801">
        <v>31203056000</v>
      </c>
    </row>
    <row r="1016" spans="1:2">
      <c r="A1016" s="800" t="s">
        <v>3847</v>
      </c>
      <c r="B1016" s="801">
        <v>31203057001</v>
      </c>
    </row>
    <row r="1017" spans="1:2">
      <c r="A1017" s="800" t="s">
        <v>3846</v>
      </c>
      <c r="B1017" s="801">
        <v>31203057002</v>
      </c>
    </row>
    <row r="1018" spans="1:2">
      <c r="A1018" s="800" t="s">
        <v>3845</v>
      </c>
      <c r="B1018" s="801">
        <v>31203057003</v>
      </c>
    </row>
    <row r="1019" spans="1:2">
      <c r="A1019" s="800" t="s">
        <v>3844</v>
      </c>
      <c r="B1019" s="801">
        <v>31203058000</v>
      </c>
    </row>
    <row r="1020" spans="1:2">
      <c r="A1020" s="800" t="s">
        <v>3843</v>
      </c>
      <c r="B1020" s="801">
        <v>31203059000</v>
      </c>
    </row>
    <row r="1021" spans="1:2">
      <c r="A1021" s="800" t="s">
        <v>3842</v>
      </c>
      <c r="B1021" s="801">
        <v>31203060000</v>
      </c>
    </row>
    <row r="1022" spans="1:2">
      <c r="A1022" s="800" t="s">
        <v>3841</v>
      </c>
      <c r="B1022" s="801">
        <v>31203060101</v>
      </c>
    </row>
    <row r="1023" spans="1:2">
      <c r="A1023" s="800" t="s">
        <v>3840</v>
      </c>
      <c r="B1023" s="801">
        <v>31203060102</v>
      </c>
    </row>
    <row r="1024" spans="1:2">
      <c r="A1024" s="800" t="s">
        <v>3839</v>
      </c>
      <c r="B1024" s="801">
        <v>31203060103</v>
      </c>
    </row>
    <row r="1025" spans="1:2">
      <c r="A1025" s="800" t="s">
        <v>3838</v>
      </c>
      <c r="B1025" s="801">
        <v>31203061000</v>
      </c>
    </row>
    <row r="1026" spans="1:2">
      <c r="A1026" s="800" t="s">
        <v>3837</v>
      </c>
      <c r="B1026" s="801">
        <v>31203062000</v>
      </c>
    </row>
    <row r="1027" spans="1:2">
      <c r="A1027" s="800" t="s">
        <v>3836</v>
      </c>
      <c r="B1027" s="801">
        <v>31203063000</v>
      </c>
    </row>
    <row r="1028" spans="1:2">
      <c r="A1028" s="800" t="s">
        <v>3835</v>
      </c>
      <c r="B1028" s="801">
        <v>31203063101</v>
      </c>
    </row>
    <row r="1029" spans="1:2">
      <c r="A1029" s="800" t="s">
        <v>3834</v>
      </c>
      <c r="B1029" s="801">
        <v>31203064000</v>
      </c>
    </row>
    <row r="1030" spans="1:2">
      <c r="A1030" s="800" t="s">
        <v>3833</v>
      </c>
      <c r="B1030" s="801">
        <v>31203065000</v>
      </c>
    </row>
    <row r="1031" spans="1:2">
      <c r="A1031" s="800" t="s">
        <v>3832</v>
      </c>
      <c r="B1031" s="801">
        <v>31203066000</v>
      </c>
    </row>
    <row r="1032" spans="1:2">
      <c r="A1032" s="800" t="s">
        <v>3831</v>
      </c>
      <c r="B1032" s="801">
        <v>31203067000</v>
      </c>
    </row>
    <row r="1033" spans="1:2">
      <c r="A1033" s="800" t="s">
        <v>3830</v>
      </c>
      <c r="B1033" s="801">
        <v>31203068000</v>
      </c>
    </row>
    <row r="1034" spans="1:2">
      <c r="A1034" s="800" t="s">
        <v>3829</v>
      </c>
      <c r="B1034" s="801">
        <v>31203068001</v>
      </c>
    </row>
    <row r="1035" spans="1:2">
      <c r="A1035" s="800" t="s">
        <v>3828</v>
      </c>
      <c r="B1035" s="801">
        <v>31203068002</v>
      </c>
    </row>
    <row r="1036" spans="1:2">
      <c r="A1036" s="800" t="s">
        <v>3827</v>
      </c>
      <c r="B1036" s="801">
        <v>31203069000</v>
      </c>
    </row>
    <row r="1037" spans="1:2">
      <c r="A1037" s="800" t="s">
        <v>3826</v>
      </c>
      <c r="B1037" s="801">
        <v>31203070001</v>
      </c>
    </row>
    <row r="1038" spans="1:2">
      <c r="A1038" s="800" t="s">
        <v>3825</v>
      </c>
      <c r="B1038" s="801">
        <v>31203070002</v>
      </c>
    </row>
    <row r="1039" spans="1:2">
      <c r="A1039" s="800" t="s">
        <v>3824</v>
      </c>
      <c r="B1039" s="801">
        <v>31203070003</v>
      </c>
    </row>
    <row r="1040" spans="1:2">
      <c r="A1040" s="800" t="s">
        <v>3823</v>
      </c>
      <c r="B1040" s="801">
        <v>31203071000</v>
      </c>
    </row>
    <row r="1041" spans="1:2">
      <c r="A1041" s="800" t="s">
        <v>3822</v>
      </c>
      <c r="B1041" s="801">
        <v>31203072000</v>
      </c>
    </row>
    <row r="1042" spans="1:2">
      <c r="A1042" s="800" t="s">
        <v>3821</v>
      </c>
      <c r="B1042" s="801">
        <v>31203073000</v>
      </c>
    </row>
    <row r="1043" spans="1:2">
      <c r="A1043" s="800" t="s">
        <v>3820</v>
      </c>
      <c r="B1043" s="801">
        <v>31203074000</v>
      </c>
    </row>
    <row r="1044" spans="1:2">
      <c r="A1044" s="800" t="s">
        <v>3819</v>
      </c>
      <c r="B1044" s="801">
        <v>31203075000</v>
      </c>
    </row>
    <row r="1045" spans="1:2">
      <c r="A1045" s="800" t="s">
        <v>3818</v>
      </c>
      <c r="B1045" s="801">
        <v>31203076000</v>
      </c>
    </row>
    <row r="1046" spans="1:2">
      <c r="A1046" s="800" t="s">
        <v>3817</v>
      </c>
      <c r="B1046" s="801">
        <v>31203077000</v>
      </c>
    </row>
    <row r="1047" spans="1:2">
      <c r="A1047" s="800" t="s">
        <v>3816</v>
      </c>
      <c r="B1047" s="801">
        <v>31203077002</v>
      </c>
    </row>
    <row r="1048" spans="1:2">
      <c r="A1048" s="800" t="s">
        <v>3815</v>
      </c>
      <c r="B1048" s="801">
        <v>31203078000</v>
      </c>
    </row>
    <row r="1049" spans="1:2">
      <c r="A1049" s="800" t="s">
        <v>3814</v>
      </c>
      <c r="B1049" s="801">
        <v>31203079000</v>
      </c>
    </row>
    <row r="1050" spans="1:2">
      <c r="A1050" s="800" t="s">
        <v>3813</v>
      </c>
      <c r="B1050" s="801">
        <v>31203080000</v>
      </c>
    </row>
    <row r="1051" spans="1:2">
      <c r="A1051" s="800" t="s">
        <v>3812</v>
      </c>
      <c r="B1051" s="801">
        <v>31203080002</v>
      </c>
    </row>
    <row r="1052" spans="1:2">
      <c r="A1052" s="800" t="s">
        <v>3811</v>
      </c>
      <c r="B1052" s="801">
        <v>31203081000</v>
      </c>
    </row>
    <row r="1053" spans="1:2">
      <c r="A1053" s="800" t="s">
        <v>3810</v>
      </c>
      <c r="B1053" s="801">
        <v>31203082000</v>
      </c>
    </row>
    <row r="1054" spans="1:2">
      <c r="A1054" s="800" t="s">
        <v>3809</v>
      </c>
      <c r="B1054" s="801">
        <v>31203083000</v>
      </c>
    </row>
    <row r="1055" spans="1:2">
      <c r="A1055" s="800" t="s">
        <v>3808</v>
      </c>
      <c r="B1055" s="801">
        <v>31203084000</v>
      </c>
    </row>
    <row r="1056" spans="1:2">
      <c r="A1056" s="800" t="s">
        <v>3807</v>
      </c>
      <c r="B1056" s="801">
        <v>31203085000</v>
      </c>
    </row>
    <row r="1057" spans="1:2">
      <c r="A1057" s="800" t="s">
        <v>3806</v>
      </c>
      <c r="B1057" s="801">
        <v>31203086000</v>
      </c>
    </row>
    <row r="1058" spans="1:2">
      <c r="A1058" s="800" t="s">
        <v>3805</v>
      </c>
      <c r="B1058" s="801">
        <v>31203087000</v>
      </c>
    </row>
    <row r="1059" spans="1:2">
      <c r="A1059" s="800" t="s">
        <v>3804</v>
      </c>
      <c r="B1059" s="801">
        <v>31203088000</v>
      </c>
    </row>
    <row r="1060" spans="1:2">
      <c r="A1060" s="800" t="s">
        <v>3803</v>
      </c>
      <c r="B1060" s="801">
        <v>31203089000</v>
      </c>
    </row>
    <row r="1061" spans="1:2">
      <c r="A1061" s="800" t="s">
        <v>3802</v>
      </c>
      <c r="B1061" s="801">
        <v>31203090000</v>
      </c>
    </row>
    <row r="1062" spans="1:2">
      <c r="A1062" s="800" t="s">
        <v>3801</v>
      </c>
      <c r="B1062" s="801">
        <v>31203091000</v>
      </c>
    </row>
    <row r="1063" spans="1:2">
      <c r="A1063" s="800" t="s">
        <v>3800</v>
      </c>
      <c r="B1063" s="801">
        <v>31203092000</v>
      </c>
    </row>
    <row r="1064" spans="1:2">
      <c r="A1064" s="800" t="s">
        <v>3799</v>
      </c>
      <c r="B1064" s="801">
        <v>31203093000</v>
      </c>
    </row>
    <row r="1065" spans="1:2">
      <c r="A1065" s="800" t="s">
        <v>3798</v>
      </c>
      <c r="B1065" s="801">
        <v>31203094000</v>
      </c>
    </row>
    <row r="1066" spans="1:2">
      <c r="A1066" s="800" t="s">
        <v>3797</v>
      </c>
      <c r="B1066" s="801">
        <v>31203095000</v>
      </c>
    </row>
    <row r="1067" spans="1:2">
      <c r="A1067" s="800" t="s">
        <v>3796</v>
      </c>
      <c r="B1067" s="801">
        <v>31203096000</v>
      </c>
    </row>
    <row r="1068" spans="1:2">
      <c r="A1068" s="800" t="s">
        <v>3795</v>
      </c>
      <c r="B1068" s="801">
        <v>31203097000</v>
      </c>
    </row>
    <row r="1069" spans="1:2">
      <c r="A1069" s="800" t="s">
        <v>3794</v>
      </c>
      <c r="B1069" s="801">
        <v>31203098000</v>
      </c>
    </row>
    <row r="1070" spans="1:2">
      <c r="A1070" s="800" t="s">
        <v>3793</v>
      </c>
      <c r="B1070" s="801">
        <v>31203099000</v>
      </c>
    </row>
    <row r="1071" spans="1:2">
      <c r="A1071" s="800" t="s">
        <v>3792</v>
      </c>
      <c r="B1071" s="801">
        <v>31203099101</v>
      </c>
    </row>
    <row r="1072" spans="1:2">
      <c r="A1072" s="800" t="s">
        <v>3791</v>
      </c>
      <c r="B1072" s="801">
        <v>31203100000</v>
      </c>
    </row>
    <row r="1073" spans="1:2">
      <c r="A1073" s="800" t="s">
        <v>3790</v>
      </c>
      <c r="B1073" s="801">
        <v>31203101000</v>
      </c>
    </row>
    <row r="1074" spans="1:2">
      <c r="A1074" s="800" t="s">
        <v>3789</v>
      </c>
      <c r="B1074" s="801">
        <v>31203102000</v>
      </c>
    </row>
    <row r="1075" spans="1:2">
      <c r="A1075" s="800" t="s">
        <v>3788</v>
      </c>
      <c r="B1075" s="801">
        <v>31203103000</v>
      </c>
    </row>
    <row r="1076" spans="1:2">
      <c r="A1076" s="800" t="s">
        <v>3787</v>
      </c>
      <c r="B1076" s="801">
        <v>31203103101</v>
      </c>
    </row>
    <row r="1077" spans="1:2">
      <c r="A1077" s="800" t="s">
        <v>3786</v>
      </c>
      <c r="B1077" s="801">
        <v>31203103102</v>
      </c>
    </row>
    <row r="1078" spans="1:2">
      <c r="A1078" s="800" t="s">
        <v>3785</v>
      </c>
      <c r="B1078" s="801">
        <v>31203104000</v>
      </c>
    </row>
    <row r="1079" spans="1:2">
      <c r="A1079" s="800" t="s">
        <v>3784</v>
      </c>
      <c r="B1079" s="801">
        <v>31203105000</v>
      </c>
    </row>
    <row r="1080" spans="1:2">
      <c r="A1080" s="800" t="s">
        <v>3783</v>
      </c>
      <c r="B1080" s="801">
        <v>31203106000</v>
      </c>
    </row>
    <row r="1081" spans="1:2">
      <c r="A1081" s="800" t="s">
        <v>3782</v>
      </c>
      <c r="B1081" s="801">
        <v>31203107000</v>
      </c>
    </row>
    <row r="1082" spans="1:2">
      <c r="A1082" s="800" t="s">
        <v>3781</v>
      </c>
      <c r="B1082" s="801">
        <v>31203108000</v>
      </c>
    </row>
    <row r="1083" spans="1:2">
      <c r="A1083" s="800" t="s">
        <v>3780</v>
      </c>
      <c r="B1083" s="801">
        <v>31203109000</v>
      </c>
    </row>
    <row r="1084" spans="1:2">
      <c r="A1084" s="800" t="s">
        <v>3779</v>
      </c>
      <c r="B1084" s="801">
        <v>31203110000</v>
      </c>
    </row>
    <row r="1085" spans="1:2">
      <c r="A1085" s="800" t="s">
        <v>3778</v>
      </c>
      <c r="B1085" s="801">
        <v>31203111000</v>
      </c>
    </row>
    <row r="1086" spans="1:2">
      <c r="A1086" s="800" t="s">
        <v>3777</v>
      </c>
      <c r="B1086" s="801">
        <v>31203112000</v>
      </c>
    </row>
    <row r="1087" spans="1:2">
      <c r="A1087" s="800" t="s">
        <v>3776</v>
      </c>
      <c r="B1087" s="801">
        <v>31203113000</v>
      </c>
    </row>
    <row r="1088" spans="1:2">
      <c r="A1088" s="800" t="s">
        <v>3775</v>
      </c>
      <c r="B1088" s="801">
        <v>31203114000</v>
      </c>
    </row>
    <row r="1089" spans="1:2">
      <c r="A1089" s="800" t="s">
        <v>3774</v>
      </c>
      <c r="B1089" s="801">
        <v>31203115000</v>
      </c>
    </row>
    <row r="1090" spans="1:2">
      <c r="A1090" s="800" t="s">
        <v>3773</v>
      </c>
      <c r="B1090" s="801">
        <v>31203116000</v>
      </c>
    </row>
    <row r="1091" spans="1:2">
      <c r="A1091" s="800" t="s">
        <v>3772</v>
      </c>
      <c r="B1091" s="801">
        <v>31203116002</v>
      </c>
    </row>
    <row r="1092" spans="1:2">
      <c r="A1092" s="800" t="s">
        <v>3771</v>
      </c>
      <c r="B1092" s="801">
        <v>31203117000</v>
      </c>
    </row>
    <row r="1093" spans="1:2">
      <c r="A1093" s="800" t="s">
        <v>3770</v>
      </c>
      <c r="B1093" s="801">
        <v>31203118000</v>
      </c>
    </row>
    <row r="1094" spans="1:2">
      <c r="A1094" s="800" t="s">
        <v>3769</v>
      </c>
      <c r="B1094" s="801">
        <v>31203119000</v>
      </c>
    </row>
    <row r="1095" spans="1:2">
      <c r="A1095" s="800" t="s">
        <v>3768</v>
      </c>
      <c r="B1095" s="801">
        <v>31203119101</v>
      </c>
    </row>
    <row r="1096" spans="1:2">
      <c r="A1096" s="800" t="s">
        <v>3767</v>
      </c>
      <c r="B1096" s="801">
        <v>31203119102</v>
      </c>
    </row>
    <row r="1097" spans="1:2">
      <c r="A1097" s="800" t="s">
        <v>3766</v>
      </c>
      <c r="B1097" s="801">
        <v>31203120000</v>
      </c>
    </row>
    <row r="1098" spans="1:2">
      <c r="A1098" s="800" t="s">
        <v>3765</v>
      </c>
      <c r="B1098" s="801">
        <v>31203121000</v>
      </c>
    </row>
    <row r="1099" spans="1:2">
      <c r="A1099" s="800" t="s">
        <v>3764</v>
      </c>
      <c r="B1099" s="801">
        <v>31203121101</v>
      </c>
    </row>
    <row r="1100" spans="1:2">
      <c r="A1100" s="800" t="s">
        <v>3763</v>
      </c>
      <c r="B1100" s="801">
        <v>31203122000</v>
      </c>
    </row>
    <row r="1101" spans="1:2">
      <c r="A1101" s="800" t="s">
        <v>3762</v>
      </c>
      <c r="B1101" s="801">
        <v>31203123000</v>
      </c>
    </row>
    <row r="1102" spans="1:2">
      <c r="A1102" s="800" t="s">
        <v>3761</v>
      </c>
      <c r="B1102" s="801">
        <v>31203124000</v>
      </c>
    </row>
    <row r="1103" spans="1:2">
      <c r="A1103" s="800" t="s">
        <v>3760</v>
      </c>
      <c r="B1103" s="801">
        <v>31203125000</v>
      </c>
    </row>
    <row r="1104" spans="1:2">
      <c r="A1104" s="800" t="s">
        <v>3759</v>
      </c>
      <c r="B1104" s="801">
        <v>31203125002</v>
      </c>
    </row>
    <row r="1105" spans="1:2">
      <c r="A1105" s="800" t="s">
        <v>3758</v>
      </c>
      <c r="B1105" s="801">
        <v>31203126000</v>
      </c>
    </row>
    <row r="1106" spans="1:2">
      <c r="A1106" s="800" t="s">
        <v>3757</v>
      </c>
      <c r="B1106" s="801">
        <v>31203126002</v>
      </c>
    </row>
    <row r="1107" spans="1:2">
      <c r="A1107" s="800" t="s">
        <v>3756</v>
      </c>
      <c r="B1107" s="801">
        <v>31203127000</v>
      </c>
    </row>
    <row r="1108" spans="1:2">
      <c r="A1108" s="800" t="s">
        <v>3755</v>
      </c>
      <c r="B1108" s="801">
        <v>31203128000</v>
      </c>
    </row>
    <row r="1109" spans="1:2">
      <c r="A1109" s="800" t="s">
        <v>3754</v>
      </c>
      <c r="B1109" s="801">
        <v>31203129000</v>
      </c>
    </row>
    <row r="1110" spans="1:2">
      <c r="A1110" s="800" t="s">
        <v>3753</v>
      </c>
      <c r="B1110" s="801">
        <v>31203130000</v>
      </c>
    </row>
    <row r="1111" spans="1:2">
      <c r="A1111" s="800" t="s">
        <v>3752</v>
      </c>
      <c r="B1111" s="801">
        <v>31203130101</v>
      </c>
    </row>
    <row r="1112" spans="1:2">
      <c r="A1112" s="800" t="s">
        <v>3751</v>
      </c>
      <c r="B1112" s="801">
        <v>31203131000</v>
      </c>
    </row>
    <row r="1113" spans="1:2">
      <c r="A1113" s="800" t="s">
        <v>3750</v>
      </c>
      <c r="B1113" s="801">
        <v>31203132000</v>
      </c>
    </row>
    <row r="1114" spans="1:2">
      <c r="A1114" s="800" t="s">
        <v>3749</v>
      </c>
      <c r="B1114" s="801">
        <v>31203133000</v>
      </c>
    </row>
    <row r="1115" spans="1:2">
      <c r="A1115" s="800" t="s">
        <v>3748</v>
      </c>
      <c r="B1115" s="801">
        <v>31203133002</v>
      </c>
    </row>
    <row r="1116" spans="1:2">
      <c r="A1116" s="800" t="s">
        <v>3747</v>
      </c>
      <c r="B1116" s="801">
        <v>31203134000</v>
      </c>
    </row>
    <row r="1117" spans="1:2">
      <c r="A1117" s="800" t="s">
        <v>3746</v>
      </c>
      <c r="B1117" s="801">
        <v>31203135000</v>
      </c>
    </row>
    <row r="1118" spans="1:2">
      <c r="A1118" s="800" t="s">
        <v>3745</v>
      </c>
      <c r="B1118" s="801">
        <v>31203136000</v>
      </c>
    </row>
    <row r="1119" spans="1:2">
      <c r="A1119" s="800" t="s">
        <v>3744</v>
      </c>
      <c r="B1119" s="801">
        <v>31203137000</v>
      </c>
    </row>
    <row r="1120" spans="1:2">
      <c r="A1120" s="800" t="s">
        <v>3743</v>
      </c>
      <c r="B1120" s="801">
        <v>31203138000</v>
      </c>
    </row>
    <row r="1121" spans="1:2">
      <c r="A1121" s="800" t="s">
        <v>3742</v>
      </c>
      <c r="B1121" s="801">
        <v>31203139000</v>
      </c>
    </row>
    <row r="1122" spans="1:2">
      <c r="A1122" s="800" t="s">
        <v>3741</v>
      </c>
      <c r="B1122" s="801">
        <v>31203140000</v>
      </c>
    </row>
    <row r="1123" spans="1:2">
      <c r="A1123" s="800" t="s">
        <v>3740</v>
      </c>
      <c r="B1123" s="801">
        <v>31203141000</v>
      </c>
    </row>
    <row r="1124" spans="1:2">
      <c r="A1124" s="800" t="s">
        <v>3739</v>
      </c>
      <c r="B1124" s="801">
        <v>31203142000</v>
      </c>
    </row>
    <row r="1125" spans="1:2">
      <c r="A1125" s="800" t="s">
        <v>3738</v>
      </c>
      <c r="B1125" s="801">
        <v>31203143000</v>
      </c>
    </row>
    <row r="1126" spans="1:2">
      <c r="A1126" s="800" t="s">
        <v>3737</v>
      </c>
      <c r="B1126" s="801">
        <v>31203144000</v>
      </c>
    </row>
    <row r="1127" spans="1:2">
      <c r="A1127" s="800" t="s">
        <v>3736</v>
      </c>
      <c r="B1127" s="801">
        <v>31203145000</v>
      </c>
    </row>
    <row r="1128" spans="1:2">
      <c r="A1128" s="800" t="s">
        <v>3735</v>
      </c>
      <c r="B1128" s="801">
        <v>31203146001</v>
      </c>
    </row>
    <row r="1129" spans="1:2">
      <c r="A1129" s="800" t="s">
        <v>3734</v>
      </c>
      <c r="B1129" s="801">
        <v>31203146002</v>
      </c>
    </row>
    <row r="1130" spans="1:2">
      <c r="A1130" s="800" t="s">
        <v>3733</v>
      </c>
      <c r="B1130" s="801">
        <v>31203147001</v>
      </c>
    </row>
    <row r="1131" spans="1:2">
      <c r="A1131" s="800" t="s">
        <v>3732</v>
      </c>
      <c r="B1131" s="801">
        <v>31203147002</v>
      </c>
    </row>
    <row r="1132" spans="1:2">
      <c r="A1132" s="800" t="s">
        <v>3731</v>
      </c>
      <c r="B1132" s="801">
        <v>31203148000</v>
      </c>
    </row>
    <row r="1133" spans="1:2">
      <c r="A1133" s="800" t="s">
        <v>3730</v>
      </c>
      <c r="B1133" s="801">
        <v>31203149000</v>
      </c>
    </row>
    <row r="1134" spans="1:2">
      <c r="A1134" s="800" t="s">
        <v>3729</v>
      </c>
      <c r="B1134" s="801">
        <v>31203150000</v>
      </c>
    </row>
    <row r="1135" spans="1:2">
      <c r="A1135" s="800" t="s">
        <v>3728</v>
      </c>
      <c r="B1135" s="801">
        <v>31203150101</v>
      </c>
    </row>
    <row r="1136" spans="1:2">
      <c r="A1136" s="800" t="s">
        <v>3727</v>
      </c>
      <c r="B1136" s="801">
        <v>31203150102</v>
      </c>
    </row>
    <row r="1137" spans="1:2">
      <c r="A1137" s="800" t="s">
        <v>3726</v>
      </c>
      <c r="B1137" s="801">
        <v>31203150103</v>
      </c>
    </row>
    <row r="1138" spans="1:2">
      <c r="A1138" s="800" t="s">
        <v>3725</v>
      </c>
      <c r="B1138" s="801">
        <v>31203151000</v>
      </c>
    </row>
    <row r="1139" spans="1:2">
      <c r="A1139" s="800" t="s">
        <v>3724</v>
      </c>
      <c r="B1139" s="801">
        <v>31203151101</v>
      </c>
    </row>
    <row r="1140" spans="1:2">
      <c r="A1140" s="800" t="s">
        <v>3723</v>
      </c>
      <c r="B1140" s="801">
        <v>31203151102</v>
      </c>
    </row>
    <row r="1141" spans="1:2">
      <c r="A1141" s="800" t="s">
        <v>3722</v>
      </c>
      <c r="B1141" s="801">
        <v>31203151103</v>
      </c>
    </row>
    <row r="1142" spans="1:2">
      <c r="A1142" s="800" t="s">
        <v>3721</v>
      </c>
      <c r="B1142" s="801">
        <v>31203151104</v>
      </c>
    </row>
    <row r="1143" spans="1:2">
      <c r="A1143" s="800" t="s">
        <v>3720</v>
      </c>
      <c r="B1143" s="801">
        <v>31203151105</v>
      </c>
    </row>
    <row r="1144" spans="1:2">
      <c r="A1144" s="800" t="s">
        <v>3719</v>
      </c>
      <c r="B1144" s="801">
        <v>31203151106</v>
      </c>
    </row>
    <row r="1145" spans="1:2">
      <c r="A1145" s="800" t="s">
        <v>3718</v>
      </c>
      <c r="B1145" s="801">
        <v>31203152000</v>
      </c>
    </row>
    <row r="1146" spans="1:2">
      <c r="A1146" s="800" t="s">
        <v>3717</v>
      </c>
      <c r="B1146" s="801">
        <v>31203153000</v>
      </c>
    </row>
    <row r="1147" spans="1:2">
      <c r="A1147" s="800" t="s">
        <v>3716</v>
      </c>
      <c r="B1147" s="801">
        <v>31203154000</v>
      </c>
    </row>
    <row r="1148" spans="1:2">
      <c r="A1148" s="800" t="s">
        <v>3715</v>
      </c>
      <c r="B1148" s="801">
        <v>31203154101</v>
      </c>
    </row>
    <row r="1149" spans="1:2">
      <c r="A1149" s="800" t="s">
        <v>3714</v>
      </c>
      <c r="B1149" s="801">
        <v>31203154102</v>
      </c>
    </row>
    <row r="1150" spans="1:2">
      <c r="A1150" s="800" t="s">
        <v>3713</v>
      </c>
      <c r="B1150" s="801">
        <v>31203154103</v>
      </c>
    </row>
    <row r="1151" spans="1:2">
      <c r="A1151" s="800" t="s">
        <v>3712</v>
      </c>
      <c r="B1151" s="801">
        <v>31203154104</v>
      </c>
    </row>
    <row r="1152" spans="1:2">
      <c r="A1152" s="800" t="s">
        <v>3711</v>
      </c>
      <c r="B1152" s="801">
        <v>31203154105</v>
      </c>
    </row>
    <row r="1153" spans="1:2">
      <c r="A1153" s="800" t="s">
        <v>3710</v>
      </c>
      <c r="B1153" s="801">
        <v>31203154106</v>
      </c>
    </row>
    <row r="1154" spans="1:2">
      <c r="A1154" s="800" t="s">
        <v>3709</v>
      </c>
      <c r="B1154" s="801">
        <v>31203155000</v>
      </c>
    </row>
    <row r="1155" spans="1:2">
      <c r="A1155" s="800" t="s">
        <v>3708</v>
      </c>
      <c r="B1155" s="801">
        <v>31203156000</v>
      </c>
    </row>
    <row r="1156" spans="1:2">
      <c r="A1156" s="800" t="s">
        <v>3707</v>
      </c>
      <c r="B1156" s="801">
        <v>31203157000</v>
      </c>
    </row>
    <row r="1157" spans="1:2">
      <c r="A1157" s="800" t="s">
        <v>3706</v>
      </c>
      <c r="B1157" s="801">
        <v>31203158000</v>
      </c>
    </row>
    <row r="1158" spans="1:2">
      <c r="A1158" s="800" t="s">
        <v>3705</v>
      </c>
      <c r="B1158" s="801">
        <v>31203158101</v>
      </c>
    </row>
    <row r="1159" spans="1:2">
      <c r="A1159" s="800" t="s">
        <v>3704</v>
      </c>
      <c r="B1159" s="801">
        <v>31203158102</v>
      </c>
    </row>
    <row r="1160" spans="1:2">
      <c r="A1160" s="800" t="s">
        <v>3703</v>
      </c>
      <c r="B1160" s="801">
        <v>31203158103</v>
      </c>
    </row>
    <row r="1161" spans="1:2">
      <c r="A1161" s="800" t="s">
        <v>3702</v>
      </c>
      <c r="B1161" s="801">
        <v>31203159000</v>
      </c>
    </row>
    <row r="1162" spans="1:2">
      <c r="A1162" s="800" t="s">
        <v>3701</v>
      </c>
      <c r="B1162" s="801">
        <v>31203159101</v>
      </c>
    </row>
    <row r="1163" spans="1:2">
      <c r="A1163" s="800" t="s">
        <v>3700</v>
      </c>
      <c r="B1163" s="801">
        <v>31203159102</v>
      </c>
    </row>
    <row r="1164" spans="1:2">
      <c r="A1164" s="800" t="s">
        <v>3699</v>
      </c>
      <c r="B1164" s="801">
        <v>31203159103</v>
      </c>
    </row>
    <row r="1165" spans="1:2">
      <c r="A1165" s="800" t="s">
        <v>3698</v>
      </c>
      <c r="B1165" s="801">
        <v>31203159104</v>
      </c>
    </row>
    <row r="1166" spans="1:2">
      <c r="A1166" s="800" t="s">
        <v>3697</v>
      </c>
      <c r="B1166" s="801">
        <v>31203159105</v>
      </c>
    </row>
    <row r="1167" spans="1:2">
      <c r="A1167" s="800" t="s">
        <v>3696</v>
      </c>
      <c r="B1167" s="801">
        <v>31203160000</v>
      </c>
    </row>
    <row r="1168" spans="1:2">
      <c r="A1168" s="800" t="s">
        <v>3695</v>
      </c>
      <c r="B1168" s="801">
        <v>31203160101</v>
      </c>
    </row>
    <row r="1169" spans="1:2">
      <c r="A1169" s="800" t="s">
        <v>3694</v>
      </c>
      <c r="B1169" s="801">
        <v>31203160102</v>
      </c>
    </row>
    <row r="1170" spans="1:2">
      <c r="A1170" s="800" t="s">
        <v>3693</v>
      </c>
      <c r="B1170" s="801">
        <v>31203161000</v>
      </c>
    </row>
    <row r="1171" spans="1:2">
      <c r="A1171" s="800" t="s">
        <v>3692</v>
      </c>
      <c r="B1171" s="801">
        <v>31203161101</v>
      </c>
    </row>
    <row r="1172" spans="1:2">
      <c r="A1172" s="800" t="s">
        <v>3691</v>
      </c>
      <c r="B1172" s="801">
        <v>31203161102</v>
      </c>
    </row>
    <row r="1173" spans="1:2">
      <c r="A1173" s="800" t="s">
        <v>3690</v>
      </c>
      <c r="B1173" s="801">
        <v>31203161103</v>
      </c>
    </row>
    <row r="1174" spans="1:2">
      <c r="A1174" s="800" t="s">
        <v>3689</v>
      </c>
      <c r="B1174" s="801">
        <v>31203161104</v>
      </c>
    </row>
    <row r="1175" spans="1:2">
      <c r="A1175" s="800" t="s">
        <v>3688</v>
      </c>
      <c r="B1175" s="801">
        <v>31203161105</v>
      </c>
    </row>
    <row r="1176" spans="1:2">
      <c r="A1176" s="800" t="s">
        <v>3687</v>
      </c>
      <c r="B1176" s="801">
        <v>31203162000</v>
      </c>
    </row>
    <row r="1177" spans="1:2">
      <c r="A1177" s="800" t="s">
        <v>3686</v>
      </c>
      <c r="B1177" s="801">
        <v>31204000000</v>
      </c>
    </row>
    <row r="1178" spans="1:2">
      <c r="A1178" s="800" t="s">
        <v>3685</v>
      </c>
      <c r="B1178" s="801">
        <v>31204001000</v>
      </c>
    </row>
    <row r="1179" spans="1:2">
      <c r="A1179" s="800" t="s">
        <v>3684</v>
      </c>
      <c r="B1179" s="801">
        <v>31204002000</v>
      </c>
    </row>
    <row r="1180" spans="1:2">
      <c r="A1180" s="800" t="s">
        <v>3683</v>
      </c>
      <c r="B1180" s="801">
        <v>31204003000</v>
      </c>
    </row>
    <row r="1181" spans="1:2">
      <c r="A1181" s="800" t="s">
        <v>3682</v>
      </c>
      <c r="B1181" s="801">
        <v>31204004000</v>
      </c>
    </row>
    <row r="1182" spans="1:2">
      <c r="A1182" s="800" t="s">
        <v>3681</v>
      </c>
      <c r="B1182" s="801">
        <v>31204005000</v>
      </c>
    </row>
    <row r="1183" spans="1:2">
      <c r="A1183" s="800" t="s">
        <v>3680</v>
      </c>
      <c r="B1183" s="801">
        <v>31204006000</v>
      </c>
    </row>
    <row r="1184" spans="1:2">
      <c r="A1184" s="800" t="s">
        <v>3679</v>
      </c>
      <c r="B1184" s="801">
        <v>31204007000</v>
      </c>
    </row>
    <row r="1185" spans="1:2">
      <c r="A1185" s="800" t="s">
        <v>3678</v>
      </c>
      <c r="B1185" s="801">
        <v>31204008000</v>
      </c>
    </row>
    <row r="1186" spans="1:2">
      <c r="A1186" s="800" t="s">
        <v>3677</v>
      </c>
      <c r="B1186" s="801">
        <v>31204009000</v>
      </c>
    </row>
    <row r="1187" spans="1:2">
      <c r="A1187" s="800" t="s">
        <v>3676</v>
      </c>
      <c r="B1187" s="801">
        <v>31204010000</v>
      </c>
    </row>
    <row r="1188" spans="1:2">
      <c r="A1188" s="800" t="s">
        <v>3675</v>
      </c>
      <c r="B1188" s="801">
        <v>31204011000</v>
      </c>
    </row>
    <row r="1189" spans="1:2">
      <c r="A1189" s="800" t="s">
        <v>3674</v>
      </c>
      <c r="B1189" s="801">
        <v>31204012000</v>
      </c>
    </row>
    <row r="1190" spans="1:2">
      <c r="A1190" s="800" t="s">
        <v>3673</v>
      </c>
      <c r="B1190" s="801">
        <v>31204013000</v>
      </c>
    </row>
    <row r="1191" spans="1:2">
      <c r="A1191" s="800" t="s">
        <v>3672</v>
      </c>
      <c r="B1191" s="801">
        <v>31204014000</v>
      </c>
    </row>
    <row r="1192" spans="1:2">
      <c r="A1192" s="800" t="s">
        <v>3671</v>
      </c>
      <c r="B1192" s="801">
        <v>31204015000</v>
      </c>
    </row>
    <row r="1193" spans="1:2">
      <c r="A1193" s="800" t="s">
        <v>3670</v>
      </c>
      <c r="B1193" s="801">
        <v>31204016000</v>
      </c>
    </row>
    <row r="1194" spans="1:2">
      <c r="A1194" s="800" t="s">
        <v>3669</v>
      </c>
      <c r="B1194" s="801">
        <v>31204017000</v>
      </c>
    </row>
    <row r="1195" spans="1:2">
      <c r="A1195" s="800" t="s">
        <v>3668</v>
      </c>
      <c r="B1195" s="801">
        <v>31204018000</v>
      </c>
    </row>
    <row r="1196" spans="1:2">
      <c r="A1196" s="800" t="s">
        <v>3667</v>
      </c>
      <c r="B1196" s="801">
        <v>31204019000</v>
      </c>
    </row>
    <row r="1197" spans="1:2">
      <c r="A1197" s="800" t="s">
        <v>3666</v>
      </c>
      <c r="B1197" s="801">
        <v>31204020000</v>
      </c>
    </row>
    <row r="1198" spans="1:2">
      <c r="A1198" s="800" t="s">
        <v>3665</v>
      </c>
      <c r="B1198" s="801">
        <v>31204021000</v>
      </c>
    </row>
    <row r="1199" spans="1:2">
      <c r="A1199" s="800" t="s">
        <v>3664</v>
      </c>
      <c r="B1199" s="801">
        <v>31204022000</v>
      </c>
    </row>
    <row r="1200" spans="1:2">
      <c r="A1200" s="800" t="s">
        <v>3663</v>
      </c>
      <c r="B1200" s="801">
        <v>31204023000</v>
      </c>
    </row>
    <row r="1201" spans="1:2">
      <c r="A1201" s="800" t="s">
        <v>3662</v>
      </c>
      <c r="B1201" s="801">
        <v>31204024000</v>
      </c>
    </row>
    <row r="1202" spans="1:2">
      <c r="A1202" s="800" t="s">
        <v>3661</v>
      </c>
      <c r="B1202" s="801">
        <v>31204025000</v>
      </c>
    </row>
    <row r="1203" spans="1:2">
      <c r="A1203" s="800" t="s">
        <v>3660</v>
      </c>
      <c r="B1203" s="801">
        <v>31204026000</v>
      </c>
    </row>
    <row r="1204" spans="1:2">
      <c r="A1204" s="800" t="s">
        <v>3659</v>
      </c>
      <c r="B1204" s="801">
        <v>31204027000</v>
      </c>
    </row>
    <row r="1205" spans="1:2">
      <c r="A1205" s="800" t="s">
        <v>3658</v>
      </c>
      <c r="B1205" s="801">
        <v>31204028000</v>
      </c>
    </row>
    <row r="1206" spans="1:2">
      <c r="A1206" s="800" t="s">
        <v>3657</v>
      </c>
      <c r="B1206" s="801">
        <v>31204029000</v>
      </c>
    </row>
    <row r="1207" spans="1:2">
      <c r="A1207" s="800" t="s">
        <v>3656</v>
      </c>
      <c r="B1207" s="801">
        <v>31204030000</v>
      </c>
    </row>
    <row r="1208" spans="1:2">
      <c r="A1208" s="800" t="s">
        <v>3655</v>
      </c>
      <c r="B1208" s="801">
        <v>31204031000</v>
      </c>
    </row>
    <row r="1209" spans="1:2">
      <c r="A1209" s="800" t="s">
        <v>3654</v>
      </c>
      <c r="B1209" s="801">
        <v>31204032000</v>
      </c>
    </row>
    <row r="1210" spans="1:2">
      <c r="A1210" s="800" t="s">
        <v>3653</v>
      </c>
      <c r="B1210" s="801">
        <v>31204033000</v>
      </c>
    </row>
    <row r="1211" spans="1:2">
      <c r="A1211" s="800" t="s">
        <v>3652</v>
      </c>
      <c r="B1211" s="801">
        <v>31204034000</v>
      </c>
    </row>
    <row r="1212" spans="1:2">
      <c r="A1212" s="800" t="s">
        <v>3651</v>
      </c>
      <c r="B1212" s="801">
        <v>31204035000</v>
      </c>
    </row>
    <row r="1213" spans="1:2">
      <c r="A1213" s="800" t="s">
        <v>3650</v>
      </c>
      <c r="B1213" s="801">
        <v>31204036000</v>
      </c>
    </row>
    <row r="1214" spans="1:2">
      <c r="A1214" s="800" t="s">
        <v>3649</v>
      </c>
      <c r="B1214" s="801">
        <v>31204037000</v>
      </c>
    </row>
    <row r="1215" spans="1:2">
      <c r="A1215" s="800" t="s">
        <v>3648</v>
      </c>
      <c r="B1215" s="801">
        <v>31204038000</v>
      </c>
    </row>
    <row r="1216" spans="1:2">
      <c r="A1216" s="800" t="s">
        <v>3647</v>
      </c>
      <c r="B1216" s="801">
        <v>31204039000</v>
      </c>
    </row>
    <row r="1217" spans="1:2">
      <c r="A1217" s="800" t="s">
        <v>3646</v>
      </c>
      <c r="B1217" s="801">
        <v>31204040000</v>
      </c>
    </row>
    <row r="1218" spans="1:2">
      <c r="A1218" s="800" t="s">
        <v>3645</v>
      </c>
      <c r="B1218" s="801">
        <v>31204041000</v>
      </c>
    </row>
    <row r="1219" spans="1:2">
      <c r="A1219" s="800" t="s">
        <v>3644</v>
      </c>
      <c r="B1219" s="801">
        <v>31204042000</v>
      </c>
    </row>
    <row r="1220" spans="1:2">
      <c r="A1220" s="800" t="s">
        <v>3643</v>
      </c>
      <c r="B1220" s="801">
        <v>31204043000</v>
      </c>
    </row>
    <row r="1221" spans="1:2">
      <c r="A1221" s="800" t="s">
        <v>3642</v>
      </c>
      <c r="B1221" s="801">
        <v>31204044000</v>
      </c>
    </row>
    <row r="1222" spans="1:2">
      <c r="A1222" s="800" t="s">
        <v>3641</v>
      </c>
      <c r="B1222" s="801">
        <v>31204045000</v>
      </c>
    </row>
    <row r="1223" spans="1:2">
      <c r="A1223" s="800" t="s">
        <v>3640</v>
      </c>
      <c r="B1223" s="801">
        <v>31204046000</v>
      </c>
    </row>
    <row r="1224" spans="1:2">
      <c r="A1224" s="800" t="s">
        <v>3639</v>
      </c>
      <c r="B1224" s="801">
        <v>31204047000</v>
      </c>
    </row>
    <row r="1225" spans="1:2">
      <c r="A1225" s="800" t="s">
        <v>3638</v>
      </c>
      <c r="B1225" s="801">
        <v>31204048001</v>
      </c>
    </row>
    <row r="1226" spans="1:2">
      <c r="A1226" s="800" t="s">
        <v>3637</v>
      </c>
      <c r="B1226" s="801">
        <v>31204048002</v>
      </c>
    </row>
    <row r="1227" spans="1:2">
      <c r="A1227" s="800" t="s">
        <v>3636</v>
      </c>
      <c r="B1227" s="801">
        <v>31300000000</v>
      </c>
    </row>
    <row r="1228" spans="1:2">
      <c r="A1228" s="800" t="s">
        <v>3635</v>
      </c>
      <c r="B1228" s="801">
        <v>31301000000</v>
      </c>
    </row>
    <row r="1229" spans="1:2">
      <c r="A1229" s="800" t="s">
        <v>3634</v>
      </c>
      <c r="B1229" s="801">
        <v>31301001000</v>
      </c>
    </row>
    <row r="1230" spans="1:2">
      <c r="A1230" s="800" t="s">
        <v>3633</v>
      </c>
      <c r="B1230" s="801">
        <v>31301002000</v>
      </c>
    </row>
    <row r="1231" spans="1:2">
      <c r="A1231" s="800" t="s">
        <v>3632</v>
      </c>
      <c r="B1231" s="801">
        <v>31301003000</v>
      </c>
    </row>
    <row r="1232" spans="1:2">
      <c r="A1232" s="800" t="s">
        <v>3631</v>
      </c>
      <c r="B1232" s="801">
        <v>31301004000</v>
      </c>
    </row>
    <row r="1233" spans="1:2">
      <c r="A1233" s="800" t="s">
        <v>3630</v>
      </c>
      <c r="B1233" s="801">
        <v>31301005000</v>
      </c>
    </row>
    <row r="1234" spans="1:2">
      <c r="A1234" s="800" t="s">
        <v>3629</v>
      </c>
      <c r="B1234" s="801">
        <v>31301006000</v>
      </c>
    </row>
    <row r="1235" spans="1:2">
      <c r="A1235" s="800" t="s">
        <v>3628</v>
      </c>
      <c r="B1235" s="801">
        <v>31301007000</v>
      </c>
    </row>
    <row r="1236" spans="1:2">
      <c r="A1236" s="800" t="s">
        <v>3627</v>
      </c>
      <c r="B1236" s="801">
        <v>31301008000</v>
      </c>
    </row>
    <row r="1237" spans="1:2">
      <c r="A1237" s="800" t="s">
        <v>3626</v>
      </c>
      <c r="B1237" s="801">
        <v>31301009000</v>
      </c>
    </row>
    <row r="1238" spans="1:2">
      <c r="A1238" s="800" t="s">
        <v>3625</v>
      </c>
      <c r="B1238" s="801">
        <v>31301010000</v>
      </c>
    </row>
    <row r="1239" spans="1:2">
      <c r="A1239" s="800" t="s">
        <v>3624</v>
      </c>
      <c r="B1239" s="801">
        <v>31301011000</v>
      </c>
    </row>
    <row r="1240" spans="1:2">
      <c r="A1240" s="800" t="s">
        <v>3623</v>
      </c>
      <c r="B1240" s="801">
        <v>31301012000</v>
      </c>
    </row>
    <row r="1241" spans="1:2">
      <c r="A1241" s="800" t="s">
        <v>3622</v>
      </c>
      <c r="B1241" s="801">
        <v>31301013000</v>
      </c>
    </row>
    <row r="1242" spans="1:2">
      <c r="A1242" s="800" t="s">
        <v>3621</v>
      </c>
      <c r="B1242" s="801">
        <v>31301014000</v>
      </c>
    </row>
    <row r="1243" spans="1:2">
      <c r="A1243" s="800" t="s">
        <v>3620</v>
      </c>
      <c r="B1243" s="801">
        <v>31301015000</v>
      </c>
    </row>
    <row r="1244" spans="1:2">
      <c r="A1244" s="800" t="s">
        <v>3619</v>
      </c>
      <c r="B1244" s="801">
        <v>31301016000</v>
      </c>
    </row>
    <row r="1245" spans="1:2">
      <c r="A1245" s="800" t="s">
        <v>3618</v>
      </c>
      <c r="B1245" s="801">
        <v>31301017000</v>
      </c>
    </row>
    <row r="1246" spans="1:2">
      <c r="A1246" s="800" t="s">
        <v>3617</v>
      </c>
      <c r="B1246" s="801">
        <v>31301018000</v>
      </c>
    </row>
    <row r="1247" spans="1:2">
      <c r="A1247" s="800" t="s">
        <v>3616</v>
      </c>
      <c r="B1247" s="801">
        <v>31301019000</v>
      </c>
    </row>
    <row r="1248" spans="1:2">
      <c r="A1248" s="800" t="s">
        <v>3615</v>
      </c>
      <c r="B1248" s="801">
        <v>31301020000</v>
      </c>
    </row>
    <row r="1249" spans="1:2">
      <c r="A1249" s="800" t="s">
        <v>3614</v>
      </c>
      <c r="B1249" s="801">
        <v>31301021000</v>
      </c>
    </row>
    <row r="1250" spans="1:2">
      <c r="A1250" s="800" t="s">
        <v>3613</v>
      </c>
      <c r="B1250" s="801">
        <v>31301022000</v>
      </c>
    </row>
    <row r="1251" spans="1:2">
      <c r="A1251" s="800" t="s">
        <v>3612</v>
      </c>
      <c r="B1251" s="801">
        <v>31301023000</v>
      </c>
    </row>
    <row r="1252" spans="1:2">
      <c r="A1252" s="800" t="s">
        <v>3611</v>
      </c>
      <c r="B1252" s="801">
        <v>31301024000</v>
      </c>
    </row>
    <row r="1253" spans="1:2">
      <c r="A1253" s="800" t="s">
        <v>3610</v>
      </c>
      <c r="B1253" s="801">
        <v>31301025000</v>
      </c>
    </row>
    <row r="1254" spans="1:2">
      <c r="A1254" s="800" t="s">
        <v>3609</v>
      </c>
      <c r="B1254" s="801">
        <v>31301026000</v>
      </c>
    </row>
    <row r="1255" spans="1:2">
      <c r="A1255" s="800" t="s">
        <v>3608</v>
      </c>
      <c r="B1255" s="801">
        <v>31301027000</v>
      </c>
    </row>
    <row r="1256" spans="1:2">
      <c r="A1256" s="800" t="s">
        <v>3607</v>
      </c>
      <c r="B1256" s="801">
        <v>31301028000</v>
      </c>
    </row>
    <row r="1257" spans="1:2">
      <c r="A1257" s="800" t="s">
        <v>3606</v>
      </c>
      <c r="B1257" s="801">
        <v>31301029000</v>
      </c>
    </row>
    <row r="1258" spans="1:2">
      <c r="A1258" s="800" t="s">
        <v>3605</v>
      </c>
      <c r="B1258" s="801">
        <v>31301030000</v>
      </c>
    </row>
    <row r="1259" spans="1:2">
      <c r="A1259" s="800" t="s">
        <v>3604</v>
      </c>
      <c r="B1259" s="801">
        <v>31301031000</v>
      </c>
    </row>
    <row r="1260" spans="1:2">
      <c r="A1260" s="800" t="s">
        <v>3603</v>
      </c>
      <c r="B1260" s="801">
        <v>31301032000</v>
      </c>
    </row>
    <row r="1261" spans="1:2">
      <c r="A1261" s="800" t="s">
        <v>3602</v>
      </c>
      <c r="B1261" s="801">
        <v>31301033000</v>
      </c>
    </row>
    <row r="1262" spans="1:2">
      <c r="A1262" s="800" t="s">
        <v>3601</v>
      </c>
      <c r="B1262" s="801">
        <v>31301033101</v>
      </c>
    </row>
    <row r="1263" spans="1:2">
      <c r="A1263" s="800" t="s">
        <v>3600</v>
      </c>
      <c r="B1263" s="801">
        <v>31301034000</v>
      </c>
    </row>
    <row r="1264" spans="1:2">
      <c r="A1264" s="800" t="s">
        <v>3599</v>
      </c>
      <c r="B1264" s="801">
        <v>31301035000</v>
      </c>
    </row>
    <row r="1265" spans="1:2">
      <c r="A1265" s="800" t="s">
        <v>3598</v>
      </c>
      <c r="B1265" s="801">
        <v>31301036000</v>
      </c>
    </row>
    <row r="1266" spans="1:2">
      <c r="A1266" s="800" t="s">
        <v>3597</v>
      </c>
      <c r="B1266" s="801">
        <v>31301037000</v>
      </c>
    </row>
    <row r="1267" spans="1:2">
      <c r="A1267" s="800" t="s">
        <v>3596</v>
      </c>
      <c r="B1267" s="801">
        <v>31301038000</v>
      </c>
    </row>
    <row r="1268" spans="1:2">
      <c r="A1268" s="800" t="s">
        <v>3575</v>
      </c>
      <c r="B1268" s="801">
        <v>31301039000</v>
      </c>
    </row>
    <row r="1269" spans="1:2">
      <c r="A1269" s="800" t="s">
        <v>3595</v>
      </c>
      <c r="B1269" s="801">
        <v>31301040000</v>
      </c>
    </row>
    <row r="1270" spans="1:2">
      <c r="A1270" s="800" t="s">
        <v>3594</v>
      </c>
      <c r="B1270" s="801">
        <v>31301041000</v>
      </c>
    </row>
    <row r="1271" spans="1:2">
      <c r="A1271" s="800" t="s">
        <v>3593</v>
      </c>
      <c r="B1271" s="801">
        <v>31301042000</v>
      </c>
    </row>
    <row r="1272" spans="1:2">
      <c r="A1272" s="800" t="s">
        <v>3592</v>
      </c>
      <c r="B1272" s="801">
        <v>31301043000</v>
      </c>
    </row>
    <row r="1273" spans="1:2">
      <c r="A1273" s="800" t="s">
        <v>3591</v>
      </c>
      <c r="B1273" s="801">
        <v>31301044001</v>
      </c>
    </row>
    <row r="1274" spans="1:2">
      <c r="A1274" s="800" t="s">
        <v>3590</v>
      </c>
      <c r="B1274" s="801">
        <v>31301044002</v>
      </c>
    </row>
    <row r="1275" spans="1:2">
      <c r="A1275" s="800" t="s">
        <v>3589</v>
      </c>
      <c r="B1275" s="801">
        <v>31301044003</v>
      </c>
    </row>
    <row r="1276" spans="1:2">
      <c r="A1276" s="800" t="s">
        <v>3588</v>
      </c>
      <c r="B1276" s="801">
        <v>31301045001</v>
      </c>
    </row>
    <row r="1277" spans="1:2">
      <c r="A1277" s="800" t="s">
        <v>3587</v>
      </c>
      <c r="B1277" s="801">
        <v>31301045002</v>
      </c>
    </row>
    <row r="1278" spans="1:2">
      <c r="A1278" s="800" t="s">
        <v>3586</v>
      </c>
      <c r="B1278" s="801">
        <v>31301045003</v>
      </c>
    </row>
    <row r="1279" spans="1:2">
      <c r="A1279" s="800" t="s">
        <v>3585</v>
      </c>
      <c r="B1279" s="801">
        <v>31301046001</v>
      </c>
    </row>
    <row r="1280" spans="1:2">
      <c r="A1280" s="800" t="s">
        <v>3584</v>
      </c>
      <c r="B1280" s="801">
        <v>31301046002</v>
      </c>
    </row>
    <row r="1281" spans="1:2">
      <c r="A1281" s="800" t="s">
        <v>3583</v>
      </c>
      <c r="B1281" s="801">
        <v>31301046003</v>
      </c>
    </row>
    <row r="1282" spans="1:2">
      <c r="A1282" s="800" t="s">
        <v>3582</v>
      </c>
      <c r="B1282" s="801">
        <v>31301046004</v>
      </c>
    </row>
    <row r="1283" spans="1:2">
      <c r="A1283" s="800" t="s">
        <v>3581</v>
      </c>
      <c r="B1283" s="801">
        <v>31301047001</v>
      </c>
    </row>
    <row r="1284" spans="1:2">
      <c r="A1284" s="800" t="s">
        <v>3580</v>
      </c>
      <c r="B1284" s="801">
        <v>31301047002</v>
      </c>
    </row>
    <row r="1285" spans="1:2">
      <c r="A1285" s="800" t="s">
        <v>3579</v>
      </c>
      <c r="B1285" s="801">
        <v>31301048001</v>
      </c>
    </row>
    <row r="1286" spans="1:2">
      <c r="A1286" s="800" t="s">
        <v>3578</v>
      </c>
      <c r="B1286" s="801">
        <v>31301048002</v>
      </c>
    </row>
    <row r="1287" spans="1:2">
      <c r="A1287" s="800" t="s">
        <v>3577</v>
      </c>
      <c r="B1287" s="801">
        <v>31301048003</v>
      </c>
    </row>
    <row r="1288" spans="1:2">
      <c r="A1288" s="800" t="s">
        <v>3576</v>
      </c>
      <c r="B1288" s="801">
        <v>31301048004</v>
      </c>
    </row>
    <row r="1289" spans="1:2">
      <c r="A1289" s="800" t="s">
        <v>3575</v>
      </c>
      <c r="B1289" s="801">
        <v>31301049000</v>
      </c>
    </row>
    <row r="1290" spans="1:2">
      <c r="A1290" s="800" t="s">
        <v>3574</v>
      </c>
      <c r="B1290" s="801">
        <v>31302000000</v>
      </c>
    </row>
    <row r="1291" spans="1:2">
      <c r="A1291" s="800" t="s">
        <v>3573</v>
      </c>
      <c r="B1291" s="801">
        <v>31302001000</v>
      </c>
    </row>
    <row r="1292" spans="1:2">
      <c r="A1292" s="800" t="s">
        <v>3572</v>
      </c>
      <c r="B1292" s="801">
        <v>31302002000</v>
      </c>
    </row>
    <row r="1293" spans="1:2">
      <c r="A1293" s="800" t="s">
        <v>3571</v>
      </c>
      <c r="B1293" s="801">
        <v>31302003000</v>
      </c>
    </row>
    <row r="1294" spans="1:2">
      <c r="A1294" s="800" t="s">
        <v>3570</v>
      </c>
      <c r="B1294" s="801">
        <v>31302004000</v>
      </c>
    </row>
    <row r="1295" spans="1:2">
      <c r="A1295" s="800" t="s">
        <v>3569</v>
      </c>
      <c r="B1295" s="801">
        <v>31302005000</v>
      </c>
    </row>
    <row r="1296" spans="1:2">
      <c r="A1296" s="800" t="s">
        <v>3568</v>
      </c>
      <c r="B1296" s="801">
        <v>31302006000</v>
      </c>
    </row>
    <row r="1297" spans="1:2">
      <c r="A1297" s="800" t="s">
        <v>3567</v>
      </c>
      <c r="B1297" s="801">
        <v>31302007000</v>
      </c>
    </row>
    <row r="1298" spans="1:2">
      <c r="A1298" s="800" t="s">
        <v>3566</v>
      </c>
      <c r="B1298" s="801">
        <v>31302008000</v>
      </c>
    </row>
    <row r="1299" spans="1:2">
      <c r="A1299" s="800" t="s">
        <v>3565</v>
      </c>
      <c r="B1299" s="801">
        <v>31302009000</v>
      </c>
    </row>
    <row r="1300" spans="1:2">
      <c r="A1300" s="800" t="s">
        <v>3564</v>
      </c>
      <c r="B1300" s="801">
        <v>31302010000</v>
      </c>
    </row>
    <row r="1301" spans="1:2">
      <c r="A1301" s="800" t="s">
        <v>3563</v>
      </c>
      <c r="B1301" s="801">
        <v>31302011000</v>
      </c>
    </row>
    <row r="1302" spans="1:2">
      <c r="A1302" s="800" t="s">
        <v>3562</v>
      </c>
      <c r="B1302" s="801">
        <v>31302012000</v>
      </c>
    </row>
    <row r="1303" spans="1:2">
      <c r="A1303" s="800" t="s">
        <v>3561</v>
      </c>
      <c r="B1303" s="801">
        <v>31302013000</v>
      </c>
    </row>
    <row r="1304" spans="1:2">
      <c r="A1304" s="800" t="s">
        <v>3560</v>
      </c>
      <c r="B1304" s="801">
        <v>31302014000</v>
      </c>
    </row>
    <row r="1305" spans="1:2">
      <c r="A1305" s="800" t="s">
        <v>3559</v>
      </c>
      <c r="B1305" s="801">
        <v>31302015000</v>
      </c>
    </row>
    <row r="1306" spans="1:2">
      <c r="A1306" s="800" t="s">
        <v>3558</v>
      </c>
      <c r="B1306" s="801">
        <v>31302016000</v>
      </c>
    </row>
    <row r="1307" spans="1:2">
      <c r="A1307" s="800" t="s">
        <v>3557</v>
      </c>
      <c r="B1307" s="801">
        <v>31302017000</v>
      </c>
    </row>
    <row r="1308" spans="1:2">
      <c r="A1308" s="800" t="s">
        <v>3556</v>
      </c>
      <c r="B1308" s="801">
        <v>31302018000</v>
      </c>
    </row>
    <row r="1309" spans="1:2">
      <c r="A1309" s="800" t="s">
        <v>3555</v>
      </c>
      <c r="B1309" s="801">
        <v>31302019000</v>
      </c>
    </row>
    <row r="1310" spans="1:2">
      <c r="A1310" s="800" t="s">
        <v>3554</v>
      </c>
      <c r="B1310" s="801">
        <v>31302020000</v>
      </c>
    </row>
    <row r="1311" spans="1:2">
      <c r="A1311" s="800" t="s">
        <v>3553</v>
      </c>
      <c r="B1311" s="801">
        <v>31302021000</v>
      </c>
    </row>
    <row r="1312" spans="1:2">
      <c r="A1312" s="800" t="s">
        <v>3552</v>
      </c>
      <c r="B1312" s="801">
        <v>31302022000</v>
      </c>
    </row>
    <row r="1313" spans="1:2">
      <c r="A1313" s="800" t="s">
        <v>3551</v>
      </c>
      <c r="B1313" s="801">
        <v>31302023000</v>
      </c>
    </row>
    <row r="1314" spans="1:2">
      <c r="A1314" s="800" t="s">
        <v>3550</v>
      </c>
      <c r="B1314" s="801">
        <v>31302024000</v>
      </c>
    </row>
    <row r="1315" spans="1:2">
      <c r="A1315" s="800" t="s">
        <v>3549</v>
      </c>
      <c r="B1315" s="801">
        <v>31302025000</v>
      </c>
    </row>
    <row r="1316" spans="1:2">
      <c r="A1316" s="800" t="s">
        <v>3548</v>
      </c>
      <c r="B1316" s="801">
        <v>31302026000</v>
      </c>
    </row>
    <row r="1317" spans="1:2">
      <c r="A1317" s="800" t="s">
        <v>3547</v>
      </c>
      <c r="B1317" s="801">
        <v>31302027000</v>
      </c>
    </row>
    <row r="1318" spans="1:2">
      <c r="A1318" s="800" t="s">
        <v>3546</v>
      </c>
      <c r="B1318" s="801">
        <v>31302028000</v>
      </c>
    </row>
    <row r="1319" spans="1:2">
      <c r="A1319" s="800" t="s">
        <v>3545</v>
      </c>
      <c r="B1319" s="801">
        <v>31302029000</v>
      </c>
    </row>
    <row r="1320" spans="1:2">
      <c r="A1320" s="800" t="s">
        <v>3544</v>
      </c>
      <c r="B1320" s="801">
        <v>31302030000</v>
      </c>
    </row>
    <row r="1321" spans="1:2">
      <c r="A1321" s="800" t="s">
        <v>3543</v>
      </c>
      <c r="B1321" s="801">
        <v>31302031000</v>
      </c>
    </row>
    <row r="1322" spans="1:2">
      <c r="A1322" s="800" t="s">
        <v>3542</v>
      </c>
      <c r="B1322" s="801">
        <v>31302032000</v>
      </c>
    </row>
    <row r="1323" spans="1:2">
      <c r="A1323" s="800" t="s">
        <v>3541</v>
      </c>
      <c r="B1323" s="801">
        <v>31302033000</v>
      </c>
    </row>
    <row r="1324" spans="1:2">
      <c r="A1324" s="800" t="s">
        <v>3540</v>
      </c>
      <c r="B1324" s="801">
        <v>31302034000</v>
      </c>
    </row>
    <row r="1325" spans="1:2">
      <c r="A1325" s="800" t="s">
        <v>3539</v>
      </c>
      <c r="B1325" s="801">
        <v>31302035000</v>
      </c>
    </row>
    <row r="1326" spans="1:2">
      <c r="A1326" s="800" t="s">
        <v>3538</v>
      </c>
      <c r="B1326" s="801">
        <v>31302036000</v>
      </c>
    </row>
    <row r="1327" spans="1:2">
      <c r="A1327" s="800" t="s">
        <v>3537</v>
      </c>
      <c r="B1327" s="801">
        <v>31302037000</v>
      </c>
    </row>
    <row r="1328" spans="1:2">
      <c r="A1328" s="800" t="s">
        <v>3536</v>
      </c>
      <c r="B1328" s="801">
        <v>31302038000</v>
      </c>
    </row>
    <row r="1329" spans="1:2">
      <c r="A1329" s="800" t="s">
        <v>3535</v>
      </c>
      <c r="B1329" s="801">
        <v>31302039000</v>
      </c>
    </row>
    <row r="1330" spans="1:2">
      <c r="A1330" s="800" t="s">
        <v>3534</v>
      </c>
      <c r="B1330" s="801">
        <v>31302040000</v>
      </c>
    </row>
    <row r="1331" spans="1:2">
      <c r="A1331" s="800" t="s">
        <v>3533</v>
      </c>
      <c r="B1331" s="801">
        <v>31303000000</v>
      </c>
    </row>
    <row r="1332" spans="1:2">
      <c r="A1332" s="800" t="s">
        <v>3532</v>
      </c>
      <c r="B1332" s="801">
        <v>31303001000</v>
      </c>
    </row>
    <row r="1333" spans="1:2">
      <c r="A1333" s="800" t="s">
        <v>3531</v>
      </c>
      <c r="B1333" s="801">
        <v>31303001101</v>
      </c>
    </row>
    <row r="1334" spans="1:2">
      <c r="A1334" s="800" t="s">
        <v>3530</v>
      </c>
      <c r="B1334" s="801">
        <v>31303001102</v>
      </c>
    </row>
    <row r="1335" spans="1:2">
      <c r="A1335" s="800" t="s">
        <v>3529</v>
      </c>
      <c r="B1335" s="801">
        <v>31303002000</v>
      </c>
    </row>
    <row r="1336" spans="1:2">
      <c r="A1336" s="800" t="s">
        <v>3528</v>
      </c>
      <c r="B1336" s="801">
        <v>31303003000</v>
      </c>
    </row>
    <row r="1337" spans="1:2">
      <c r="A1337" s="800" t="s">
        <v>3527</v>
      </c>
      <c r="B1337" s="801">
        <v>31303003101</v>
      </c>
    </row>
    <row r="1338" spans="1:2">
      <c r="A1338" s="800" t="s">
        <v>3526</v>
      </c>
      <c r="B1338" s="801">
        <v>31303004000</v>
      </c>
    </row>
    <row r="1339" spans="1:2">
      <c r="A1339" s="800" t="s">
        <v>3525</v>
      </c>
      <c r="B1339" s="801">
        <v>31303005000</v>
      </c>
    </row>
    <row r="1340" spans="1:2">
      <c r="A1340" s="800" t="s">
        <v>3524</v>
      </c>
      <c r="B1340" s="801">
        <v>31303006000</v>
      </c>
    </row>
    <row r="1341" spans="1:2">
      <c r="A1341" s="800" t="s">
        <v>3523</v>
      </c>
      <c r="B1341" s="801">
        <v>31303006101</v>
      </c>
    </row>
    <row r="1342" spans="1:2">
      <c r="A1342" s="800" t="s">
        <v>3522</v>
      </c>
      <c r="B1342" s="801">
        <v>31303006102</v>
      </c>
    </row>
    <row r="1343" spans="1:2">
      <c r="A1343" s="800" t="s">
        <v>3521</v>
      </c>
      <c r="B1343" s="801">
        <v>31303007000</v>
      </c>
    </row>
    <row r="1344" spans="1:2">
      <c r="A1344" s="800" t="s">
        <v>3520</v>
      </c>
      <c r="B1344" s="801">
        <v>31303008000</v>
      </c>
    </row>
    <row r="1345" spans="1:2">
      <c r="A1345" s="800" t="s">
        <v>3519</v>
      </c>
      <c r="B1345" s="801">
        <v>31303009000</v>
      </c>
    </row>
    <row r="1346" spans="1:2">
      <c r="A1346" s="800" t="s">
        <v>3518</v>
      </c>
      <c r="B1346" s="801">
        <v>31303010000</v>
      </c>
    </row>
    <row r="1347" spans="1:2">
      <c r="A1347" s="800" t="s">
        <v>3517</v>
      </c>
      <c r="B1347" s="801">
        <v>31303011000</v>
      </c>
    </row>
    <row r="1348" spans="1:2">
      <c r="A1348" s="800" t="s">
        <v>3516</v>
      </c>
      <c r="B1348" s="801">
        <v>31303012000</v>
      </c>
    </row>
    <row r="1349" spans="1:2">
      <c r="A1349" s="800" t="s">
        <v>3515</v>
      </c>
      <c r="B1349" s="801">
        <v>31303013000</v>
      </c>
    </row>
    <row r="1350" spans="1:2">
      <c r="A1350" s="800" t="s">
        <v>3514</v>
      </c>
      <c r="B1350" s="801">
        <v>31303013101</v>
      </c>
    </row>
    <row r="1351" spans="1:2">
      <c r="A1351" s="800" t="s">
        <v>3513</v>
      </c>
      <c r="B1351" s="801">
        <v>31303013102</v>
      </c>
    </row>
    <row r="1352" spans="1:2">
      <c r="A1352" s="800" t="s">
        <v>3512</v>
      </c>
      <c r="B1352" s="801">
        <v>31303013103</v>
      </c>
    </row>
    <row r="1353" spans="1:2">
      <c r="A1353" s="800" t="s">
        <v>3511</v>
      </c>
      <c r="B1353" s="801">
        <v>31320000000</v>
      </c>
    </row>
    <row r="1354" spans="1:2">
      <c r="A1354" s="800" t="s">
        <v>3510</v>
      </c>
      <c r="B1354" s="801">
        <v>31321000000</v>
      </c>
    </row>
    <row r="1355" spans="1:2">
      <c r="A1355" s="800" t="s">
        <v>3509</v>
      </c>
      <c r="B1355" s="801">
        <v>31321001000</v>
      </c>
    </row>
    <row r="1356" spans="1:2">
      <c r="A1356" s="800" t="s">
        <v>3508</v>
      </c>
      <c r="B1356" s="801">
        <v>31321002000</v>
      </c>
    </row>
    <row r="1357" spans="1:2">
      <c r="A1357" s="800" t="s">
        <v>3507</v>
      </c>
      <c r="B1357" s="801">
        <v>31321003000</v>
      </c>
    </row>
    <row r="1358" spans="1:2">
      <c r="A1358" s="800" t="s">
        <v>3506</v>
      </c>
      <c r="B1358" s="801">
        <v>31321004000</v>
      </c>
    </row>
    <row r="1359" spans="1:2">
      <c r="A1359" s="800" t="s">
        <v>3505</v>
      </c>
      <c r="B1359" s="801">
        <v>31321005000</v>
      </c>
    </row>
    <row r="1360" spans="1:2">
      <c r="A1360" s="800" t="s">
        <v>3504</v>
      </c>
      <c r="B1360" s="801">
        <v>31321006000</v>
      </c>
    </row>
    <row r="1361" spans="1:2">
      <c r="A1361" s="800" t="s">
        <v>3503</v>
      </c>
      <c r="B1361" s="801">
        <v>31321007000</v>
      </c>
    </row>
    <row r="1362" spans="1:2">
      <c r="A1362" s="800" t="s">
        <v>3502</v>
      </c>
      <c r="B1362" s="801">
        <v>31321007101</v>
      </c>
    </row>
    <row r="1363" spans="1:2">
      <c r="A1363" s="800" t="s">
        <v>3501</v>
      </c>
      <c r="B1363" s="801">
        <v>31321008000</v>
      </c>
    </row>
    <row r="1364" spans="1:2">
      <c r="A1364" s="800" t="s">
        <v>3500</v>
      </c>
      <c r="B1364" s="801">
        <v>31321009000</v>
      </c>
    </row>
    <row r="1365" spans="1:2">
      <c r="A1365" s="800" t="s">
        <v>3499</v>
      </c>
      <c r="B1365" s="801">
        <v>31321010000</v>
      </c>
    </row>
    <row r="1366" spans="1:2">
      <c r="A1366" s="800" t="s">
        <v>3498</v>
      </c>
      <c r="B1366" s="801">
        <v>31321010101</v>
      </c>
    </row>
    <row r="1367" spans="1:2">
      <c r="A1367" s="800" t="s">
        <v>3497</v>
      </c>
      <c r="B1367" s="801">
        <v>31321010102</v>
      </c>
    </row>
    <row r="1368" spans="1:2">
      <c r="A1368" s="800" t="s">
        <v>3496</v>
      </c>
      <c r="B1368" s="801">
        <v>31321011000</v>
      </c>
    </row>
    <row r="1369" spans="1:2">
      <c r="A1369" s="800" t="s">
        <v>3495</v>
      </c>
      <c r="B1369" s="801">
        <v>31321012000</v>
      </c>
    </row>
    <row r="1370" spans="1:2">
      <c r="A1370" s="800" t="s">
        <v>3494</v>
      </c>
      <c r="B1370" s="801">
        <v>31321013000</v>
      </c>
    </row>
    <row r="1371" spans="1:2">
      <c r="A1371" s="800" t="s">
        <v>3493</v>
      </c>
      <c r="B1371" s="801">
        <v>31321014000</v>
      </c>
    </row>
    <row r="1372" spans="1:2">
      <c r="A1372" s="800" t="s">
        <v>3492</v>
      </c>
      <c r="B1372" s="801">
        <v>31321015000</v>
      </c>
    </row>
    <row r="1373" spans="1:2">
      <c r="A1373" s="800" t="s">
        <v>3491</v>
      </c>
      <c r="B1373" s="801">
        <v>31321016000</v>
      </c>
    </row>
    <row r="1374" spans="1:2">
      <c r="A1374" s="800" t="s">
        <v>3490</v>
      </c>
      <c r="B1374" s="801">
        <v>31321017000</v>
      </c>
    </row>
    <row r="1375" spans="1:2">
      <c r="A1375" s="800" t="s">
        <v>3489</v>
      </c>
      <c r="B1375" s="801">
        <v>31321018000</v>
      </c>
    </row>
    <row r="1376" spans="1:2">
      <c r="A1376" s="800" t="s">
        <v>3488</v>
      </c>
      <c r="B1376" s="801">
        <v>31321018101</v>
      </c>
    </row>
    <row r="1377" spans="1:2">
      <c r="A1377" s="800" t="s">
        <v>3487</v>
      </c>
      <c r="B1377" s="801">
        <v>31321019000</v>
      </c>
    </row>
    <row r="1378" spans="1:2">
      <c r="A1378" s="800" t="s">
        <v>3486</v>
      </c>
      <c r="B1378" s="801">
        <v>31321019101</v>
      </c>
    </row>
    <row r="1379" spans="1:2">
      <c r="A1379" s="800" t="s">
        <v>3485</v>
      </c>
      <c r="B1379" s="801">
        <v>31321019102</v>
      </c>
    </row>
    <row r="1380" spans="1:2">
      <c r="A1380" s="800" t="s">
        <v>3484</v>
      </c>
      <c r="B1380" s="801">
        <v>31321019103</v>
      </c>
    </row>
    <row r="1381" spans="1:2">
      <c r="A1381" s="800" t="s">
        <v>3483</v>
      </c>
      <c r="B1381" s="801">
        <v>31321020000</v>
      </c>
    </row>
    <row r="1382" spans="1:2">
      <c r="A1382" s="800" t="s">
        <v>3482</v>
      </c>
      <c r="B1382" s="801">
        <v>31321021000</v>
      </c>
    </row>
    <row r="1383" spans="1:2">
      <c r="A1383" s="800" t="s">
        <v>3481</v>
      </c>
      <c r="B1383" s="801">
        <v>31321022000</v>
      </c>
    </row>
    <row r="1384" spans="1:2">
      <c r="A1384" s="800" t="s">
        <v>3480</v>
      </c>
      <c r="B1384" s="801">
        <v>31321023000</v>
      </c>
    </row>
    <row r="1385" spans="1:2">
      <c r="A1385" s="800" t="s">
        <v>3479</v>
      </c>
      <c r="B1385" s="801">
        <v>31321024000</v>
      </c>
    </row>
    <row r="1386" spans="1:2">
      <c r="A1386" s="800" t="s">
        <v>3478</v>
      </c>
      <c r="B1386" s="801">
        <v>31321025000</v>
      </c>
    </row>
    <row r="1387" spans="1:2">
      <c r="A1387" s="800" t="s">
        <v>3477</v>
      </c>
      <c r="B1387" s="801">
        <v>31321026000</v>
      </c>
    </row>
    <row r="1388" spans="1:2">
      <c r="A1388" s="800" t="s">
        <v>3476</v>
      </c>
      <c r="B1388" s="801">
        <v>31321027000</v>
      </c>
    </row>
    <row r="1389" spans="1:2">
      <c r="A1389" s="800" t="s">
        <v>3475</v>
      </c>
      <c r="B1389" s="801">
        <v>31321028000</v>
      </c>
    </row>
    <row r="1390" spans="1:2">
      <c r="A1390" s="800" t="s">
        <v>3474</v>
      </c>
      <c r="B1390" s="801">
        <v>31321029000</v>
      </c>
    </row>
    <row r="1391" spans="1:2">
      <c r="A1391" s="800" t="s">
        <v>3473</v>
      </c>
      <c r="B1391" s="801">
        <v>31321030000</v>
      </c>
    </row>
    <row r="1392" spans="1:2">
      <c r="A1392" s="800" t="s">
        <v>3472</v>
      </c>
      <c r="B1392" s="801">
        <v>31321031000</v>
      </c>
    </row>
    <row r="1393" spans="1:2">
      <c r="A1393" s="800" t="s">
        <v>3471</v>
      </c>
      <c r="B1393" s="801">
        <v>31321032000</v>
      </c>
    </row>
    <row r="1394" spans="1:2">
      <c r="A1394" s="800" t="s">
        <v>3470</v>
      </c>
      <c r="B1394" s="801">
        <v>31321033000</v>
      </c>
    </row>
    <row r="1395" spans="1:2">
      <c r="A1395" s="800" t="s">
        <v>3469</v>
      </c>
      <c r="B1395" s="801">
        <v>31321033101</v>
      </c>
    </row>
    <row r="1396" spans="1:2">
      <c r="A1396" s="800" t="s">
        <v>3468</v>
      </c>
      <c r="B1396" s="801">
        <v>31321034000</v>
      </c>
    </row>
    <row r="1397" spans="1:2">
      <c r="A1397" s="800" t="s">
        <v>3467</v>
      </c>
      <c r="B1397" s="801">
        <v>31321035000</v>
      </c>
    </row>
    <row r="1398" spans="1:2">
      <c r="A1398" s="800" t="s">
        <v>3466</v>
      </c>
      <c r="B1398" s="801">
        <v>31321036000</v>
      </c>
    </row>
    <row r="1399" spans="1:2">
      <c r="A1399" s="800" t="s">
        <v>3465</v>
      </c>
      <c r="B1399" s="801">
        <v>31321036101</v>
      </c>
    </row>
    <row r="1400" spans="1:2">
      <c r="A1400" s="800" t="s">
        <v>3464</v>
      </c>
      <c r="B1400" s="801">
        <v>31321037000</v>
      </c>
    </row>
    <row r="1401" spans="1:2">
      <c r="A1401" s="800" t="s">
        <v>3463</v>
      </c>
      <c r="B1401" s="801">
        <v>31321038000</v>
      </c>
    </row>
    <row r="1402" spans="1:2">
      <c r="A1402" s="800" t="s">
        <v>3462</v>
      </c>
      <c r="B1402" s="801">
        <v>31321039000</v>
      </c>
    </row>
    <row r="1403" spans="1:2">
      <c r="A1403" s="800" t="s">
        <v>3461</v>
      </c>
      <c r="B1403" s="801">
        <v>31321040000</v>
      </c>
    </row>
    <row r="1404" spans="1:2">
      <c r="A1404" s="800" t="s">
        <v>3460</v>
      </c>
      <c r="B1404" s="801">
        <v>31321041000</v>
      </c>
    </row>
    <row r="1405" spans="1:2">
      <c r="A1405" s="800" t="s">
        <v>3459</v>
      </c>
      <c r="B1405" s="801">
        <v>31321041101</v>
      </c>
    </row>
    <row r="1406" spans="1:2">
      <c r="A1406" s="800" t="s">
        <v>3458</v>
      </c>
      <c r="B1406" s="801">
        <v>31321041102</v>
      </c>
    </row>
    <row r="1407" spans="1:2">
      <c r="A1407" s="800" t="s">
        <v>3457</v>
      </c>
      <c r="B1407" s="801">
        <v>31321042000</v>
      </c>
    </row>
    <row r="1408" spans="1:2">
      <c r="A1408" s="800" t="s">
        <v>3456</v>
      </c>
      <c r="B1408" s="801">
        <v>31321042101</v>
      </c>
    </row>
    <row r="1409" spans="1:2">
      <c r="A1409" s="800" t="s">
        <v>3455</v>
      </c>
      <c r="B1409" s="801">
        <v>31321042102</v>
      </c>
    </row>
    <row r="1410" spans="1:2">
      <c r="A1410" s="800" t="s">
        <v>3454</v>
      </c>
      <c r="B1410" s="801">
        <v>31321043000</v>
      </c>
    </row>
    <row r="1411" spans="1:2">
      <c r="A1411" s="800" t="s">
        <v>3453</v>
      </c>
      <c r="B1411" s="801">
        <v>31322000000</v>
      </c>
    </row>
    <row r="1412" spans="1:2">
      <c r="A1412" s="800" t="s">
        <v>3452</v>
      </c>
      <c r="B1412" s="801">
        <v>31322001000</v>
      </c>
    </row>
    <row r="1413" spans="1:2">
      <c r="A1413" s="800" t="s">
        <v>3451</v>
      </c>
      <c r="B1413" s="801">
        <v>31322002000</v>
      </c>
    </row>
    <row r="1414" spans="1:2">
      <c r="A1414" s="800" t="s">
        <v>3450</v>
      </c>
      <c r="B1414" s="801">
        <v>31322003000</v>
      </c>
    </row>
    <row r="1415" spans="1:2">
      <c r="A1415" s="800" t="s">
        <v>3449</v>
      </c>
      <c r="B1415" s="801">
        <v>31322004000</v>
      </c>
    </row>
    <row r="1416" spans="1:2">
      <c r="A1416" s="800" t="s">
        <v>3448</v>
      </c>
      <c r="B1416" s="801">
        <v>31322005000</v>
      </c>
    </row>
    <row r="1417" spans="1:2">
      <c r="A1417" s="800" t="s">
        <v>3447</v>
      </c>
      <c r="B1417" s="801">
        <v>31322006000</v>
      </c>
    </row>
    <row r="1418" spans="1:2">
      <c r="A1418" s="800" t="s">
        <v>3446</v>
      </c>
      <c r="B1418" s="801">
        <v>31322007000</v>
      </c>
    </row>
    <row r="1419" spans="1:2">
      <c r="A1419" s="800" t="s">
        <v>3445</v>
      </c>
      <c r="B1419" s="801">
        <v>31322008000</v>
      </c>
    </row>
    <row r="1420" spans="1:2">
      <c r="A1420" s="800" t="s">
        <v>3444</v>
      </c>
      <c r="B1420" s="801">
        <v>31322009000</v>
      </c>
    </row>
    <row r="1421" spans="1:2">
      <c r="A1421" s="800" t="s">
        <v>3443</v>
      </c>
      <c r="B1421" s="801">
        <v>31322010000</v>
      </c>
    </row>
    <row r="1422" spans="1:2">
      <c r="A1422" s="800" t="s">
        <v>3442</v>
      </c>
      <c r="B1422" s="801">
        <v>31322011000</v>
      </c>
    </row>
    <row r="1423" spans="1:2">
      <c r="A1423" s="800" t="s">
        <v>3441</v>
      </c>
      <c r="B1423" s="801">
        <v>31322012000</v>
      </c>
    </row>
    <row r="1424" spans="1:2">
      <c r="A1424" s="800" t="s">
        <v>3440</v>
      </c>
      <c r="B1424" s="801">
        <v>31322013000</v>
      </c>
    </row>
    <row r="1425" spans="1:2">
      <c r="A1425" s="800" t="s">
        <v>3439</v>
      </c>
      <c r="B1425" s="801">
        <v>31322014000</v>
      </c>
    </row>
    <row r="1426" spans="1:2">
      <c r="A1426" s="800" t="s">
        <v>3438</v>
      </c>
      <c r="B1426" s="801">
        <v>31322015000</v>
      </c>
    </row>
    <row r="1427" spans="1:2">
      <c r="A1427" s="800" t="s">
        <v>3437</v>
      </c>
      <c r="B1427" s="801">
        <v>31322016000</v>
      </c>
    </row>
    <row r="1428" spans="1:2">
      <c r="A1428" s="800" t="s">
        <v>3436</v>
      </c>
      <c r="B1428" s="801">
        <v>31322017000</v>
      </c>
    </row>
    <row r="1429" spans="1:2">
      <c r="A1429" s="800" t="s">
        <v>3435</v>
      </c>
      <c r="B1429" s="801">
        <v>31322018000</v>
      </c>
    </row>
    <row r="1430" spans="1:2">
      <c r="A1430" s="800" t="s">
        <v>3434</v>
      </c>
      <c r="B1430" s="801">
        <v>31323000000</v>
      </c>
    </row>
    <row r="1431" spans="1:2">
      <c r="A1431" s="800" t="s">
        <v>3433</v>
      </c>
      <c r="B1431" s="801">
        <v>31323001000</v>
      </c>
    </row>
    <row r="1432" spans="1:2">
      <c r="A1432" s="800" t="s">
        <v>3432</v>
      </c>
      <c r="B1432" s="801">
        <v>31323002000</v>
      </c>
    </row>
    <row r="1433" spans="1:2">
      <c r="A1433" s="800" t="s">
        <v>3431</v>
      </c>
      <c r="B1433" s="801">
        <v>31323003000</v>
      </c>
    </row>
    <row r="1434" spans="1:2">
      <c r="A1434" s="800" t="s">
        <v>3430</v>
      </c>
      <c r="B1434" s="801">
        <v>31323004000</v>
      </c>
    </row>
    <row r="1435" spans="1:2">
      <c r="A1435" s="800" t="s">
        <v>3429</v>
      </c>
      <c r="B1435" s="801">
        <v>31323004101</v>
      </c>
    </row>
    <row r="1436" spans="1:2">
      <c r="A1436" s="800" t="s">
        <v>3428</v>
      </c>
      <c r="B1436" s="801">
        <v>31323005000</v>
      </c>
    </row>
    <row r="1437" spans="1:2">
      <c r="A1437" s="800" t="s">
        <v>3427</v>
      </c>
      <c r="B1437" s="801">
        <v>31323005101</v>
      </c>
    </row>
    <row r="1438" spans="1:2">
      <c r="A1438" s="800" t="s">
        <v>3426</v>
      </c>
      <c r="B1438" s="801">
        <v>31323006000</v>
      </c>
    </row>
    <row r="1439" spans="1:2">
      <c r="A1439" s="800" t="s">
        <v>3425</v>
      </c>
      <c r="B1439" s="801">
        <v>31323007000</v>
      </c>
    </row>
    <row r="1440" spans="1:2">
      <c r="A1440" s="800" t="s">
        <v>3424</v>
      </c>
      <c r="B1440" s="801">
        <v>31323008000</v>
      </c>
    </row>
    <row r="1441" spans="1:2">
      <c r="A1441" s="800" t="s">
        <v>3423</v>
      </c>
      <c r="B1441" s="801">
        <v>31323008101</v>
      </c>
    </row>
    <row r="1442" spans="1:2">
      <c r="A1442" s="800" t="s">
        <v>3422</v>
      </c>
      <c r="B1442" s="801">
        <v>31323009000</v>
      </c>
    </row>
    <row r="1443" spans="1:2">
      <c r="A1443" s="800" t="s">
        <v>3421</v>
      </c>
      <c r="B1443" s="801">
        <v>31323010000</v>
      </c>
    </row>
    <row r="1444" spans="1:2">
      <c r="A1444" s="800" t="s">
        <v>3420</v>
      </c>
      <c r="B1444" s="801">
        <v>31323011000</v>
      </c>
    </row>
    <row r="1445" spans="1:2">
      <c r="A1445" s="800" t="s">
        <v>3419</v>
      </c>
      <c r="B1445" s="801">
        <v>31323011101</v>
      </c>
    </row>
    <row r="1446" spans="1:2">
      <c r="A1446" s="800" t="s">
        <v>3418</v>
      </c>
      <c r="B1446" s="801">
        <v>31323011102</v>
      </c>
    </row>
    <row r="1447" spans="1:2">
      <c r="A1447" s="800" t="s">
        <v>3417</v>
      </c>
      <c r="B1447" s="801">
        <v>31323012000</v>
      </c>
    </row>
    <row r="1448" spans="1:2">
      <c r="A1448" s="800" t="s">
        <v>3416</v>
      </c>
      <c r="B1448" s="801">
        <v>31323013000</v>
      </c>
    </row>
    <row r="1449" spans="1:2">
      <c r="A1449" s="800" t="s">
        <v>3415</v>
      </c>
      <c r="B1449" s="801">
        <v>31323013101</v>
      </c>
    </row>
    <row r="1450" spans="1:2">
      <c r="A1450" s="800" t="s">
        <v>3414</v>
      </c>
      <c r="B1450" s="801">
        <v>31323014000</v>
      </c>
    </row>
    <row r="1451" spans="1:2">
      <c r="A1451" s="800" t="s">
        <v>3413</v>
      </c>
      <c r="B1451" s="801">
        <v>31323014101</v>
      </c>
    </row>
    <row r="1452" spans="1:2">
      <c r="A1452" s="800" t="s">
        <v>3412</v>
      </c>
      <c r="B1452" s="801">
        <v>31323014102</v>
      </c>
    </row>
    <row r="1453" spans="1:2">
      <c r="A1453" s="800" t="s">
        <v>3411</v>
      </c>
      <c r="B1453" s="801">
        <v>31323015000</v>
      </c>
    </row>
    <row r="1454" spans="1:2">
      <c r="A1454" s="800" t="s">
        <v>3410</v>
      </c>
      <c r="B1454" s="801">
        <v>31323016000</v>
      </c>
    </row>
    <row r="1455" spans="1:2">
      <c r="A1455" s="800" t="s">
        <v>3409</v>
      </c>
      <c r="B1455" s="801">
        <v>31323017000</v>
      </c>
    </row>
    <row r="1456" spans="1:2">
      <c r="A1456" s="800" t="s">
        <v>3408</v>
      </c>
      <c r="B1456" s="801">
        <v>31323018000</v>
      </c>
    </row>
    <row r="1457" spans="1:2">
      <c r="A1457" s="800" t="s">
        <v>3407</v>
      </c>
      <c r="B1457" s="801">
        <v>31323019000</v>
      </c>
    </row>
    <row r="1458" spans="1:2">
      <c r="A1458" s="800" t="s">
        <v>3406</v>
      </c>
      <c r="B1458" s="801">
        <v>31323020000</v>
      </c>
    </row>
    <row r="1459" spans="1:2">
      <c r="A1459" s="800" t="s">
        <v>3405</v>
      </c>
      <c r="B1459" s="801">
        <v>31323020101</v>
      </c>
    </row>
    <row r="1460" spans="1:2">
      <c r="A1460" s="800" t="s">
        <v>3404</v>
      </c>
      <c r="B1460" s="801">
        <v>31323021000</v>
      </c>
    </row>
    <row r="1461" spans="1:2">
      <c r="A1461" s="800" t="s">
        <v>3403</v>
      </c>
      <c r="B1461" s="801">
        <v>31323022000</v>
      </c>
    </row>
    <row r="1462" spans="1:2">
      <c r="A1462" s="800" t="s">
        <v>3402</v>
      </c>
      <c r="B1462" s="801">
        <v>31323023000</v>
      </c>
    </row>
    <row r="1463" spans="1:2">
      <c r="A1463" s="800" t="s">
        <v>3401</v>
      </c>
      <c r="B1463" s="801">
        <v>31323023101</v>
      </c>
    </row>
    <row r="1464" spans="1:2">
      <c r="A1464" s="800" t="s">
        <v>3400</v>
      </c>
      <c r="B1464" s="801">
        <v>31323023102</v>
      </c>
    </row>
    <row r="1465" spans="1:2">
      <c r="A1465" s="800" t="s">
        <v>3399</v>
      </c>
      <c r="B1465" s="801">
        <v>31323024000</v>
      </c>
    </row>
    <row r="1466" spans="1:2">
      <c r="A1466" s="800" t="s">
        <v>3398</v>
      </c>
      <c r="B1466" s="801">
        <v>31323025000</v>
      </c>
    </row>
    <row r="1467" spans="1:2">
      <c r="A1467" s="800" t="s">
        <v>3397</v>
      </c>
      <c r="B1467" s="801">
        <v>31323026000</v>
      </c>
    </row>
    <row r="1468" spans="1:2">
      <c r="A1468" s="800" t="s">
        <v>3396</v>
      </c>
      <c r="B1468" s="801">
        <v>31323027000</v>
      </c>
    </row>
    <row r="1469" spans="1:2">
      <c r="A1469" s="800" t="s">
        <v>3395</v>
      </c>
      <c r="B1469" s="801">
        <v>31323027101</v>
      </c>
    </row>
    <row r="1470" spans="1:2">
      <c r="A1470" s="800" t="s">
        <v>3394</v>
      </c>
      <c r="B1470" s="801">
        <v>31323027102</v>
      </c>
    </row>
    <row r="1471" spans="1:2">
      <c r="A1471" s="800" t="s">
        <v>3393</v>
      </c>
      <c r="B1471" s="801">
        <v>31323028000</v>
      </c>
    </row>
    <row r="1472" spans="1:2">
      <c r="A1472" s="800" t="s">
        <v>3392</v>
      </c>
      <c r="B1472" s="801">
        <v>31323029000</v>
      </c>
    </row>
    <row r="1473" spans="1:2">
      <c r="A1473" s="800" t="s">
        <v>3391</v>
      </c>
      <c r="B1473" s="801">
        <v>31323030000</v>
      </c>
    </row>
    <row r="1474" spans="1:2">
      <c r="A1474" s="800" t="s">
        <v>3390</v>
      </c>
      <c r="B1474" s="801">
        <v>31323031000</v>
      </c>
    </row>
    <row r="1475" spans="1:2">
      <c r="A1475" s="800" t="s">
        <v>3389</v>
      </c>
      <c r="B1475" s="801">
        <v>31323031101</v>
      </c>
    </row>
    <row r="1476" spans="1:2">
      <c r="A1476" s="800" t="s">
        <v>3388</v>
      </c>
      <c r="B1476" s="801">
        <v>31323031102</v>
      </c>
    </row>
    <row r="1477" spans="1:2">
      <c r="A1477" s="800" t="s">
        <v>3387</v>
      </c>
      <c r="B1477" s="801">
        <v>31323032000</v>
      </c>
    </row>
    <row r="1478" spans="1:2">
      <c r="A1478" s="800" t="s">
        <v>3386</v>
      </c>
      <c r="B1478" s="801">
        <v>31324000000</v>
      </c>
    </row>
    <row r="1479" spans="1:2">
      <c r="A1479" s="800" t="s">
        <v>3385</v>
      </c>
      <c r="B1479" s="801">
        <v>31324001000</v>
      </c>
    </row>
    <row r="1480" spans="1:2">
      <c r="A1480" s="800" t="s">
        <v>3384</v>
      </c>
      <c r="B1480" s="801">
        <v>31324002000</v>
      </c>
    </row>
    <row r="1481" spans="1:2">
      <c r="A1481" s="800" t="s">
        <v>3383</v>
      </c>
      <c r="B1481" s="801">
        <v>31324003000</v>
      </c>
    </row>
    <row r="1482" spans="1:2">
      <c r="A1482" s="800" t="s">
        <v>3382</v>
      </c>
      <c r="B1482" s="801">
        <v>31324004000</v>
      </c>
    </row>
    <row r="1483" spans="1:2">
      <c r="A1483" s="800" t="s">
        <v>3381</v>
      </c>
      <c r="B1483" s="801">
        <v>31324005000</v>
      </c>
    </row>
    <row r="1484" spans="1:2">
      <c r="A1484" s="800" t="s">
        <v>3380</v>
      </c>
      <c r="B1484" s="801">
        <v>31324006000</v>
      </c>
    </row>
    <row r="1485" spans="1:2">
      <c r="A1485" s="800" t="s">
        <v>3379</v>
      </c>
      <c r="B1485" s="801">
        <v>31324007000</v>
      </c>
    </row>
    <row r="1486" spans="1:2">
      <c r="A1486" s="800" t="s">
        <v>3378</v>
      </c>
      <c r="B1486" s="801">
        <v>31324007101</v>
      </c>
    </row>
    <row r="1487" spans="1:2">
      <c r="A1487" s="800" t="s">
        <v>3377</v>
      </c>
      <c r="B1487" s="801">
        <v>31324007102</v>
      </c>
    </row>
    <row r="1488" spans="1:2">
      <c r="A1488" s="800" t="s">
        <v>3376</v>
      </c>
      <c r="B1488" s="801">
        <v>31324008000</v>
      </c>
    </row>
    <row r="1489" spans="1:2">
      <c r="A1489" s="800" t="s">
        <v>3375</v>
      </c>
      <c r="B1489" s="801">
        <v>31324009000</v>
      </c>
    </row>
    <row r="1490" spans="1:2">
      <c r="A1490" s="800" t="s">
        <v>3374</v>
      </c>
      <c r="B1490" s="801">
        <v>31324010000</v>
      </c>
    </row>
    <row r="1491" spans="1:2">
      <c r="A1491" s="800" t="s">
        <v>3373</v>
      </c>
      <c r="B1491" s="801">
        <v>31324011000</v>
      </c>
    </row>
    <row r="1492" spans="1:2">
      <c r="A1492" s="800" t="s">
        <v>3372</v>
      </c>
      <c r="B1492" s="801">
        <v>31324012000</v>
      </c>
    </row>
    <row r="1493" spans="1:2">
      <c r="A1493" s="800" t="s">
        <v>3371</v>
      </c>
      <c r="B1493" s="801">
        <v>31324013000</v>
      </c>
    </row>
    <row r="1494" spans="1:2">
      <c r="A1494" s="800" t="s">
        <v>3370</v>
      </c>
      <c r="B1494" s="801">
        <v>31324014000</v>
      </c>
    </row>
    <row r="1495" spans="1:2">
      <c r="A1495" s="800" t="s">
        <v>3369</v>
      </c>
      <c r="B1495" s="801">
        <v>31324015000</v>
      </c>
    </row>
    <row r="1496" spans="1:2">
      <c r="A1496" s="800" t="s">
        <v>3368</v>
      </c>
      <c r="B1496" s="801">
        <v>31324016000</v>
      </c>
    </row>
    <row r="1497" spans="1:2">
      <c r="A1497" s="800" t="s">
        <v>3367</v>
      </c>
      <c r="B1497" s="801">
        <v>31324016101</v>
      </c>
    </row>
    <row r="1498" spans="1:2">
      <c r="A1498" s="800" t="s">
        <v>3366</v>
      </c>
      <c r="B1498" s="801">
        <v>31324016102</v>
      </c>
    </row>
    <row r="1499" spans="1:2">
      <c r="A1499" s="800" t="s">
        <v>3365</v>
      </c>
      <c r="B1499" s="801">
        <v>31324016103</v>
      </c>
    </row>
    <row r="1500" spans="1:2">
      <c r="A1500" s="800" t="s">
        <v>3364</v>
      </c>
      <c r="B1500" s="801">
        <v>31324017000</v>
      </c>
    </row>
    <row r="1501" spans="1:2">
      <c r="A1501" s="800" t="s">
        <v>3363</v>
      </c>
      <c r="B1501" s="801">
        <v>31324017101</v>
      </c>
    </row>
    <row r="1502" spans="1:2">
      <c r="A1502" s="800" t="s">
        <v>3362</v>
      </c>
      <c r="B1502" s="801">
        <v>31324018000</v>
      </c>
    </row>
    <row r="1503" spans="1:2">
      <c r="A1503" s="800" t="s">
        <v>3361</v>
      </c>
      <c r="B1503" s="801">
        <v>31324019000</v>
      </c>
    </row>
    <row r="1504" spans="1:2">
      <c r="A1504" s="800" t="s">
        <v>3360</v>
      </c>
      <c r="B1504" s="801">
        <v>31324020000</v>
      </c>
    </row>
    <row r="1505" spans="1:2">
      <c r="A1505" s="800" t="s">
        <v>3359</v>
      </c>
      <c r="B1505" s="801">
        <v>31324021000</v>
      </c>
    </row>
    <row r="1506" spans="1:2">
      <c r="A1506" s="800" t="s">
        <v>3358</v>
      </c>
      <c r="B1506" s="801">
        <v>31324022000</v>
      </c>
    </row>
    <row r="1507" spans="1:2">
      <c r="A1507" s="800" t="s">
        <v>3357</v>
      </c>
      <c r="B1507" s="801">
        <v>31324023000</v>
      </c>
    </row>
    <row r="1508" spans="1:2">
      <c r="A1508" s="800" t="s">
        <v>3356</v>
      </c>
      <c r="B1508" s="801">
        <v>31324023101</v>
      </c>
    </row>
    <row r="1509" spans="1:2">
      <c r="A1509" s="800" t="s">
        <v>3355</v>
      </c>
      <c r="B1509" s="801">
        <v>31324023102</v>
      </c>
    </row>
    <row r="1510" spans="1:2">
      <c r="A1510" s="800" t="s">
        <v>3354</v>
      </c>
      <c r="B1510" s="801">
        <v>31324023103</v>
      </c>
    </row>
    <row r="1511" spans="1:2">
      <c r="A1511" s="800" t="s">
        <v>3353</v>
      </c>
      <c r="B1511" s="801">
        <v>31324024000</v>
      </c>
    </row>
    <row r="1512" spans="1:2">
      <c r="A1512" s="800" t="s">
        <v>3352</v>
      </c>
      <c r="B1512" s="801">
        <v>31324025000</v>
      </c>
    </row>
    <row r="1513" spans="1:2">
      <c r="A1513" s="800" t="s">
        <v>3351</v>
      </c>
      <c r="B1513" s="801">
        <v>31324026000</v>
      </c>
    </row>
    <row r="1514" spans="1:2">
      <c r="A1514" s="800" t="s">
        <v>3350</v>
      </c>
      <c r="B1514" s="801">
        <v>31324027000</v>
      </c>
    </row>
    <row r="1515" spans="1:2">
      <c r="A1515" s="800" t="s">
        <v>3349</v>
      </c>
      <c r="B1515" s="801">
        <v>31324028000</v>
      </c>
    </row>
    <row r="1516" spans="1:2">
      <c r="A1516" s="800" t="s">
        <v>3348</v>
      </c>
      <c r="B1516" s="801">
        <v>31324029000</v>
      </c>
    </row>
    <row r="1517" spans="1:2">
      <c r="A1517" s="800" t="s">
        <v>3347</v>
      </c>
      <c r="B1517" s="801">
        <v>31324030000</v>
      </c>
    </row>
    <row r="1518" spans="1:2">
      <c r="A1518" s="800" t="s">
        <v>3346</v>
      </c>
      <c r="B1518" s="801">
        <v>31324031000</v>
      </c>
    </row>
    <row r="1519" spans="1:2">
      <c r="A1519" s="800" t="s">
        <v>3345</v>
      </c>
      <c r="B1519" s="801">
        <v>31325000000</v>
      </c>
    </row>
    <row r="1520" spans="1:2">
      <c r="A1520" s="800" t="s">
        <v>3344</v>
      </c>
      <c r="B1520" s="801">
        <v>31325001000</v>
      </c>
    </row>
    <row r="1521" spans="1:2">
      <c r="A1521" s="800" t="s">
        <v>3343</v>
      </c>
      <c r="B1521" s="801">
        <v>31325001101</v>
      </c>
    </row>
    <row r="1522" spans="1:2">
      <c r="A1522" s="800" t="s">
        <v>3342</v>
      </c>
      <c r="B1522" s="801">
        <v>31325001102</v>
      </c>
    </row>
    <row r="1523" spans="1:2">
      <c r="A1523" s="800" t="s">
        <v>3341</v>
      </c>
      <c r="B1523" s="801">
        <v>31325001103</v>
      </c>
    </row>
    <row r="1524" spans="1:2">
      <c r="A1524" s="800" t="s">
        <v>3340</v>
      </c>
      <c r="B1524" s="801">
        <v>31325002000</v>
      </c>
    </row>
    <row r="1525" spans="1:2">
      <c r="A1525" s="800" t="s">
        <v>3339</v>
      </c>
      <c r="B1525" s="801">
        <v>31325003000</v>
      </c>
    </row>
    <row r="1526" spans="1:2">
      <c r="A1526" s="800" t="s">
        <v>3338</v>
      </c>
      <c r="B1526" s="801">
        <v>31325004000</v>
      </c>
    </row>
    <row r="1527" spans="1:2">
      <c r="A1527" s="800" t="s">
        <v>3337</v>
      </c>
      <c r="B1527" s="801">
        <v>31325005000</v>
      </c>
    </row>
    <row r="1528" spans="1:2">
      <c r="A1528" s="800" t="s">
        <v>3336</v>
      </c>
      <c r="B1528" s="801">
        <v>31325006000</v>
      </c>
    </row>
    <row r="1529" spans="1:2">
      <c r="A1529" s="800" t="s">
        <v>3335</v>
      </c>
      <c r="B1529" s="801">
        <v>31325007000</v>
      </c>
    </row>
    <row r="1530" spans="1:2">
      <c r="A1530" s="800" t="s">
        <v>3334</v>
      </c>
      <c r="B1530" s="801">
        <v>31325008000</v>
      </c>
    </row>
    <row r="1531" spans="1:2">
      <c r="A1531" s="800" t="s">
        <v>3333</v>
      </c>
      <c r="B1531" s="801">
        <v>31325009000</v>
      </c>
    </row>
    <row r="1532" spans="1:2">
      <c r="A1532" s="800" t="s">
        <v>3332</v>
      </c>
      <c r="B1532" s="801">
        <v>31325010000</v>
      </c>
    </row>
    <row r="1533" spans="1:2">
      <c r="A1533" s="800" t="s">
        <v>3331</v>
      </c>
      <c r="B1533" s="801">
        <v>31325011000</v>
      </c>
    </row>
    <row r="1534" spans="1:2">
      <c r="A1534" s="800" t="s">
        <v>3330</v>
      </c>
      <c r="B1534" s="801">
        <v>31325012000</v>
      </c>
    </row>
    <row r="1535" spans="1:2">
      <c r="A1535" s="800" t="s">
        <v>3329</v>
      </c>
      <c r="B1535" s="801">
        <v>31325012101</v>
      </c>
    </row>
    <row r="1536" spans="1:2">
      <c r="A1536" s="800" t="s">
        <v>3328</v>
      </c>
      <c r="B1536" s="801">
        <v>31325013000</v>
      </c>
    </row>
    <row r="1537" spans="1:2">
      <c r="A1537" s="800" t="s">
        <v>3327</v>
      </c>
      <c r="B1537" s="801">
        <v>31325014000</v>
      </c>
    </row>
    <row r="1538" spans="1:2">
      <c r="A1538" s="800" t="s">
        <v>3326</v>
      </c>
      <c r="B1538" s="801">
        <v>31325014101</v>
      </c>
    </row>
    <row r="1539" spans="1:2">
      <c r="A1539" s="800" t="s">
        <v>3325</v>
      </c>
      <c r="B1539" s="801">
        <v>31325014102</v>
      </c>
    </row>
    <row r="1540" spans="1:2">
      <c r="A1540" s="800" t="s">
        <v>3324</v>
      </c>
      <c r="B1540" s="801">
        <v>31325015000</v>
      </c>
    </row>
    <row r="1541" spans="1:2">
      <c r="A1541" s="800" t="s">
        <v>3323</v>
      </c>
      <c r="B1541" s="801">
        <v>31325016000</v>
      </c>
    </row>
    <row r="1542" spans="1:2">
      <c r="A1542" s="800" t="s">
        <v>3322</v>
      </c>
      <c r="B1542" s="801">
        <v>31325017000</v>
      </c>
    </row>
    <row r="1543" spans="1:2">
      <c r="A1543" s="800" t="s">
        <v>3321</v>
      </c>
      <c r="B1543" s="801">
        <v>31325018000</v>
      </c>
    </row>
    <row r="1544" spans="1:2">
      <c r="A1544" s="800" t="s">
        <v>3320</v>
      </c>
      <c r="B1544" s="801">
        <v>31325019000</v>
      </c>
    </row>
    <row r="1545" spans="1:2">
      <c r="A1545" s="800" t="s">
        <v>3319</v>
      </c>
      <c r="B1545" s="801">
        <v>31325020000</v>
      </c>
    </row>
    <row r="1546" spans="1:2">
      <c r="A1546" s="800" t="s">
        <v>3318</v>
      </c>
      <c r="B1546" s="801">
        <v>31325021000</v>
      </c>
    </row>
    <row r="1547" spans="1:2">
      <c r="A1547" s="800" t="s">
        <v>3317</v>
      </c>
      <c r="B1547" s="801">
        <v>31325022000</v>
      </c>
    </row>
    <row r="1548" spans="1:2">
      <c r="A1548" s="800" t="s">
        <v>3316</v>
      </c>
      <c r="B1548" s="801">
        <v>31325022101</v>
      </c>
    </row>
    <row r="1549" spans="1:2">
      <c r="A1549" s="800" t="s">
        <v>3315</v>
      </c>
      <c r="B1549" s="801">
        <v>31325022102</v>
      </c>
    </row>
    <row r="1550" spans="1:2">
      <c r="A1550" s="800" t="s">
        <v>3314</v>
      </c>
      <c r="B1550" s="801">
        <v>31325023000</v>
      </c>
    </row>
    <row r="1551" spans="1:2">
      <c r="A1551" s="800" t="s">
        <v>3313</v>
      </c>
      <c r="B1551" s="801">
        <v>31325024000</v>
      </c>
    </row>
    <row r="1552" spans="1:2">
      <c r="A1552" s="800" t="s">
        <v>3312</v>
      </c>
      <c r="B1552" s="801">
        <v>31325025000</v>
      </c>
    </row>
    <row r="1553" spans="1:2">
      <c r="A1553" s="800" t="s">
        <v>3311</v>
      </c>
      <c r="B1553" s="801">
        <v>31325025101</v>
      </c>
    </row>
    <row r="1554" spans="1:2">
      <c r="A1554" s="800" t="s">
        <v>3310</v>
      </c>
      <c r="B1554" s="801">
        <v>31325025102</v>
      </c>
    </row>
    <row r="1555" spans="1:2">
      <c r="A1555" s="800" t="s">
        <v>3309</v>
      </c>
      <c r="B1555" s="801">
        <v>31325025103</v>
      </c>
    </row>
    <row r="1556" spans="1:2">
      <c r="A1556" s="800" t="s">
        <v>3308</v>
      </c>
      <c r="B1556" s="801">
        <v>31325025104</v>
      </c>
    </row>
    <row r="1557" spans="1:2">
      <c r="A1557" s="800" t="s">
        <v>3307</v>
      </c>
      <c r="B1557" s="801">
        <v>31325025105</v>
      </c>
    </row>
    <row r="1558" spans="1:2">
      <c r="A1558" s="800" t="s">
        <v>3306</v>
      </c>
      <c r="B1558" s="801">
        <v>31325025106</v>
      </c>
    </row>
    <row r="1559" spans="1:2">
      <c r="A1559" s="800" t="s">
        <v>3305</v>
      </c>
      <c r="B1559" s="801">
        <v>31325025107</v>
      </c>
    </row>
    <row r="1560" spans="1:2">
      <c r="A1560" s="800" t="s">
        <v>3304</v>
      </c>
      <c r="B1560" s="801">
        <v>31326000000</v>
      </c>
    </row>
    <row r="1561" spans="1:2">
      <c r="A1561" s="800" t="s">
        <v>3303</v>
      </c>
      <c r="B1561" s="801">
        <v>31326001000</v>
      </c>
    </row>
    <row r="1562" spans="1:2">
      <c r="A1562" s="800" t="s">
        <v>3302</v>
      </c>
      <c r="B1562" s="801">
        <v>31326001101</v>
      </c>
    </row>
    <row r="1563" spans="1:2">
      <c r="A1563" s="800" t="s">
        <v>3301</v>
      </c>
      <c r="B1563" s="801">
        <v>31326001102</v>
      </c>
    </row>
    <row r="1564" spans="1:2">
      <c r="A1564" s="800" t="s">
        <v>3300</v>
      </c>
      <c r="B1564" s="801">
        <v>31326001103</v>
      </c>
    </row>
    <row r="1565" spans="1:2">
      <c r="A1565" s="800" t="s">
        <v>3299</v>
      </c>
      <c r="B1565" s="801">
        <v>31326001104</v>
      </c>
    </row>
    <row r="1566" spans="1:2">
      <c r="A1566" s="800" t="s">
        <v>3298</v>
      </c>
      <c r="B1566" s="801">
        <v>31326001105</v>
      </c>
    </row>
    <row r="1567" spans="1:2">
      <c r="A1567" s="800" t="s">
        <v>3297</v>
      </c>
      <c r="B1567" s="801">
        <v>31326001106</v>
      </c>
    </row>
    <row r="1568" spans="1:2">
      <c r="A1568" s="800" t="s">
        <v>3296</v>
      </c>
      <c r="B1568" s="801">
        <v>31326002000</v>
      </c>
    </row>
    <row r="1569" spans="1:2">
      <c r="A1569" s="800" t="s">
        <v>3295</v>
      </c>
      <c r="B1569" s="801">
        <v>31326002101</v>
      </c>
    </row>
    <row r="1570" spans="1:2">
      <c r="A1570" s="800" t="s">
        <v>3294</v>
      </c>
      <c r="B1570" s="801">
        <v>31326002102</v>
      </c>
    </row>
    <row r="1571" spans="1:2">
      <c r="A1571" s="800" t="s">
        <v>3293</v>
      </c>
      <c r="B1571" s="801">
        <v>31326002103</v>
      </c>
    </row>
    <row r="1572" spans="1:2">
      <c r="A1572" s="800" t="s">
        <v>3292</v>
      </c>
      <c r="B1572" s="801">
        <v>31326002104</v>
      </c>
    </row>
    <row r="1573" spans="1:2">
      <c r="A1573" s="800" t="s">
        <v>3291</v>
      </c>
      <c r="B1573" s="801">
        <v>31326002105</v>
      </c>
    </row>
    <row r="1574" spans="1:2">
      <c r="A1574" s="800" t="s">
        <v>3290</v>
      </c>
      <c r="B1574" s="801">
        <v>31326003000</v>
      </c>
    </row>
    <row r="1575" spans="1:2">
      <c r="A1575" s="800" t="s">
        <v>3289</v>
      </c>
      <c r="B1575" s="801">
        <v>31326004000</v>
      </c>
    </row>
    <row r="1576" spans="1:2">
      <c r="A1576" s="800" t="s">
        <v>3288</v>
      </c>
      <c r="B1576" s="801">
        <v>31326005000</v>
      </c>
    </row>
    <row r="1577" spans="1:2">
      <c r="A1577" s="800" t="s">
        <v>3287</v>
      </c>
      <c r="B1577" s="801">
        <v>31326006000</v>
      </c>
    </row>
    <row r="1578" spans="1:2">
      <c r="A1578" s="800" t="s">
        <v>3286</v>
      </c>
      <c r="B1578" s="801">
        <v>31326006101</v>
      </c>
    </row>
    <row r="1579" spans="1:2">
      <c r="A1579" s="800" t="s">
        <v>3285</v>
      </c>
      <c r="B1579" s="801">
        <v>31326007000</v>
      </c>
    </row>
    <row r="1580" spans="1:2">
      <c r="A1580" s="800" t="s">
        <v>3284</v>
      </c>
      <c r="B1580" s="801">
        <v>31326008000</v>
      </c>
    </row>
    <row r="1581" spans="1:2">
      <c r="A1581" s="800" t="s">
        <v>3283</v>
      </c>
      <c r="B1581" s="801">
        <v>31326008101</v>
      </c>
    </row>
    <row r="1582" spans="1:2">
      <c r="A1582" s="800" t="s">
        <v>3282</v>
      </c>
      <c r="B1582" s="801">
        <v>31326008102</v>
      </c>
    </row>
    <row r="1583" spans="1:2">
      <c r="A1583" s="800" t="s">
        <v>3281</v>
      </c>
      <c r="B1583" s="801">
        <v>31326008103</v>
      </c>
    </row>
    <row r="1584" spans="1:2">
      <c r="A1584" s="800" t="s">
        <v>3280</v>
      </c>
      <c r="B1584" s="801">
        <v>31326008104</v>
      </c>
    </row>
    <row r="1585" spans="1:2">
      <c r="A1585" s="800" t="s">
        <v>3279</v>
      </c>
      <c r="B1585" s="801">
        <v>31326009000</v>
      </c>
    </row>
    <row r="1586" spans="1:2">
      <c r="A1586" s="800" t="s">
        <v>3278</v>
      </c>
      <c r="B1586" s="801">
        <v>31326009101</v>
      </c>
    </row>
    <row r="1587" spans="1:2">
      <c r="A1587" s="800" t="s">
        <v>3277</v>
      </c>
      <c r="B1587" s="801">
        <v>31326010000</v>
      </c>
    </row>
    <row r="1588" spans="1:2">
      <c r="A1588" s="800" t="s">
        <v>3276</v>
      </c>
      <c r="B1588" s="801">
        <v>31326011000</v>
      </c>
    </row>
    <row r="1589" spans="1:2">
      <c r="A1589" s="800" t="s">
        <v>3275</v>
      </c>
      <c r="B1589" s="801">
        <v>31326012000</v>
      </c>
    </row>
    <row r="1590" spans="1:2">
      <c r="A1590" s="800" t="s">
        <v>3274</v>
      </c>
      <c r="B1590" s="801">
        <v>31326012101</v>
      </c>
    </row>
    <row r="1591" spans="1:2">
      <c r="A1591" s="800" t="s">
        <v>3273</v>
      </c>
      <c r="B1591" s="801">
        <v>31326013000</v>
      </c>
    </row>
    <row r="1592" spans="1:2">
      <c r="A1592" s="800" t="s">
        <v>3272</v>
      </c>
      <c r="B1592" s="801">
        <v>31326013101</v>
      </c>
    </row>
    <row r="1593" spans="1:2">
      <c r="A1593" s="800" t="s">
        <v>3271</v>
      </c>
      <c r="B1593" s="801">
        <v>31326013102</v>
      </c>
    </row>
    <row r="1594" spans="1:2">
      <c r="A1594" s="800" t="s">
        <v>3270</v>
      </c>
      <c r="B1594" s="801">
        <v>31326013103</v>
      </c>
    </row>
    <row r="1595" spans="1:2">
      <c r="A1595" s="800" t="s">
        <v>3269</v>
      </c>
      <c r="B1595" s="801">
        <v>31326013104</v>
      </c>
    </row>
    <row r="1596" spans="1:2">
      <c r="A1596" s="800" t="s">
        <v>3268</v>
      </c>
      <c r="B1596" s="801">
        <v>31326013105</v>
      </c>
    </row>
    <row r="1597" spans="1:2">
      <c r="A1597" s="800" t="s">
        <v>3267</v>
      </c>
      <c r="B1597" s="801">
        <v>31326014000</v>
      </c>
    </row>
    <row r="1598" spans="1:2">
      <c r="A1598" s="800" t="s">
        <v>3266</v>
      </c>
      <c r="B1598" s="801">
        <v>31327000000</v>
      </c>
    </row>
    <row r="1599" spans="1:2">
      <c r="A1599" s="800" t="s">
        <v>3265</v>
      </c>
      <c r="B1599" s="801">
        <v>31327001000</v>
      </c>
    </row>
    <row r="1600" spans="1:2">
      <c r="A1600" s="800" t="s">
        <v>3264</v>
      </c>
      <c r="B1600" s="801">
        <v>31327001101</v>
      </c>
    </row>
    <row r="1601" spans="1:2">
      <c r="A1601" s="800" t="s">
        <v>3263</v>
      </c>
      <c r="B1601" s="801">
        <v>31327001102</v>
      </c>
    </row>
    <row r="1602" spans="1:2">
      <c r="A1602" s="800" t="s">
        <v>3262</v>
      </c>
      <c r="B1602" s="801">
        <v>31327002000</v>
      </c>
    </row>
    <row r="1603" spans="1:2">
      <c r="A1603" s="800" t="s">
        <v>3261</v>
      </c>
      <c r="B1603" s="801">
        <v>31327003000</v>
      </c>
    </row>
    <row r="1604" spans="1:2">
      <c r="A1604" s="800" t="s">
        <v>3260</v>
      </c>
      <c r="B1604" s="801">
        <v>31327003101</v>
      </c>
    </row>
    <row r="1605" spans="1:2">
      <c r="A1605" s="800" t="s">
        <v>3259</v>
      </c>
      <c r="B1605" s="801">
        <v>31327004000</v>
      </c>
    </row>
    <row r="1606" spans="1:2">
      <c r="A1606" s="800" t="s">
        <v>3258</v>
      </c>
      <c r="B1606" s="801">
        <v>31327004101</v>
      </c>
    </row>
    <row r="1607" spans="1:2">
      <c r="A1607" s="800" t="s">
        <v>3257</v>
      </c>
      <c r="B1607" s="801">
        <v>31327004102</v>
      </c>
    </row>
    <row r="1608" spans="1:2">
      <c r="A1608" s="800" t="s">
        <v>3256</v>
      </c>
      <c r="B1608" s="801">
        <v>31327005000</v>
      </c>
    </row>
    <row r="1609" spans="1:2">
      <c r="A1609" s="800" t="s">
        <v>3255</v>
      </c>
      <c r="B1609" s="801">
        <v>31327005101</v>
      </c>
    </row>
    <row r="1610" spans="1:2">
      <c r="A1610" s="800" t="s">
        <v>3254</v>
      </c>
      <c r="B1610" s="801">
        <v>31327005102</v>
      </c>
    </row>
    <row r="1611" spans="1:2">
      <c r="A1611" s="800" t="s">
        <v>3253</v>
      </c>
      <c r="B1611" s="801">
        <v>31327005103</v>
      </c>
    </row>
    <row r="1612" spans="1:2">
      <c r="A1612" s="800" t="s">
        <v>3252</v>
      </c>
      <c r="B1612" s="801">
        <v>31327005104</v>
      </c>
    </row>
    <row r="1613" spans="1:2">
      <c r="A1613" s="800" t="s">
        <v>3251</v>
      </c>
      <c r="B1613" s="801">
        <v>31327005105</v>
      </c>
    </row>
    <row r="1614" spans="1:2">
      <c r="A1614" s="800" t="s">
        <v>3250</v>
      </c>
      <c r="B1614" s="801">
        <v>31327006000</v>
      </c>
    </row>
    <row r="1615" spans="1:2">
      <c r="A1615" s="800" t="s">
        <v>3249</v>
      </c>
      <c r="B1615" s="801">
        <v>31327007000</v>
      </c>
    </row>
    <row r="1616" spans="1:2">
      <c r="A1616" s="800" t="s">
        <v>3248</v>
      </c>
      <c r="B1616" s="801">
        <v>31327008000</v>
      </c>
    </row>
    <row r="1617" spans="1:2">
      <c r="A1617" s="800" t="s">
        <v>3247</v>
      </c>
      <c r="B1617" s="801">
        <v>31327009000</v>
      </c>
    </row>
    <row r="1618" spans="1:2">
      <c r="A1618" s="800" t="s">
        <v>3246</v>
      </c>
      <c r="B1618" s="801">
        <v>31327009101</v>
      </c>
    </row>
    <row r="1619" spans="1:2">
      <c r="A1619" s="800" t="s">
        <v>3245</v>
      </c>
      <c r="B1619" s="801">
        <v>31327009102</v>
      </c>
    </row>
    <row r="1620" spans="1:2">
      <c r="A1620" s="800" t="s">
        <v>3244</v>
      </c>
      <c r="B1620" s="801">
        <v>31327009103</v>
      </c>
    </row>
    <row r="1621" spans="1:2">
      <c r="A1621" s="800" t="s">
        <v>3243</v>
      </c>
      <c r="B1621" s="801">
        <v>31327009104</v>
      </c>
    </row>
    <row r="1622" spans="1:2">
      <c r="A1622" s="800" t="s">
        <v>3242</v>
      </c>
      <c r="B1622" s="801">
        <v>31327009105</v>
      </c>
    </row>
    <row r="1623" spans="1:2">
      <c r="A1623" s="800" t="s">
        <v>3241</v>
      </c>
      <c r="B1623" s="801">
        <v>31327010000</v>
      </c>
    </row>
    <row r="1624" spans="1:2">
      <c r="A1624" s="800" t="s">
        <v>3240</v>
      </c>
      <c r="B1624" s="801">
        <v>31327011000</v>
      </c>
    </row>
    <row r="1625" spans="1:2">
      <c r="A1625" s="800" t="s">
        <v>3239</v>
      </c>
      <c r="B1625" s="801">
        <v>31327012000</v>
      </c>
    </row>
    <row r="1626" spans="1:2">
      <c r="A1626" s="800" t="s">
        <v>3238</v>
      </c>
      <c r="B1626" s="801">
        <v>31327013000</v>
      </c>
    </row>
    <row r="1627" spans="1:2">
      <c r="A1627" s="800" t="s">
        <v>3237</v>
      </c>
      <c r="B1627" s="801">
        <v>31327014000</v>
      </c>
    </row>
    <row r="1628" spans="1:2">
      <c r="A1628" s="800" t="s">
        <v>3236</v>
      </c>
      <c r="B1628" s="801">
        <v>31327015000</v>
      </c>
    </row>
    <row r="1629" spans="1:2">
      <c r="A1629" s="800" t="s">
        <v>3235</v>
      </c>
      <c r="B1629" s="801">
        <v>31327016000</v>
      </c>
    </row>
    <row r="1630" spans="1:2">
      <c r="A1630" s="800" t="s">
        <v>3234</v>
      </c>
      <c r="B1630" s="801">
        <v>31327017000</v>
      </c>
    </row>
    <row r="1631" spans="1:2">
      <c r="A1631" s="800" t="s">
        <v>3233</v>
      </c>
      <c r="B1631" s="801">
        <v>31327018000</v>
      </c>
    </row>
    <row r="1632" spans="1:2">
      <c r="A1632" s="800" t="s">
        <v>3232</v>
      </c>
      <c r="B1632" s="801">
        <v>31327019000</v>
      </c>
    </row>
    <row r="1633" spans="1:2">
      <c r="A1633" s="800" t="s">
        <v>3231</v>
      </c>
      <c r="B1633" s="801">
        <v>31328000000</v>
      </c>
    </row>
    <row r="1634" spans="1:2">
      <c r="A1634" s="800" t="s">
        <v>3230</v>
      </c>
      <c r="B1634" s="801">
        <v>31328001000</v>
      </c>
    </row>
    <row r="1635" spans="1:2">
      <c r="A1635" s="800" t="s">
        <v>3229</v>
      </c>
      <c r="B1635" s="801">
        <v>31328002000</v>
      </c>
    </row>
    <row r="1636" spans="1:2">
      <c r="A1636" s="800" t="s">
        <v>3228</v>
      </c>
      <c r="B1636" s="801">
        <v>31328002101</v>
      </c>
    </row>
    <row r="1637" spans="1:2">
      <c r="A1637" s="800" t="s">
        <v>3227</v>
      </c>
      <c r="B1637" s="801">
        <v>31328002102</v>
      </c>
    </row>
    <row r="1638" spans="1:2">
      <c r="A1638" s="800" t="s">
        <v>3226</v>
      </c>
      <c r="B1638" s="801">
        <v>31328002103</v>
      </c>
    </row>
    <row r="1639" spans="1:2">
      <c r="A1639" s="800" t="s">
        <v>3225</v>
      </c>
      <c r="B1639" s="801">
        <v>31328002104</v>
      </c>
    </row>
    <row r="1640" spans="1:2">
      <c r="A1640" s="800" t="s">
        <v>3224</v>
      </c>
      <c r="B1640" s="801">
        <v>31328003000</v>
      </c>
    </row>
    <row r="1641" spans="1:2">
      <c r="A1641" s="800" t="s">
        <v>3223</v>
      </c>
      <c r="B1641" s="801">
        <v>31328004000</v>
      </c>
    </row>
    <row r="1642" spans="1:2">
      <c r="A1642" s="800" t="s">
        <v>3222</v>
      </c>
      <c r="B1642" s="801">
        <v>31328004101</v>
      </c>
    </row>
    <row r="1643" spans="1:2">
      <c r="A1643" s="800" t="s">
        <v>3221</v>
      </c>
      <c r="B1643" s="801">
        <v>31328005000</v>
      </c>
    </row>
    <row r="1644" spans="1:2">
      <c r="A1644" s="800" t="s">
        <v>3220</v>
      </c>
      <c r="B1644" s="801">
        <v>31328005101</v>
      </c>
    </row>
    <row r="1645" spans="1:2">
      <c r="A1645" s="800" t="s">
        <v>3219</v>
      </c>
      <c r="B1645" s="801">
        <v>31328005102</v>
      </c>
    </row>
    <row r="1646" spans="1:2">
      <c r="A1646" s="800" t="s">
        <v>3218</v>
      </c>
      <c r="B1646" s="801">
        <v>31328005103</v>
      </c>
    </row>
    <row r="1647" spans="1:2">
      <c r="A1647" s="800" t="s">
        <v>3217</v>
      </c>
      <c r="B1647" s="801">
        <v>31328005104</v>
      </c>
    </row>
    <row r="1648" spans="1:2">
      <c r="A1648" s="800" t="s">
        <v>3216</v>
      </c>
      <c r="B1648" s="801">
        <v>31328005105</v>
      </c>
    </row>
    <row r="1649" spans="1:2">
      <c r="A1649" s="800" t="s">
        <v>3215</v>
      </c>
      <c r="B1649" s="801">
        <v>31328006000</v>
      </c>
    </row>
    <row r="1650" spans="1:2">
      <c r="A1650" s="800" t="s">
        <v>3214</v>
      </c>
      <c r="B1650" s="801">
        <v>31328007000</v>
      </c>
    </row>
    <row r="1651" spans="1:2">
      <c r="A1651" s="800" t="s">
        <v>3213</v>
      </c>
      <c r="B1651" s="801">
        <v>31328008000</v>
      </c>
    </row>
    <row r="1652" spans="1:2">
      <c r="A1652" s="800" t="s">
        <v>3212</v>
      </c>
      <c r="B1652" s="801">
        <v>31328008101</v>
      </c>
    </row>
    <row r="1653" spans="1:2">
      <c r="A1653" s="800" t="s">
        <v>3211</v>
      </c>
      <c r="B1653" s="801">
        <v>31328008102</v>
      </c>
    </row>
    <row r="1654" spans="1:2">
      <c r="A1654" s="800" t="s">
        <v>3210</v>
      </c>
      <c r="B1654" s="801">
        <v>31328009000</v>
      </c>
    </row>
    <row r="1655" spans="1:2">
      <c r="A1655" s="800" t="s">
        <v>3209</v>
      </c>
      <c r="B1655" s="801">
        <v>31328009101</v>
      </c>
    </row>
    <row r="1656" spans="1:2">
      <c r="A1656" s="800" t="s">
        <v>3208</v>
      </c>
      <c r="B1656" s="801">
        <v>31328009102</v>
      </c>
    </row>
    <row r="1657" spans="1:2">
      <c r="A1657" s="800" t="s">
        <v>3207</v>
      </c>
      <c r="B1657" s="801">
        <v>31328010000</v>
      </c>
    </row>
    <row r="1658" spans="1:2">
      <c r="A1658" s="800" t="s">
        <v>3206</v>
      </c>
      <c r="B1658" s="801">
        <v>31328011000</v>
      </c>
    </row>
    <row r="1659" spans="1:2">
      <c r="A1659" s="800" t="s">
        <v>3205</v>
      </c>
      <c r="B1659" s="801">
        <v>31328012000</v>
      </c>
    </row>
    <row r="1660" spans="1:2">
      <c r="A1660" s="800" t="s">
        <v>3204</v>
      </c>
      <c r="B1660" s="801">
        <v>31328012101</v>
      </c>
    </row>
    <row r="1661" spans="1:2">
      <c r="A1661" s="800" t="s">
        <v>3203</v>
      </c>
      <c r="B1661" s="801">
        <v>31328012102</v>
      </c>
    </row>
    <row r="1662" spans="1:2">
      <c r="A1662" s="800" t="s">
        <v>3202</v>
      </c>
      <c r="B1662" s="801">
        <v>31328012103</v>
      </c>
    </row>
    <row r="1663" spans="1:2">
      <c r="A1663" s="800" t="s">
        <v>3201</v>
      </c>
      <c r="B1663" s="801">
        <v>31328013000</v>
      </c>
    </row>
    <row r="1664" spans="1:2">
      <c r="A1664" s="800" t="s">
        <v>3200</v>
      </c>
      <c r="B1664" s="801">
        <v>31328014000</v>
      </c>
    </row>
    <row r="1665" spans="1:2">
      <c r="A1665" s="800" t="s">
        <v>3199</v>
      </c>
      <c r="B1665" s="801">
        <v>31328015000</v>
      </c>
    </row>
    <row r="1666" spans="1:2">
      <c r="A1666" s="800" t="s">
        <v>3198</v>
      </c>
      <c r="B1666" s="801">
        <v>31328016000</v>
      </c>
    </row>
    <row r="1667" spans="1:2">
      <c r="A1667" s="800" t="s">
        <v>3197</v>
      </c>
      <c r="B1667" s="801">
        <v>31328017000</v>
      </c>
    </row>
    <row r="1668" spans="1:2">
      <c r="A1668" s="800" t="s">
        <v>3196</v>
      </c>
      <c r="B1668" s="801">
        <v>31328018000</v>
      </c>
    </row>
    <row r="1669" spans="1:2">
      <c r="A1669" s="800" t="s">
        <v>3195</v>
      </c>
      <c r="B1669" s="801">
        <v>31328019000</v>
      </c>
    </row>
    <row r="1670" spans="1:2">
      <c r="A1670" s="800" t="s">
        <v>3194</v>
      </c>
      <c r="B1670" s="801">
        <v>31328020000</v>
      </c>
    </row>
    <row r="1671" spans="1:2">
      <c r="A1671" s="800" t="s">
        <v>3193</v>
      </c>
      <c r="B1671" s="801">
        <v>31328021000</v>
      </c>
    </row>
    <row r="1672" spans="1:2">
      <c r="A1672" s="800" t="s">
        <v>3192</v>
      </c>
      <c r="B1672" s="801">
        <v>31328022000</v>
      </c>
    </row>
    <row r="1673" spans="1:2">
      <c r="A1673" s="800" t="s">
        <v>3191</v>
      </c>
      <c r="B1673" s="801">
        <v>31328022101</v>
      </c>
    </row>
    <row r="1674" spans="1:2">
      <c r="A1674" s="800" t="s">
        <v>3190</v>
      </c>
      <c r="B1674" s="801">
        <v>31328022102</v>
      </c>
    </row>
    <row r="1675" spans="1:2">
      <c r="A1675" s="800" t="s">
        <v>3189</v>
      </c>
      <c r="B1675" s="801">
        <v>31328022103</v>
      </c>
    </row>
    <row r="1676" spans="1:2">
      <c r="A1676" s="800" t="s">
        <v>3188</v>
      </c>
      <c r="B1676" s="801">
        <v>31328022104</v>
      </c>
    </row>
    <row r="1677" spans="1:2">
      <c r="A1677" s="800" t="s">
        <v>3187</v>
      </c>
      <c r="B1677" s="801">
        <v>31328022105</v>
      </c>
    </row>
    <row r="1678" spans="1:2">
      <c r="A1678" s="800" t="s">
        <v>3186</v>
      </c>
      <c r="B1678" s="801">
        <v>31328022106</v>
      </c>
    </row>
    <row r="1679" spans="1:2">
      <c r="A1679" s="800" t="s">
        <v>3185</v>
      </c>
      <c r="B1679" s="801">
        <v>31328022107</v>
      </c>
    </row>
    <row r="1680" spans="1:2">
      <c r="A1680" s="800" t="s">
        <v>3184</v>
      </c>
      <c r="B1680" s="801">
        <v>31328022108</v>
      </c>
    </row>
    <row r="1681" spans="1:2">
      <c r="A1681" s="800" t="s">
        <v>3183</v>
      </c>
      <c r="B1681" s="801">
        <v>31328022109</v>
      </c>
    </row>
    <row r="1682" spans="1:2">
      <c r="A1682" s="800" t="s">
        <v>3182</v>
      </c>
      <c r="B1682" s="801">
        <v>31328022110</v>
      </c>
    </row>
    <row r="1683" spans="1:2">
      <c r="A1683" s="800" t="s">
        <v>3181</v>
      </c>
      <c r="B1683" s="801">
        <v>31328023000</v>
      </c>
    </row>
    <row r="1684" spans="1:2">
      <c r="A1684" s="800" t="s">
        <v>3180</v>
      </c>
      <c r="B1684" s="801">
        <v>31328024000</v>
      </c>
    </row>
    <row r="1685" spans="1:2">
      <c r="A1685" s="800" t="s">
        <v>3179</v>
      </c>
      <c r="B1685" s="801">
        <v>31328025000</v>
      </c>
    </row>
    <row r="1686" spans="1:2">
      <c r="A1686" s="800" t="s">
        <v>3178</v>
      </c>
      <c r="B1686" s="801">
        <v>31328026000</v>
      </c>
    </row>
    <row r="1687" spans="1:2">
      <c r="A1687" s="800" t="s">
        <v>3177</v>
      </c>
      <c r="B1687" s="801">
        <v>31328026101</v>
      </c>
    </row>
    <row r="1688" spans="1:2">
      <c r="A1688" s="800" t="s">
        <v>3176</v>
      </c>
      <c r="B1688" s="801">
        <v>31328026102</v>
      </c>
    </row>
    <row r="1689" spans="1:2">
      <c r="A1689" s="800" t="s">
        <v>3175</v>
      </c>
      <c r="B1689" s="801">
        <v>31328027000</v>
      </c>
    </row>
    <row r="1690" spans="1:2">
      <c r="A1690" s="800" t="s">
        <v>3174</v>
      </c>
      <c r="B1690" s="801">
        <v>31328027101</v>
      </c>
    </row>
    <row r="1691" spans="1:2">
      <c r="A1691" s="800" t="s">
        <v>3173</v>
      </c>
      <c r="B1691" s="801">
        <v>31328027102</v>
      </c>
    </row>
    <row r="1692" spans="1:2">
      <c r="A1692" s="800" t="s">
        <v>3172</v>
      </c>
      <c r="B1692" s="801">
        <v>31328028000</v>
      </c>
    </row>
    <row r="1693" spans="1:2">
      <c r="A1693" s="800" t="s">
        <v>3171</v>
      </c>
      <c r="B1693" s="801">
        <v>31328028101</v>
      </c>
    </row>
    <row r="1694" spans="1:2">
      <c r="A1694" s="800" t="s">
        <v>3170</v>
      </c>
      <c r="B1694" s="801">
        <v>31328028102</v>
      </c>
    </row>
    <row r="1695" spans="1:2">
      <c r="A1695" s="800" t="s">
        <v>3169</v>
      </c>
      <c r="B1695" s="801">
        <v>31328029000</v>
      </c>
    </row>
    <row r="1696" spans="1:2">
      <c r="A1696" s="800" t="s">
        <v>3168</v>
      </c>
      <c r="B1696" s="801">
        <v>31328030000</v>
      </c>
    </row>
    <row r="1697" spans="1:2">
      <c r="A1697" s="800" t="s">
        <v>3167</v>
      </c>
      <c r="B1697" s="801">
        <v>31328031000</v>
      </c>
    </row>
    <row r="1698" spans="1:2">
      <c r="A1698" s="800" t="s">
        <v>3166</v>
      </c>
      <c r="B1698" s="801">
        <v>31328031101</v>
      </c>
    </row>
    <row r="1699" spans="1:2">
      <c r="A1699" s="800" t="s">
        <v>3165</v>
      </c>
      <c r="B1699" s="801">
        <v>31328031102</v>
      </c>
    </row>
    <row r="1700" spans="1:2">
      <c r="A1700" s="800" t="s">
        <v>3164</v>
      </c>
      <c r="B1700" s="801">
        <v>31328031103</v>
      </c>
    </row>
    <row r="1701" spans="1:2">
      <c r="A1701" s="800" t="s">
        <v>3163</v>
      </c>
      <c r="B1701" s="801">
        <v>31328031104</v>
      </c>
    </row>
    <row r="1702" spans="1:2">
      <c r="A1702" s="800" t="s">
        <v>3162</v>
      </c>
      <c r="B1702" s="801">
        <v>31328031105</v>
      </c>
    </row>
    <row r="1703" spans="1:2">
      <c r="A1703" s="800" t="s">
        <v>3161</v>
      </c>
      <c r="B1703" s="801">
        <v>31328031106</v>
      </c>
    </row>
    <row r="1704" spans="1:2">
      <c r="A1704" s="800" t="s">
        <v>3160</v>
      </c>
      <c r="B1704" s="801">
        <v>31328032000</v>
      </c>
    </row>
    <row r="1705" spans="1:2">
      <c r="A1705" s="800" t="s">
        <v>3159</v>
      </c>
      <c r="B1705" s="801">
        <v>31328033000</v>
      </c>
    </row>
    <row r="1706" spans="1:2">
      <c r="A1706" s="800" t="s">
        <v>3158</v>
      </c>
      <c r="B1706" s="801">
        <v>31328034000</v>
      </c>
    </row>
    <row r="1707" spans="1:2">
      <c r="A1707" s="800" t="s">
        <v>3157</v>
      </c>
      <c r="B1707" s="801">
        <v>31328034101</v>
      </c>
    </row>
    <row r="1708" spans="1:2">
      <c r="A1708" s="800" t="s">
        <v>3156</v>
      </c>
      <c r="B1708" s="801">
        <v>31328035000</v>
      </c>
    </row>
    <row r="1709" spans="1:2">
      <c r="A1709" s="800" t="s">
        <v>3155</v>
      </c>
      <c r="B1709" s="801">
        <v>31328036000</v>
      </c>
    </row>
    <row r="1710" spans="1:2">
      <c r="A1710" s="800" t="s">
        <v>3154</v>
      </c>
      <c r="B1710" s="801">
        <v>31328037000</v>
      </c>
    </row>
    <row r="1711" spans="1:2">
      <c r="A1711" s="800" t="s">
        <v>3153</v>
      </c>
      <c r="B1711" s="801">
        <v>31328037101</v>
      </c>
    </row>
    <row r="1712" spans="1:2">
      <c r="A1712" s="800" t="s">
        <v>3152</v>
      </c>
      <c r="B1712" s="801">
        <v>31328037102</v>
      </c>
    </row>
    <row r="1713" spans="1:2">
      <c r="A1713" s="800" t="s">
        <v>3151</v>
      </c>
      <c r="B1713" s="801">
        <v>31328037103</v>
      </c>
    </row>
    <row r="1714" spans="1:2">
      <c r="A1714" s="800" t="s">
        <v>3150</v>
      </c>
      <c r="B1714" s="801">
        <v>31328038000</v>
      </c>
    </row>
    <row r="1715" spans="1:2">
      <c r="A1715" s="800" t="s">
        <v>3149</v>
      </c>
      <c r="B1715" s="801">
        <v>31328038101</v>
      </c>
    </row>
    <row r="1716" spans="1:2">
      <c r="A1716" s="800" t="s">
        <v>3148</v>
      </c>
      <c r="B1716" s="801">
        <v>31328038102</v>
      </c>
    </row>
    <row r="1717" spans="1:2">
      <c r="A1717" s="800" t="s">
        <v>3147</v>
      </c>
      <c r="B1717" s="801">
        <v>31328038103</v>
      </c>
    </row>
    <row r="1718" spans="1:2">
      <c r="A1718" s="800" t="s">
        <v>3146</v>
      </c>
      <c r="B1718" s="801">
        <v>31328039000</v>
      </c>
    </row>
    <row r="1719" spans="1:2">
      <c r="A1719" s="800" t="s">
        <v>3145</v>
      </c>
      <c r="B1719" s="801">
        <v>31328039101</v>
      </c>
    </row>
    <row r="1720" spans="1:2">
      <c r="A1720" s="800" t="s">
        <v>3144</v>
      </c>
      <c r="B1720" s="801">
        <v>31328039102</v>
      </c>
    </row>
    <row r="1721" spans="1:2">
      <c r="A1721" s="800" t="s">
        <v>3143</v>
      </c>
      <c r="B1721" s="801">
        <v>31328039103</v>
      </c>
    </row>
    <row r="1722" spans="1:2">
      <c r="A1722" s="800" t="s">
        <v>3142</v>
      </c>
      <c r="B1722" s="801">
        <v>31328039104</v>
      </c>
    </row>
    <row r="1723" spans="1:2">
      <c r="A1723" s="800" t="s">
        <v>3141</v>
      </c>
      <c r="B1723" s="801">
        <v>31328040000</v>
      </c>
    </row>
    <row r="1724" spans="1:2">
      <c r="A1724" s="800" t="s">
        <v>3140</v>
      </c>
      <c r="B1724" s="801">
        <v>31328041000</v>
      </c>
    </row>
    <row r="1725" spans="1:2">
      <c r="A1725" s="800" t="s">
        <v>3139</v>
      </c>
      <c r="B1725" s="801">
        <v>31328041101</v>
      </c>
    </row>
    <row r="1726" spans="1:2">
      <c r="A1726" s="800" t="s">
        <v>3138</v>
      </c>
      <c r="B1726" s="801">
        <v>31328041102</v>
      </c>
    </row>
    <row r="1727" spans="1:2">
      <c r="A1727" s="800" t="s">
        <v>3137</v>
      </c>
      <c r="B1727" s="801">
        <v>31328041103</v>
      </c>
    </row>
    <row r="1728" spans="1:2">
      <c r="A1728" s="800" t="s">
        <v>3136</v>
      </c>
      <c r="B1728" s="801">
        <v>31328042000</v>
      </c>
    </row>
    <row r="1729" spans="1:2">
      <c r="A1729" s="800" t="s">
        <v>3135</v>
      </c>
      <c r="B1729" s="801">
        <v>31329000000</v>
      </c>
    </row>
    <row r="1730" spans="1:2">
      <c r="A1730" s="800" t="s">
        <v>3134</v>
      </c>
      <c r="B1730" s="801">
        <v>31329001000</v>
      </c>
    </row>
    <row r="1731" spans="1:2">
      <c r="A1731" s="800" t="s">
        <v>3133</v>
      </c>
      <c r="B1731" s="801">
        <v>31329002000</v>
      </c>
    </row>
    <row r="1732" spans="1:2">
      <c r="A1732" s="800" t="s">
        <v>3132</v>
      </c>
      <c r="B1732" s="801">
        <v>31329003000</v>
      </c>
    </row>
    <row r="1733" spans="1:2">
      <c r="A1733" s="800" t="s">
        <v>3131</v>
      </c>
      <c r="B1733" s="801">
        <v>31329004000</v>
      </c>
    </row>
    <row r="1734" spans="1:2">
      <c r="A1734" s="800" t="s">
        <v>3130</v>
      </c>
      <c r="B1734" s="801">
        <v>31329005000</v>
      </c>
    </row>
    <row r="1735" spans="1:2">
      <c r="A1735" s="800" t="s">
        <v>3129</v>
      </c>
      <c r="B1735" s="801">
        <v>31329006000</v>
      </c>
    </row>
    <row r="1736" spans="1:2">
      <c r="A1736" s="800" t="s">
        <v>3128</v>
      </c>
      <c r="B1736" s="801">
        <v>31329007000</v>
      </c>
    </row>
    <row r="1737" spans="1:2">
      <c r="A1737" s="800" t="s">
        <v>3127</v>
      </c>
      <c r="B1737" s="801">
        <v>31329007101</v>
      </c>
    </row>
    <row r="1738" spans="1:2">
      <c r="A1738" s="800" t="s">
        <v>3126</v>
      </c>
      <c r="B1738" s="801">
        <v>31329008000</v>
      </c>
    </row>
    <row r="1739" spans="1:2">
      <c r="A1739" s="800" t="s">
        <v>3125</v>
      </c>
      <c r="B1739" s="801">
        <v>31329009000</v>
      </c>
    </row>
    <row r="1740" spans="1:2">
      <c r="A1740" s="800" t="s">
        <v>3124</v>
      </c>
      <c r="B1740" s="801">
        <v>31329010000</v>
      </c>
    </row>
    <row r="1741" spans="1:2">
      <c r="A1741" s="800" t="s">
        <v>3123</v>
      </c>
      <c r="B1741" s="801">
        <v>31329011000</v>
      </c>
    </row>
    <row r="1742" spans="1:2">
      <c r="A1742" s="800" t="s">
        <v>3122</v>
      </c>
      <c r="B1742" s="801">
        <v>31329012000</v>
      </c>
    </row>
    <row r="1743" spans="1:2">
      <c r="A1743" s="800" t="s">
        <v>3121</v>
      </c>
      <c r="B1743" s="801">
        <v>31329012101</v>
      </c>
    </row>
    <row r="1744" spans="1:2">
      <c r="A1744" s="800" t="s">
        <v>3120</v>
      </c>
      <c r="B1744" s="801">
        <v>31329012102</v>
      </c>
    </row>
    <row r="1745" spans="1:2">
      <c r="A1745" s="800" t="s">
        <v>3119</v>
      </c>
      <c r="B1745" s="801">
        <v>31329013000</v>
      </c>
    </row>
    <row r="1746" spans="1:2">
      <c r="A1746" s="800" t="s">
        <v>3118</v>
      </c>
      <c r="B1746" s="801">
        <v>31329014000</v>
      </c>
    </row>
    <row r="1747" spans="1:2">
      <c r="A1747" s="800" t="s">
        <v>3117</v>
      </c>
      <c r="B1747" s="801">
        <v>31329015000</v>
      </c>
    </row>
    <row r="1748" spans="1:2">
      <c r="A1748" s="800" t="s">
        <v>3116</v>
      </c>
      <c r="B1748" s="801">
        <v>31329016000</v>
      </c>
    </row>
    <row r="1749" spans="1:2">
      <c r="A1749" s="800" t="s">
        <v>3115</v>
      </c>
      <c r="B1749" s="801">
        <v>31329017000</v>
      </c>
    </row>
    <row r="1750" spans="1:2">
      <c r="A1750" s="800" t="s">
        <v>3114</v>
      </c>
      <c r="B1750" s="801">
        <v>31329018000</v>
      </c>
    </row>
    <row r="1751" spans="1:2">
      <c r="A1751" s="800" t="s">
        <v>3113</v>
      </c>
      <c r="B1751" s="801">
        <v>31329019000</v>
      </c>
    </row>
    <row r="1752" spans="1:2">
      <c r="A1752" s="800" t="s">
        <v>3112</v>
      </c>
      <c r="B1752" s="801">
        <v>31329020000</v>
      </c>
    </row>
    <row r="1753" spans="1:2">
      <c r="A1753" s="800" t="s">
        <v>3111</v>
      </c>
      <c r="B1753" s="801">
        <v>31329021000</v>
      </c>
    </row>
    <row r="1754" spans="1:2">
      <c r="A1754" s="800" t="s">
        <v>3110</v>
      </c>
      <c r="B1754" s="801">
        <v>31329022000</v>
      </c>
    </row>
    <row r="1755" spans="1:2">
      <c r="A1755" s="800" t="s">
        <v>3109</v>
      </c>
      <c r="B1755" s="801">
        <v>31329023000</v>
      </c>
    </row>
    <row r="1756" spans="1:2">
      <c r="A1756" s="800" t="s">
        <v>3108</v>
      </c>
      <c r="B1756" s="801">
        <v>31329024000</v>
      </c>
    </row>
    <row r="1757" spans="1:2">
      <c r="A1757" s="800" t="s">
        <v>3107</v>
      </c>
      <c r="B1757" s="801">
        <v>31329025000</v>
      </c>
    </row>
    <row r="1758" spans="1:2">
      <c r="A1758" s="800" t="s">
        <v>3106</v>
      </c>
      <c r="B1758" s="801">
        <v>31329026000</v>
      </c>
    </row>
    <row r="1759" spans="1:2">
      <c r="A1759" s="800" t="s">
        <v>3105</v>
      </c>
      <c r="B1759" s="801">
        <v>31329026101</v>
      </c>
    </row>
    <row r="1760" spans="1:2">
      <c r="A1760" s="800" t="s">
        <v>3104</v>
      </c>
      <c r="B1760" s="801">
        <v>31329026102</v>
      </c>
    </row>
    <row r="1761" spans="1:2">
      <c r="A1761" s="800" t="s">
        <v>3103</v>
      </c>
      <c r="B1761" s="801">
        <v>31329027000</v>
      </c>
    </row>
    <row r="1762" spans="1:2">
      <c r="A1762" s="800" t="s">
        <v>3102</v>
      </c>
      <c r="B1762" s="801">
        <v>31329028000</v>
      </c>
    </row>
    <row r="1763" spans="1:2">
      <c r="A1763" s="800" t="s">
        <v>3101</v>
      </c>
      <c r="B1763" s="801">
        <v>31329028101</v>
      </c>
    </row>
    <row r="1764" spans="1:2">
      <c r="A1764" s="800" t="s">
        <v>3100</v>
      </c>
      <c r="B1764" s="801">
        <v>31329029000</v>
      </c>
    </row>
    <row r="1765" spans="1:2">
      <c r="A1765" s="800" t="s">
        <v>3099</v>
      </c>
      <c r="B1765" s="801">
        <v>31329029101</v>
      </c>
    </row>
    <row r="1766" spans="1:2">
      <c r="A1766" s="800" t="s">
        <v>3098</v>
      </c>
      <c r="B1766" s="801">
        <v>31329029102</v>
      </c>
    </row>
    <row r="1767" spans="1:2">
      <c r="A1767" s="800" t="s">
        <v>3097</v>
      </c>
      <c r="B1767" s="801">
        <v>31329029103</v>
      </c>
    </row>
    <row r="1768" spans="1:2">
      <c r="A1768" s="800" t="s">
        <v>3096</v>
      </c>
      <c r="B1768" s="801">
        <v>31329030000</v>
      </c>
    </row>
    <row r="1769" spans="1:2">
      <c r="A1769" s="800" t="s">
        <v>3095</v>
      </c>
      <c r="B1769" s="801">
        <v>31329031000</v>
      </c>
    </row>
    <row r="1770" spans="1:2">
      <c r="A1770" s="800" t="s">
        <v>3094</v>
      </c>
      <c r="B1770" s="801">
        <v>31329032000</v>
      </c>
    </row>
    <row r="1771" spans="1:2">
      <c r="A1771" s="800" t="s">
        <v>3093</v>
      </c>
      <c r="B1771" s="801">
        <v>31329033000</v>
      </c>
    </row>
    <row r="1772" spans="1:2">
      <c r="A1772" s="800" t="s">
        <v>3092</v>
      </c>
      <c r="B1772" s="801">
        <v>31329034000</v>
      </c>
    </row>
    <row r="1773" spans="1:2">
      <c r="A1773" s="800" t="s">
        <v>3091</v>
      </c>
      <c r="B1773" s="801">
        <v>31329035000</v>
      </c>
    </row>
    <row r="1774" spans="1:2">
      <c r="A1774" s="800" t="s">
        <v>3090</v>
      </c>
      <c r="B1774" s="801">
        <v>31329036000</v>
      </c>
    </row>
    <row r="1775" spans="1:2">
      <c r="A1775" s="800" t="s">
        <v>3089</v>
      </c>
      <c r="B1775" s="801">
        <v>31329037000</v>
      </c>
    </row>
    <row r="1776" spans="1:2">
      <c r="A1776" s="800" t="s">
        <v>3088</v>
      </c>
      <c r="B1776" s="801">
        <v>31329038000</v>
      </c>
    </row>
    <row r="1777" spans="1:2">
      <c r="A1777" s="800" t="s">
        <v>3087</v>
      </c>
      <c r="B1777" s="801">
        <v>31329039000</v>
      </c>
    </row>
    <row r="1778" spans="1:2">
      <c r="A1778" s="800" t="s">
        <v>3086</v>
      </c>
      <c r="B1778" s="801">
        <v>31329040000</v>
      </c>
    </row>
    <row r="1779" spans="1:2">
      <c r="A1779" s="800" t="s">
        <v>3085</v>
      </c>
      <c r="B1779" s="801">
        <v>31329041000</v>
      </c>
    </row>
    <row r="1780" spans="1:2">
      <c r="A1780" s="800" t="s">
        <v>3084</v>
      </c>
      <c r="B1780" s="801">
        <v>31329042000</v>
      </c>
    </row>
    <row r="1781" spans="1:2">
      <c r="A1781" s="800" t="s">
        <v>3083</v>
      </c>
      <c r="B1781" s="801">
        <v>31329043000</v>
      </c>
    </row>
    <row r="1782" spans="1:2">
      <c r="A1782" s="800" t="s">
        <v>3082</v>
      </c>
      <c r="B1782" s="801">
        <v>31329044000</v>
      </c>
    </row>
    <row r="1783" spans="1:2">
      <c r="A1783" s="800" t="s">
        <v>3081</v>
      </c>
      <c r="B1783" s="801">
        <v>31329045000</v>
      </c>
    </row>
    <row r="1784" spans="1:2">
      <c r="A1784" s="800" t="s">
        <v>3080</v>
      </c>
      <c r="B1784" s="801">
        <v>31329046000</v>
      </c>
    </row>
    <row r="1785" spans="1:2">
      <c r="A1785" s="800" t="s">
        <v>3079</v>
      </c>
      <c r="B1785" s="801">
        <v>31329047000</v>
      </c>
    </row>
    <row r="1786" spans="1:2">
      <c r="A1786" s="800" t="s">
        <v>3078</v>
      </c>
      <c r="B1786" s="801">
        <v>31329048000</v>
      </c>
    </row>
    <row r="1787" spans="1:2">
      <c r="A1787" s="800" t="s">
        <v>3077</v>
      </c>
      <c r="B1787" s="801">
        <v>31329048101</v>
      </c>
    </row>
    <row r="1788" spans="1:2">
      <c r="A1788" s="800" t="s">
        <v>3076</v>
      </c>
      <c r="B1788" s="801">
        <v>31329048102</v>
      </c>
    </row>
    <row r="1789" spans="1:2">
      <c r="A1789" s="800" t="s">
        <v>3075</v>
      </c>
      <c r="B1789" s="801">
        <v>31329048103</v>
      </c>
    </row>
    <row r="1790" spans="1:2">
      <c r="A1790" s="800" t="s">
        <v>3074</v>
      </c>
      <c r="B1790" s="801">
        <v>31329049000</v>
      </c>
    </row>
    <row r="1791" spans="1:2">
      <c r="A1791" s="800" t="s">
        <v>3073</v>
      </c>
      <c r="B1791" s="801">
        <v>31329050000</v>
      </c>
    </row>
    <row r="1792" spans="1:2">
      <c r="A1792" s="800" t="s">
        <v>3072</v>
      </c>
      <c r="B1792" s="801">
        <v>31329050101</v>
      </c>
    </row>
    <row r="1793" spans="1:2">
      <c r="A1793" s="800" t="s">
        <v>3071</v>
      </c>
      <c r="B1793" s="801">
        <v>31329051000</v>
      </c>
    </row>
    <row r="1794" spans="1:2">
      <c r="A1794" s="800" t="s">
        <v>3070</v>
      </c>
      <c r="B1794" s="801">
        <v>31329052000</v>
      </c>
    </row>
    <row r="1795" spans="1:2">
      <c r="A1795" s="800" t="s">
        <v>3069</v>
      </c>
      <c r="B1795" s="801">
        <v>31329053000</v>
      </c>
    </row>
    <row r="1796" spans="1:2">
      <c r="A1796" s="800" t="s">
        <v>3068</v>
      </c>
      <c r="B1796" s="801">
        <v>31329054000</v>
      </c>
    </row>
    <row r="1797" spans="1:2">
      <c r="A1797" s="800" t="s">
        <v>3067</v>
      </c>
      <c r="B1797" s="801">
        <v>31329055000</v>
      </c>
    </row>
    <row r="1798" spans="1:2">
      <c r="A1798" s="800" t="s">
        <v>3066</v>
      </c>
      <c r="B1798" s="801">
        <v>31329056000</v>
      </c>
    </row>
    <row r="1799" spans="1:2">
      <c r="A1799" s="800" t="s">
        <v>3065</v>
      </c>
      <c r="B1799" s="801">
        <v>31329057000</v>
      </c>
    </row>
    <row r="1800" spans="1:2">
      <c r="A1800" s="800" t="s">
        <v>3064</v>
      </c>
      <c r="B1800" s="801">
        <v>31329058000</v>
      </c>
    </row>
    <row r="1801" spans="1:2">
      <c r="A1801" s="800" t="s">
        <v>3063</v>
      </c>
      <c r="B1801" s="801">
        <v>31329059000</v>
      </c>
    </row>
    <row r="1802" spans="1:2">
      <c r="A1802" s="800" t="s">
        <v>3062</v>
      </c>
      <c r="B1802" s="801">
        <v>31329060000</v>
      </c>
    </row>
    <row r="1803" spans="1:2">
      <c r="A1803" s="800" t="s">
        <v>3061</v>
      </c>
      <c r="B1803" s="801">
        <v>31329061000</v>
      </c>
    </row>
    <row r="1804" spans="1:2">
      <c r="A1804" s="800" t="s">
        <v>3060</v>
      </c>
      <c r="B1804" s="801">
        <v>31329062000</v>
      </c>
    </row>
    <row r="1805" spans="1:2">
      <c r="A1805" s="800" t="s">
        <v>3059</v>
      </c>
      <c r="B1805" s="801">
        <v>31329063000</v>
      </c>
    </row>
    <row r="1806" spans="1:2">
      <c r="A1806" s="800" t="s">
        <v>3058</v>
      </c>
      <c r="B1806" s="801">
        <v>31329064000</v>
      </c>
    </row>
    <row r="1807" spans="1:2">
      <c r="A1807" s="800" t="s">
        <v>3057</v>
      </c>
      <c r="B1807" s="801">
        <v>31329065000</v>
      </c>
    </row>
    <row r="1808" spans="1:2">
      <c r="A1808" s="800" t="s">
        <v>3056</v>
      </c>
      <c r="B1808" s="801">
        <v>31329066000</v>
      </c>
    </row>
    <row r="1809" spans="1:2">
      <c r="A1809" s="800" t="s">
        <v>3055</v>
      </c>
      <c r="B1809" s="801">
        <v>31329067000</v>
      </c>
    </row>
    <row r="1810" spans="1:2">
      <c r="A1810" s="800" t="s">
        <v>3054</v>
      </c>
      <c r="B1810" s="801">
        <v>31329067101</v>
      </c>
    </row>
    <row r="1811" spans="1:2">
      <c r="A1811" s="800" t="s">
        <v>3053</v>
      </c>
      <c r="B1811" s="801">
        <v>31329068000</v>
      </c>
    </row>
    <row r="1812" spans="1:2">
      <c r="A1812" s="800" t="s">
        <v>3052</v>
      </c>
      <c r="B1812" s="801">
        <v>31329069000</v>
      </c>
    </row>
    <row r="1813" spans="1:2">
      <c r="A1813" s="800" t="s">
        <v>3051</v>
      </c>
      <c r="B1813" s="801">
        <v>31329070000</v>
      </c>
    </row>
    <row r="1814" spans="1:2">
      <c r="A1814" s="800" t="s">
        <v>3050</v>
      </c>
      <c r="B1814" s="801">
        <v>31329071000</v>
      </c>
    </row>
    <row r="1815" spans="1:2">
      <c r="A1815" s="800" t="s">
        <v>3049</v>
      </c>
      <c r="B1815" s="801">
        <v>31329072000</v>
      </c>
    </row>
    <row r="1816" spans="1:2">
      <c r="A1816" s="800" t="s">
        <v>3048</v>
      </c>
      <c r="B1816" s="801">
        <v>31329072101</v>
      </c>
    </row>
    <row r="1817" spans="1:2">
      <c r="A1817" s="800" t="s">
        <v>3047</v>
      </c>
      <c r="B1817" s="801">
        <v>31329073000</v>
      </c>
    </row>
    <row r="1818" spans="1:2">
      <c r="A1818" s="800" t="s">
        <v>3046</v>
      </c>
      <c r="B1818" s="801">
        <v>31329074000</v>
      </c>
    </row>
    <row r="1819" spans="1:2">
      <c r="A1819" s="800" t="s">
        <v>3045</v>
      </c>
      <c r="B1819" s="801">
        <v>31329075000</v>
      </c>
    </row>
    <row r="1820" spans="1:2">
      <c r="A1820" s="800" t="s">
        <v>3044</v>
      </c>
      <c r="B1820" s="801">
        <v>31329076000</v>
      </c>
    </row>
    <row r="1821" spans="1:2">
      <c r="A1821" s="800" t="s">
        <v>3043</v>
      </c>
      <c r="B1821" s="801">
        <v>31329077000</v>
      </c>
    </row>
    <row r="1822" spans="1:2">
      <c r="A1822" s="800" t="s">
        <v>3042</v>
      </c>
      <c r="B1822" s="801">
        <v>31329077101</v>
      </c>
    </row>
    <row r="1823" spans="1:2">
      <c r="A1823" s="800" t="s">
        <v>3041</v>
      </c>
      <c r="B1823" s="801">
        <v>31329077102</v>
      </c>
    </row>
    <row r="1824" spans="1:2">
      <c r="A1824" s="800" t="s">
        <v>3040</v>
      </c>
      <c r="B1824" s="801">
        <v>31329077103</v>
      </c>
    </row>
    <row r="1825" spans="1:2">
      <c r="A1825" s="800" t="s">
        <v>3039</v>
      </c>
      <c r="B1825" s="801">
        <v>31329078000</v>
      </c>
    </row>
    <row r="1826" spans="1:2">
      <c r="A1826" s="800" t="s">
        <v>3038</v>
      </c>
      <c r="B1826" s="801">
        <v>31329079000</v>
      </c>
    </row>
    <row r="1827" spans="1:2">
      <c r="A1827" s="800" t="s">
        <v>3037</v>
      </c>
      <c r="B1827" s="801">
        <v>31329080000</v>
      </c>
    </row>
    <row r="1828" spans="1:2">
      <c r="A1828" s="800" t="s">
        <v>3036</v>
      </c>
      <c r="B1828" s="801">
        <v>31329081000</v>
      </c>
    </row>
    <row r="1829" spans="1:2">
      <c r="A1829" s="800" t="s">
        <v>3035</v>
      </c>
      <c r="B1829" s="801">
        <v>31329082000</v>
      </c>
    </row>
    <row r="1830" spans="1:2">
      <c r="A1830" s="800" t="s">
        <v>3034</v>
      </c>
      <c r="B1830" s="801">
        <v>31329083000</v>
      </c>
    </row>
    <row r="1831" spans="1:2">
      <c r="A1831" s="800" t="s">
        <v>3033</v>
      </c>
      <c r="B1831" s="801">
        <v>31329084000</v>
      </c>
    </row>
    <row r="1832" spans="1:2">
      <c r="A1832" s="800" t="s">
        <v>3032</v>
      </c>
      <c r="B1832" s="801">
        <v>31329085000</v>
      </c>
    </row>
    <row r="1833" spans="1:2">
      <c r="A1833" s="800" t="s">
        <v>3031</v>
      </c>
      <c r="B1833" s="801">
        <v>31329086000</v>
      </c>
    </row>
    <row r="1834" spans="1:2">
      <c r="A1834" s="800" t="s">
        <v>3030</v>
      </c>
      <c r="B1834" s="801">
        <v>31329087000</v>
      </c>
    </row>
    <row r="1835" spans="1:2">
      <c r="A1835" s="800" t="s">
        <v>3029</v>
      </c>
      <c r="B1835" s="801">
        <v>31329087101</v>
      </c>
    </row>
    <row r="1836" spans="1:2">
      <c r="A1836" s="800" t="s">
        <v>3028</v>
      </c>
      <c r="B1836" s="801">
        <v>31329087102</v>
      </c>
    </row>
    <row r="1837" spans="1:2">
      <c r="A1837" s="800" t="s">
        <v>3027</v>
      </c>
      <c r="B1837" s="801">
        <v>31329088000</v>
      </c>
    </row>
    <row r="1838" spans="1:2">
      <c r="A1838" s="800" t="s">
        <v>3026</v>
      </c>
      <c r="B1838" s="801">
        <v>31329089000</v>
      </c>
    </row>
    <row r="1839" spans="1:2">
      <c r="A1839" s="800" t="s">
        <v>3025</v>
      </c>
      <c r="B1839" s="801">
        <v>31329090000</v>
      </c>
    </row>
    <row r="1840" spans="1:2">
      <c r="A1840" s="800" t="s">
        <v>3024</v>
      </c>
      <c r="B1840" s="801">
        <v>31329091000</v>
      </c>
    </row>
    <row r="1841" spans="1:2">
      <c r="A1841" s="800" t="s">
        <v>3023</v>
      </c>
      <c r="B1841" s="801">
        <v>31329091101</v>
      </c>
    </row>
    <row r="1842" spans="1:2">
      <c r="A1842" s="800" t="s">
        <v>3022</v>
      </c>
      <c r="B1842" s="801">
        <v>31329091102</v>
      </c>
    </row>
    <row r="1843" spans="1:2">
      <c r="A1843" s="800" t="s">
        <v>3021</v>
      </c>
      <c r="B1843" s="801">
        <v>31329092000</v>
      </c>
    </row>
    <row r="1844" spans="1:2">
      <c r="A1844" s="800" t="s">
        <v>3020</v>
      </c>
      <c r="B1844" s="801">
        <v>31329093000</v>
      </c>
    </row>
    <row r="1845" spans="1:2">
      <c r="A1845" s="800" t="s">
        <v>3019</v>
      </c>
      <c r="B1845" s="801">
        <v>31340000000</v>
      </c>
    </row>
    <row r="1846" spans="1:2">
      <c r="A1846" s="800" t="s">
        <v>3018</v>
      </c>
      <c r="B1846" s="801">
        <v>31341000000</v>
      </c>
    </row>
    <row r="1847" spans="1:2">
      <c r="A1847" s="800" t="s">
        <v>3017</v>
      </c>
      <c r="B1847" s="801">
        <v>31341001000</v>
      </c>
    </row>
    <row r="1848" spans="1:2">
      <c r="A1848" s="800" t="s">
        <v>3016</v>
      </c>
      <c r="B1848" s="801">
        <v>31341002000</v>
      </c>
    </row>
    <row r="1849" spans="1:2">
      <c r="A1849" s="800" t="s">
        <v>3015</v>
      </c>
      <c r="B1849" s="801">
        <v>31341003000</v>
      </c>
    </row>
    <row r="1850" spans="1:2">
      <c r="A1850" s="800" t="s">
        <v>3014</v>
      </c>
      <c r="B1850" s="801">
        <v>31341003101</v>
      </c>
    </row>
    <row r="1851" spans="1:2">
      <c r="A1851" s="800" t="s">
        <v>3013</v>
      </c>
      <c r="B1851" s="801">
        <v>31341004000</v>
      </c>
    </row>
    <row r="1852" spans="1:2">
      <c r="A1852" s="800" t="s">
        <v>3012</v>
      </c>
      <c r="B1852" s="801">
        <v>31341005000</v>
      </c>
    </row>
    <row r="1853" spans="1:2">
      <c r="A1853" s="800" t="s">
        <v>3011</v>
      </c>
      <c r="B1853" s="801">
        <v>31341005101</v>
      </c>
    </row>
    <row r="1854" spans="1:2">
      <c r="A1854" s="800" t="s">
        <v>3010</v>
      </c>
      <c r="B1854" s="801">
        <v>31341005102</v>
      </c>
    </row>
    <row r="1855" spans="1:2">
      <c r="A1855" s="800" t="s">
        <v>3009</v>
      </c>
      <c r="B1855" s="801">
        <v>31341005103</v>
      </c>
    </row>
    <row r="1856" spans="1:2">
      <c r="A1856" s="800" t="s">
        <v>3008</v>
      </c>
      <c r="B1856" s="801">
        <v>31341006000</v>
      </c>
    </row>
    <row r="1857" spans="1:2">
      <c r="A1857" s="800" t="s">
        <v>3007</v>
      </c>
      <c r="B1857" s="801">
        <v>31341007000</v>
      </c>
    </row>
    <row r="1858" spans="1:2">
      <c r="A1858" s="800" t="s">
        <v>3006</v>
      </c>
      <c r="B1858" s="801">
        <v>31341008000</v>
      </c>
    </row>
    <row r="1859" spans="1:2">
      <c r="A1859" s="800" t="s">
        <v>3005</v>
      </c>
      <c r="B1859" s="801">
        <v>31341009000</v>
      </c>
    </row>
    <row r="1860" spans="1:2">
      <c r="A1860" s="800" t="s">
        <v>3004</v>
      </c>
      <c r="B1860" s="801">
        <v>31341010000</v>
      </c>
    </row>
    <row r="1861" spans="1:2">
      <c r="A1861" s="800" t="s">
        <v>3003</v>
      </c>
      <c r="B1861" s="801">
        <v>31341011000</v>
      </c>
    </row>
    <row r="1862" spans="1:2">
      <c r="A1862" s="800" t="s">
        <v>3002</v>
      </c>
      <c r="B1862" s="801">
        <v>31341012000</v>
      </c>
    </row>
    <row r="1863" spans="1:2">
      <c r="A1863" s="800" t="s">
        <v>3001</v>
      </c>
      <c r="B1863" s="801">
        <v>31341013000</v>
      </c>
    </row>
    <row r="1864" spans="1:2">
      <c r="A1864" s="800" t="s">
        <v>3000</v>
      </c>
      <c r="B1864" s="801">
        <v>31341013101</v>
      </c>
    </row>
    <row r="1865" spans="1:2">
      <c r="A1865" s="800" t="s">
        <v>2999</v>
      </c>
      <c r="B1865" s="801">
        <v>31341014000</v>
      </c>
    </row>
    <row r="1866" spans="1:2">
      <c r="A1866" s="800" t="s">
        <v>2998</v>
      </c>
      <c r="B1866" s="801">
        <v>31341015000</v>
      </c>
    </row>
    <row r="1867" spans="1:2">
      <c r="A1867" s="800" t="s">
        <v>2997</v>
      </c>
      <c r="B1867" s="801">
        <v>31341016000</v>
      </c>
    </row>
    <row r="1868" spans="1:2">
      <c r="A1868" s="800" t="s">
        <v>2996</v>
      </c>
      <c r="B1868" s="801">
        <v>31341017000</v>
      </c>
    </row>
    <row r="1869" spans="1:2">
      <c r="A1869" s="800" t="s">
        <v>2995</v>
      </c>
      <c r="B1869" s="801">
        <v>31341018000</v>
      </c>
    </row>
    <row r="1870" spans="1:2">
      <c r="A1870" s="800" t="s">
        <v>2994</v>
      </c>
      <c r="B1870" s="801">
        <v>31341019000</v>
      </c>
    </row>
    <row r="1871" spans="1:2">
      <c r="A1871" s="800" t="s">
        <v>2993</v>
      </c>
      <c r="B1871" s="801">
        <v>31341020000</v>
      </c>
    </row>
    <row r="1872" spans="1:2">
      <c r="A1872" s="800" t="s">
        <v>2992</v>
      </c>
      <c r="B1872" s="801">
        <v>31341021000</v>
      </c>
    </row>
    <row r="1873" spans="1:2">
      <c r="A1873" s="800" t="s">
        <v>2991</v>
      </c>
      <c r="B1873" s="801">
        <v>31341022000</v>
      </c>
    </row>
    <row r="1874" spans="1:2">
      <c r="A1874" s="800" t="s">
        <v>2990</v>
      </c>
      <c r="B1874" s="801">
        <v>31341022101</v>
      </c>
    </row>
    <row r="1875" spans="1:2">
      <c r="A1875" s="800" t="s">
        <v>2989</v>
      </c>
      <c r="B1875" s="801">
        <v>31341023000</v>
      </c>
    </row>
    <row r="1876" spans="1:2">
      <c r="A1876" s="800" t="s">
        <v>2988</v>
      </c>
      <c r="B1876" s="801">
        <v>31341024000</v>
      </c>
    </row>
    <row r="1877" spans="1:2">
      <c r="A1877" s="800" t="s">
        <v>2987</v>
      </c>
      <c r="B1877" s="801">
        <v>31341025000</v>
      </c>
    </row>
    <row r="1878" spans="1:2">
      <c r="A1878" s="800" t="s">
        <v>2986</v>
      </c>
      <c r="B1878" s="801">
        <v>31341025101</v>
      </c>
    </row>
    <row r="1879" spans="1:2">
      <c r="A1879" s="800" t="s">
        <v>2985</v>
      </c>
      <c r="B1879" s="801">
        <v>31341025102</v>
      </c>
    </row>
    <row r="1880" spans="1:2">
      <c r="A1880" s="800" t="s">
        <v>2984</v>
      </c>
      <c r="B1880" s="801">
        <v>31341025103</v>
      </c>
    </row>
    <row r="1881" spans="1:2">
      <c r="A1881" s="800" t="s">
        <v>2983</v>
      </c>
      <c r="B1881" s="801">
        <v>31341026000</v>
      </c>
    </row>
    <row r="1882" spans="1:2">
      <c r="A1882" s="800" t="s">
        <v>2982</v>
      </c>
      <c r="B1882" s="801">
        <v>31341026101</v>
      </c>
    </row>
    <row r="1883" spans="1:2">
      <c r="A1883" s="800" t="s">
        <v>2981</v>
      </c>
      <c r="B1883" s="801">
        <v>31341027000</v>
      </c>
    </row>
    <row r="1884" spans="1:2">
      <c r="A1884" s="800" t="s">
        <v>2980</v>
      </c>
      <c r="B1884" s="801">
        <v>31341028001</v>
      </c>
    </row>
    <row r="1885" spans="1:2">
      <c r="A1885" s="800" t="s">
        <v>2979</v>
      </c>
      <c r="B1885" s="801">
        <v>31341028002</v>
      </c>
    </row>
    <row r="1886" spans="1:2">
      <c r="A1886" s="800" t="s">
        <v>2978</v>
      </c>
      <c r="B1886" s="801">
        <v>31341028003</v>
      </c>
    </row>
    <row r="1887" spans="1:2">
      <c r="A1887" s="800" t="s">
        <v>2977</v>
      </c>
      <c r="B1887" s="801">
        <v>31341029001</v>
      </c>
    </row>
    <row r="1888" spans="1:2">
      <c r="A1888" s="800" t="s">
        <v>2976</v>
      </c>
      <c r="B1888" s="801">
        <v>31341029002</v>
      </c>
    </row>
    <row r="1889" spans="1:2">
      <c r="A1889" s="800" t="s">
        <v>2975</v>
      </c>
      <c r="B1889" s="801">
        <v>31341029003</v>
      </c>
    </row>
    <row r="1890" spans="1:2">
      <c r="A1890" s="800" t="s">
        <v>2974</v>
      </c>
      <c r="B1890" s="801">
        <v>31342000000</v>
      </c>
    </row>
    <row r="1891" spans="1:2">
      <c r="A1891" s="800" t="s">
        <v>2973</v>
      </c>
      <c r="B1891" s="801">
        <v>31342001000</v>
      </c>
    </row>
    <row r="1892" spans="1:2">
      <c r="A1892" s="800" t="s">
        <v>2972</v>
      </c>
      <c r="B1892" s="801">
        <v>31342001101</v>
      </c>
    </row>
    <row r="1893" spans="1:2">
      <c r="A1893" s="800" t="s">
        <v>2971</v>
      </c>
      <c r="B1893" s="801">
        <v>31342001102</v>
      </c>
    </row>
    <row r="1894" spans="1:2">
      <c r="A1894" s="800" t="s">
        <v>2970</v>
      </c>
      <c r="B1894" s="801">
        <v>31342001103</v>
      </c>
    </row>
    <row r="1895" spans="1:2">
      <c r="A1895" s="800" t="s">
        <v>2969</v>
      </c>
      <c r="B1895" s="801">
        <v>31342001104</v>
      </c>
    </row>
    <row r="1896" spans="1:2">
      <c r="A1896" s="800" t="s">
        <v>2968</v>
      </c>
      <c r="B1896" s="801">
        <v>31342002000</v>
      </c>
    </row>
    <row r="1897" spans="1:2">
      <c r="A1897" s="800" t="s">
        <v>2967</v>
      </c>
      <c r="B1897" s="801">
        <v>31342002101</v>
      </c>
    </row>
    <row r="1898" spans="1:2">
      <c r="A1898" s="800" t="s">
        <v>2966</v>
      </c>
      <c r="B1898" s="801">
        <v>31342002102</v>
      </c>
    </row>
    <row r="1899" spans="1:2">
      <c r="A1899" s="800" t="s">
        <v>2965</v>
      </c>
      <c r="B1899" s="801">
        <v>31342003000</v>
      </c>
    </row>
    <row r="1900" spans="1:2">
      <c r="A1900" s="800" t="s">
        <v>2964</v>
      </c>
      <c r="B1900" s="801">
        <v>31342003101</v>
      </c>
    </row>
    <row r="1901" spans="1:2">
      <c r="A1901" s="800" t="s">
        <v>2963</v>
      </c>
      <c r="B1901" s="801">
        <v>31342003102</v>
      </c>
    </row>
    <row r="1902" spans="1:2">
      <c r="A1902" s="800" t="s">
        <v>2962</v>
      </c>
      <c r="B1902" s="801">
        <v>31342004000</v>
      </c>
    </row>
    <row r="1903" spans="1:2">
      <c r="A1903" s="800" t="s">
        <v>2961</v>
      </c>
      <c r="B1903" s="801">
        <v>31342004101</v>
      </c>
    </row>
    <row r="1904" spans="1:2">
      <c r="A1904" s="800" t="s">
        <v>2960</v>
      </c>
      <c r="B1904" s="801">
        <v>31342004102</v>
      </c>
    </row>
    <row r="1905" spans="1:2">
      <c r="A1905" s="800" t="s">
        <v>2959</v>
      </c>
      <c r="B1905" s="801">
        <v>31342004103</v>
      </c>
    </row>
    <row r="1906" spans="1:2">
      <c r="A1906" s="800" t="s">
        <v>2958</v>
      </c>
      <c r="B1906" s="801">
        <v>31342005000</v>
      </c>
    </row>
    <row r="1907" spans="1:2">
      <c r="A1907" s="800" t="s">
        <v>2957</v>
      </c>
      <c r="B1907" s="801">
        <v>31342006000</v>
      </c>
    </row>
    <row r="1908" spans="1:2">
      <c r="A1908" s="800" t="s">
        <v>2956</v>
      </c>
      <c r="B1908" s="801">
        <v>31342006101</v>
      </c>
    </row>
    <row r="1909" spans="1:2">
      <c r="A1909" s="800" t="s">
        <v>2955</v>
      </c>
      <c r="B1909" s="801">
        <v>31342006102</v>
      </c>
    </row>
    <row r="1910" spans="1:2">
      <c r="A1910" s="800" t="s">
        <v>2954</v>
      </c>
      <c r="B1910" s="801">
        <v>31342006103</v>
      </c>
    </row>
    <row r="1911" spans="1:2">
      <c r="A1911" s="800" t="s">
        <v>2953</v>
      </c>
      <c r="B1911" s="801">
        <v>31342006104</v>
      </c>
    </row>
    <row r="1912" spans="1:2">
      <c r="A1912" s="800" t="s">
        <v>2952</v>
      </c>
      <c r="B1912" s="801">
        <v>31342006105</v>
      </c>
    </row>
    <row r="1913" spans="1:2">
      <c r="A1913" s="800" t="s">
        <v>2951</v>
      </c>
      <c r="B1913" s="801">
        <v>31342006106</v>
      </c>
    </row>
    <row r="1914" spans="1:2">
      <c r="A1914" s="800" t="s">
        <v>2950</v>
      </c>
      <c r="B1914" s="801">
        <v>31342006107</v>
      </c>
    </row>
    <row r="1915" spans="1:2">
      <c r="A1915" s="800" t="s">
        <v>2949</v>
      </c>
      <c r="B1915" s="801">
        <v>31342006108</v>
      </c>
    </row>
    <row r="1916" spans="1:2">
      <c r="A1916" s="800" t="s">
        <v>2948</v>
      </c>
      <c r="B1916" s="801">
        <v>31342006109</v>
      </c>
    </row>
    <row r="1917" spans="1:2">
      <c r="A1917" s="800" t="s">
        <v>2947</v>
      </c>
      <c r="B1917" s="801">
        <v>31342006110</v>
      </c>
    </row>
    <row r="1918" spans="1:2">
      <c r="A1918" s="800" t="s">
        <v>2946</v>
      </c>
      <c r="B1918" s="801">
        <v>31342006111</v>
      </c>
    </row>
    <row r="1919" spans="1:2">
      <c r="A1919" s="800" t="s">
        <v>2945</v>
      </c>
      <c r="B1919" s="801">
        <v>31342007000</v>
      </c>
    </row>
    <row r="1920" spans="1:2">
      <c r="A1920" s="800" t="s">
        <v>2944</v>
      </c>
      <c r="B1920" s="801">
        <v>31342007101</v>
      </c>
    </row>
    <row r="1921" spans="1:2">
      <c r="A1921" s="800" t="s">
        <v>2943</v>
      </c>
      <c r="B1921" s="801">
        <v>31342007102</v>
      </c>
    </row>
    <row r="1922" spans="1:2">
      <c r="A1922" s="800" t="s">
        <v>2942</v>
      </c>
      <c r="B1922" s="801">
        <v>31342008000</v>
      </c>
    </row>
    <row r="1923" spans="1:2">
      <c r="A1923" s="800" t="s">
        <v>2941</v>
      </c>
      <c r="B1923" s="801">
        <v>31342008101</v>
      </c>
    </row>
    <row r="1924" spans="1:2">
      <c r="A1924" s="800" t="s">
        <v>2940</v>
      </c>
      <c r="B1924" s="801">
        <v>31342008102</v>
      </c>
    </row>
    <row r="1925" spans="1:2">
      <c r="A1925" s="800" t="s">
        <v>2939</v>
      </c>
      <c r="B1925" s="801">
        <v>31342008103</v>
      </c>
    </row>
    <row r="1926" spans="1:2">
      <c r="A1926" s="800" t="s">
        <v>2938</v>
      </c>
      <c r="B1926" s="801">
        <v>31342009000</v>
      </c>
    </row>
    <row r="1927" spans="1:2">
      <c r="A1927" s="800" t="s">
        <v>2937</v>
      </c>
      <c r="B1927" s="801">
        <v>31342010000</v>
      </c>
    </row>
    <row r="1928" spans="1:2">
      <c r="A1928" s="800" t="s">
        <v>2936</v>
      </c>
      <c r="B1928" s="801">
        <v>31342011000</v>
      </c>
    </row>
    <row r="1929" spans="1:2">
      <c r="A1929" s="800" t="s">
        <v>2935</v>
      </c>
      <c r="B1929" s="801">
        <v>31342011101</v>
      </c>
    </row>
    <row r="1930" spans="1:2">
      <c r="A1930" s="800" t="s">
        <v>2934</v>
      </c>
      <c r="B1930" s="801">
        <v>31342011102</v>
      </c>
    </row>
    <row r="1931" spans="1:2">
      <c r="A1931" s="800" t="s">
        <v>2933</v>
      </c>
      <c r="B1931" s="801">
        <v>31342012000</v>
      </c>
    </row>
    <row r="1932" spans="1:2">
      <c r="A1932" s="800" t="s">
        <v>2932</v>
      </c>
      <c r="B1932" s="801">
        <v>31342013000</v>
      </c>
    </row>
    <row r="1933" spans="1:2">
      <c r="A1933" s="800" t="s">
        <v>2931</v>
      </c>
      <c r="B1933" s="801">
        <v>31342013101</v>
      </c>
    </row>
    <row r="1934" spans="1:2">
      <c r="A1934" s="800" t="s">
        <v>2930</v>
      </c>
      <c r="B1934" s="801">
        <v>31342014000</v>
      </c>
    </row>
    <row r="1935" spans="1:2">
      <c r="A1935" s="800" t="s">
        <v>2929</v>
      </c>
      <c r="B1935" s="801">
        <v>31343000000</v>
      </c>
    </row>
    <row r="1936" spans="1:2">
      <c r="A1936" s="800" t="s">
        <v>2928</v>
      </c>
      <c r="B1936" s="801">
        <v>31343001000</v>
      </c>
    </row>
    <row r="1937" spans="1:2">
      <c r="A1937" s="800" t="s">
        <v>2927</v>
      </c>
      <c r="B1937" s="801">
        <v>31343001101</v>
      </c>
    </row>
    <row r="1938" spans="1:2">
      <c r="A1938" s="800" t="s">
        <v>2926</v>
      </c>
      <c r="B1938" s="801">
        <v>31343001102</v>
      </c>
    </row>
    <row r="1939" spans="1:2">
      <c r="A1939" s="800" t="s">
        <v>2925</v>
      </c>
      <c r="B1939" s="801">
        <v>31343001103</v>
      </c>
    </row>
    <row r="1940" spans="1:2">
      <c r="A1940" s="800" t="s">
        <v>2924</v>
      </c>
      <c r="B1940" s="801">
        <v>31343001104</v>
      </c>
    </row>
    <row r="1941" spans="1:2">
      <c r="A1941" s="800" t="s">
        <v>2923</v>
      </c>
      <c r="B1941" s="801">
        <v>31343001105</v>
      </c>
    </row>
    <row r="1942" spans="1:2">
      <c r="A1942" s="800" t="s">
        <v>2922</v>
      </c>
      <c r="B1942" s="801">
        <v>31343001106</v>
      </c>
    </row>
    <row r="1943" spans="1:2">
      <c r="A1943" s="800" t="s">
        <v>2921</v>
      </c>
      <c r="B1943" s="801">
        <v>31343001107</v>
      </c>
    </row>
    <row r="1944" spans="1:2">
      <c r="A1944" s="800" t="s">
        <v>2920</v>
      </c>
      <c r="B1944" s="801">
        <v>31343001108</v>
      </c>
    </row>
    <row r="1945" spans="1:2">
      <c r="A1945" s="800" t="s">
        <v>2919</v>
      </c>
      <c r="B1945" s="801">
        <v>31343001109</v>
      </c>
    </row>
    <row r="1946" spans="1:2">
      <c r="A1946" s="800" t="s">
        <v>2918</v>
      </c>
      <c r="B1946" s="801">
        <v>31343001110</v>
      </c>
    </row>
    <row r="1947" spans="1:2">
      <c r="A1947" s="800" t="s">
        <v>2917</v>
      </c>
      <c r="B1947" s="801">
        <v>31343001111</v>
      </c>
    </row>
    <row r="1948" spans="1:2">
      <c r="A1948" s="800" t="s">
        <v>2916</v>
      </c>
      <c r="B1948" s="801">
        <v>31343002000</v>
      </c>
    </row>
    <row r="1949" spans="1:2">
      <c r="A1949" s="800" t="s">
        <v>2915</v>
      </c>
      <c r="B1949" s="801">
        <v>31343003000</v>
      </c>
    </row>
    <row r="1950" spans="1:2">
      <c r="A1950" s="800" t="s">
        <v>2914</v>
      </c>
      <c r="B1950" s="801">
        <v>31343004000</v>
      </c>
    </row>
    <row r="1951" spans="1:2">
      <c r="A1951" s="800" t="s">
        <v>2913</v>
      </c>
      <c r="B1951" s="801">
        <v>31343005000</v>
      </c>
    </row>
    <row r="1952" spans="1:2">
      <c r="A1952" s="800" t="s">
        <v>2912</v>
      </c>
      <c r="B1952" s="801">
        <v>31343006000</v>
      </c>
    </row>
    <row r="1953" spans="1:2">
      <c r="A1953" s="800" t="s">
        <v>2911</v>
      </c>
      <c r="B1953" s="801">
        <v>31343007000</v>
      </c>
    </row>
    <row r="1954" spans="1:2">
      <c r="A1954" s="800" t="s">
        <v>2910</v>
      </c>
      <c r="B1954" s="801">
        <v>31343008000</v>
      </c>
    </row>
    <row r="1955" spans="1:2">
      <c r="A1955" s="800" t="s">
        <v>2909</v>
      </c>
      <c r="B1955" s="801">
        <v>31343009000</v>
      </c>
    </row>
    <row r="1956" spans="1:2">
      <c r="A1956" s="800" t="s">
        <v>2908</v>
      </c>
      <c r="B1956" s="801">
        <v>31343009101</v>
      </c>
    </row>
    <row r="1957" spans="1:2">
      <c r="A1957" s="800" t="s">
        <v>2907</v>
      </c>
      <c r="B1957" s="801">
        <v>31343010000</v>
      </c>
    </row>
    <row r="1958" spans="1:2">
      <c r="A1958" s="800" t="s">
        <v>2906</v>
      </c>
      <c r="B1958" s="801">
        <v>31343010101</v>
      </c>
    </row>
    <row r="1959" spans="1:2">
      <c r="A1959" s="800" t="s">
        <v>2905</v>
      </c>
      <c r="B1959" s="801">
        <v>31343011000</v>
      </c>
    </row>
    <row r="1960" spans="1:2">
      <c r="A1960" s="800" t="s">
        <v>2904</v>
      </c>
      <c r="B1960" s="801">
        <v>31343012000</v>
      </c>
    </row>
    <row r="1961" spans="1:2">
      <c r="A1961" s="800" t="s">
        <v>2903</v>
      </c>
      <c r="B1961" s="801">
        <v>31343012101</v>
      </c>
    </row>
    <row r="1962" spans="1:2">
      <c r="A1962" s="800" t="s">
        <v>2902</v>
      </c>
      <c r="B1962" s="801">
        <v>31343013000</v>
      </c>
    </row>
    <row r="1963" spans="1:2">
      <c r="A1963" s="800" t="s">
        <v>2901</v>
      </c>
      <c r="B1963" s="801">
        <v>31343014000</v>
      </c>
    </row>
    <row r="1964" spans="1:2">
      <c r="A1964" s="800" t="s">
        <v>2900</v>
      </c>
      <c r="B1964" s="801">
        <v>31343014101</v>
      </c>
    </row>
    <row r="1965" spans="1:2">
      <c r="A1965" s="800" t="s">
        <v>2899</v>
      </c>
      <c r="B1965" s="801">
        <v>31343015000</v>
      </c>
    </row>
    <row r="1966" spans="1:2">
      <c r="A1966" s="800" t="s">
        <v>2898</v>
      </c>
      <c r="B1966" s="801">
        <v>31343016000</v>
      </c>
    </row>
    <row r="1967" spans="1:2">
      <c r="A1967" s="800" t="s">
        <v>2897</v>
      </c>
      <c r="B1967" s="801">
        <v>31343016101</v>
      </c>
    </row>
    <row r="1968" spans="1:2">
      <c r="A1968" s="800" t="s">
        <v>2896</v>
      </c>
      <c r="B1968" s="801">
        <v>31343017000</v>
      </c>
    </row>
    <row r="1969" spans="1:2">
      <c r="A1969" s="800" t="s">
        <v>2895</v>
      </c>
      <c r="B1969" s="801">
        <v>31343018000</v>
      </c>
    </row>
    <row r="1970" spans="1:2">
      <c r="A1970" s="800" t="s">
        <v>2894</v>
      </c>
      <c r="B1970" s="801">
        <v>31343019000</v>
      </c>
    </row>
    <row r="1971" spans="1:2">
      <c r="A1971" s="800" t="s">
        <v>2893</v>
      </c>
      <c r="B1971" s="801">
        <v>31343020000</v>
      </c>
    </row>
    <row r="1972" spans="1:2">
      <c r="A1972" s="800" t="s">
        <v>2892</v>
      </c>
      <c r="B1972" s="801">
        <v>31343021000</v>
      </c>
    </row>
    <row r="1973" spans="1:2">
      <c r="A1973" s="800" t="s">
        <v>2891</v>
      </c>
      <c r="B1973" s="801">
        <v>31343022000</v>
      </c>
    </row>
    <row r="1974" spans="1:2">
      <c r="A1974" s="800" t="s">
        <v>2890</v>
      </c>
      <c r="B1974" s="801">
        <v>31343023000</v>
      </c>
    </row>
    <row r="1975" spans="1:2">
      <c r="A1975" s="800" t="s">
        <v>2889</v>
      </c>
      <c r="B1975" s="801">
        <v>31343024000</v>
      </c>
    </row>
    <row r="1976" spans="1:2">
      <c r="A1976" s="800" t="s">
        <v>2888</v>
      </c>
      <c r="B1976" s="801">
        <v>31343025000</v>
      </c>
    </row>
    <row r="1977" spans="1:2">
      <c r="A1977" s="800" t="s">
        <v>2887</v>
      </c>
      <c r="B1977" s="801">
        <v>31343025101</v>
      </c>
    </row>
    <row r="1978" spans="1:2">
      <c r="A1978" s="800" t="s">
        <v>2886</v>
      </c>
      <c r="B1978" s="801">
        <v>31360000000</v>
      </c>
    </row>
    <row r="1979" spans="1:2">
      <c r="A1979" s="800" t="s">
        <v>2885</v>
      </c>
      <c r="B1979" s="801">
        <v>31361000000</v>
      </c>
    </row>
    <row r="1980" spans="1:2">
      <c r="A1980" s="800" t="s">
        <v>2884</v>
      </c>
      <c r="B1980" s="801">
        <v>31361001000</v>
      </c>
    </row>
    <row r="1981" spans="1:2">
      <c r="A1981" s="800" t="s">
        <v>2883</v>
      </c>
      <c r="B1981" s="801">
        <v>31361002000</v>
      </c>
    </row>
    <row r="1982" spans="1:2">
      <c r="A1982" s="800" t="s">
        <v>2882</v>
      </c>
      <c r="B1982" s="801">
        <v>31361002101</v>
      </c>
    </row>
    <row r="1983" spans="1:2">
      <c r="A1983" s="800" t="s">
        <v>2881</v>
      </c>
      <c r="B1983" s="801">
        <v>31361003000</v>
      </c>
    </row>
    <row r="1984" spans="1:2">
      <c r="A1984" s="800" t="s">
        <v>2880</v>
      </c>
      <c r="B1984" s="801">
        <v>31361003101</v>
      </c>
    </row>
    <row r="1985" spans="1:2">
      <c r="A1985" s="800" t="s">
        <v>2879</v>
      </c>
      <c r="B1985" s="801">
        <v>31361004000</v>
      </c>
    </row>
    <row r="1986" spans="1:2">
      <c r="A1986" s="800" t="s">
        <v>2878</v>
      </c>
      <c r="B1986" s="801">
        <v>31361005000</v>
      </c>
    </row>
    <row r="1987" spans="1:2">
      <c r="A1987" s="800" t="s">
        <v>2877</v>
      </c>
      <c r="B1987" s="801">
        <v>31361006000</v>
      </c>
    </row>
    <row r="1988" spans="1:2">
      <c r="A1988" s="800" t="s">
        <v>2876</v>
      </c>
      <c r="B1988" s="801">
        <v>31361007000</v>
      </c>
    </row>
    <row r="1989" spans="1:2">
      <c r="A1989" s="800" t="s">
        <v>2875</v>
      </c>
      <c r="B1989" s="801">
        <v>31361007101</v>
      </c>
    </row>
    <row r="1990" spans="1:2">
      <c r="A1990" s="800" t="s">
        <v>2874</v>
      </c>
      <c r="B1990" s="801">
        <v>31361007102</v>
      </c>
    </row>
    <row r="1991" spans="1:2">
      <c r="A1991" s="800" t="s">
        <v>2873</v>
      </c>
      <c r="B1991" s="801">
        <v>31361007103</v>
      </c>
    </row>
    <row r="1992" spans="1:2">
      <c r="A1992" s="800" t="s">
        <v>2872</v>
      </c>
      <c r="B1992" s="801">
        <v>31361007104</v>
      </c>
    </row>
    <row r="1993" spans="1:2">
      <c r="A1993" s="800" t="s">
        <v>2871</v>
      </c>
      <c r="B1993" s="801">
        <v>31361008000</v>
      </c>
    </row>
    <row r="1994" spans="1:2">
      <c r="A1994" s="800" t="s">
        <v>2870</v>
      </c>
      <c r="B1994" s="801">
        <v>31361009000</v>
      </c>
    </row>
    <row r="1995" spans="1:2">
      <c r="A1995" s="800" t="s">
        <v>2869</v>
      </c>
      <c r="B1995" s="801">
        <v>31361010000</v>
      </c>
    </row>
    <row r="1996" spans="1:2">
      <c r="A1996" s="800" t="s">
        <v>2868</v>
      </c>
      <c r="B1996" s="801">
        <v>31361011000</v>
      </c>
    </row>
    <row r="1997" spans="1:2">
      <c r="A1997" s="800" t="s">
        <v>2867</v>
      </c>
      <c r="B1997" s="801">
        <v>31361012000</v>
      </c>
    </row>
    <row r="1998" spans="1:2">
      <c r="A1998" s="800" t="s">
        <v>2866</v>
      </c>
      <c r="B1998" s="801">
        <v>31361013000</v>
      </c>
    </row>
    <row r="1999" spans="1:2">
      <c r="A1999" s="800" t="s">
        <v>2865</v>
      </c>
      <c r="B1999" s="801">
        <v>31362000000</v>
      </c>
    </row>
    <row r="2000" spans="1:2">
      <c r="A2000" s="800" t="s">
        <v>2864</v>
      </c>
      <c r="B2000" s="801">
        <v>31362001000</v>
      </c>
    </row>
    <row r="2001" spans="1:2">
      <c r="A2001" s="800" t="s">
        <v>2863</v>
      </c>
      <c r="B2001" s="801">
        <v>31362002000</v>
      </c>
    </row>
    <row r="2002" spans="1:2">
      <c r="A2002" s="800" t="s">
        <v>2862</v>
      </c>
      <c r="B2002" s="801">
        <v>31362003000</v>
      </c>
    </row>
    <row r="2003" spans="1:2">
      <c r="A2003" s="800" t="s">
        <v>2861</v>
      </c>
      <c r="B2003" s="801">
        <v>31362004000</v>
      </c>
    </row>
    <row r="2004" spans="1:2">
      <c r="A2004" s="800" t="s">
        <v>2860</v>
      </c>
      <c r="B2004" s="801">
        <v>31362005000</v>
      </c>
    </row>
    <row r="2005" spans="1:2">
      <c r="A2005" s="800" t="s">
        <v>2859</v>
      </c>
      <c r="B2005" s="801">
        <v>31362006000</v>
      </c>
    </row>
    <row r="2006" spans="1:2">
      <c r="A2006" s="800" t="s">
        <v>2858</v>
      </c>
      <c r="B2006" s="801">
        <v>31362007000</v>
      </c>
    </row>
    <row r="2007" spans="1:2">
      <c r="A2007" s="800" t="s">
        <v>2857</v>
      </c>
      <c r="B2007" s="801">
        <v>31363000000</v>
      </c>
    </row>
    <row r="2008" spans="1:2">
      <c r="A2008" s="800" t="s">
        <v>2856</v>
      </c>
      <c r="B2008" s="801">
        <v>31363001000</v>
      </c>
    </row>
    <row r="2009" spans="1:2">
      <c r="A2009" s="800" t="s">
        <v>2855</v>
      </c>
      <c r="B2009" s="801">
        <v>31363002000</v>
      </c>
    </row>
    <row r="2010" spans="1:2">
      <c r="A2010" s="800" t="s">
        <v>2854</v>
      </c>
      <c r="B2010" s="801">
        <v>31363003000</v>
      </c>
    </row>
    <row r="2011" spans="1:2">
      <c r="A2011" s="800" t="s">
        <v>2853</v>
      </c>
      <c r="B2011" s="801">
        <v>31363004000</v>
      </c>
    </row>
    <row r="2012" spans="1:2">
      <c r="A2012" s="800" t="s">
        <v>2852</v>
      </c>
      <c r="B2012" s="801">
        <v>31363005000</v>
      </c>
    </row>
    <row r="2013" spans="1:2">
      <c r="A2013" s="800" t="s">
        <v>2851</v>
      </c>
      <c r="B2013" s="801">
        <v>31363006000</v>
      </c>
    </row>
    <row r="2014" spans="1:2">
      <c r="A2014" s="800" t="s">
        <v>2850</v>
      </c>
      <c r="B2014" s="801">
        <v>31363007000</v>
      </c>
    </row>
    <row r="2015" spans="1:2">
      <c r="A2015" s="800" t="s">
        <v>2849</v>
      </c>
      <c r="B2015" s="801">
        <v>31363008000</v>
      </c>
    </row>
    <row r="2016" spans="1:2">
      <c r="A2016" s="800" t="s">
        <v>2848</v>
      </c>
      <c r="B2016" s="801">
        <v>31363008101</v>
      </c>
    </row>
    <row r="2017" spans="1:2">
      <c r="A2017" s="800" t="s">
        <v>2847</v>
      </c>
      <c r="B2017" s="801">
        <v>31363009000</v>
      </c>
    </row>
    <row r="2018" spans="1:2">
      <c r="A2018" s="800" t="s">
        <v>2846</v>
      </c>
      <c r="B2018" s="801">
        <v>31363010000</v>
      </c>
    </row>
    <row r="2019" spans="1:2">
      <c r="A2019" s="800" t="s">
        <v>2845</v>
      </c>
      <c r="B2019" s="801">
        <v>31363011000</v>
      </c>
    </row>
    <row r="2020" spans="1:2">
      <c r="A2020" s="800" t="s">
        <v>2844</v>
      </c>
      <c r="B2020" s="801">
        <v>31363012000</v>
      </c>
    </row>
    <row r="2021" spans="1:2">
      <c r="A2021" s="800" t="s">
        <v>2843</v>
      </c>
      <c r="B2021" s="801">
        <v>31363013000</v>
      </c>
    </row>
    <row r="2022" spans="1:2">
      <c r="A2022" s="800" t="s">
        <v>2842</v>
      </c>
      <c r="B2022" s="801">
        <v>31363014000</v>
      </c>
    </row>
    <row r="2023" spans="1:2">
      <c r="A2023" s="800" t="s">
        <v>2841</v>
      </c>
      <c r="B2023" s="801">
        <v>31363015000</v>
      </c>
    </row>
    <row r="2024" spans="1:2">
      <c r="A2024" s="800" t="s">
        <v>2840</v>
      </c>
      <c r="B2024" s="801">
        <v>31363016000</v>
      </c>
    </row>
    <row r="2025" spans="1:2">
      <c r="A2025" s="800" t="s">
        <v>2839</v>
      </c>
      <c r="B2025" s="801">
        <v>31363017000</v>
      </c>
    </row>
    <row r="2026" spans="1:2">
      <c r="A2026" s="800" t="s">
        <v>2838</v>
      </c>
      <c r="B2026" s="801">
        <v>31363018000</v>
      </c>
    </row>
    <row r="2027" spans="1:2">
      <c r="A2027" s="800" t="s">
        <v>2837</v>
      </c>
      <c r="B2027" s="801">
        <v>31363019000</v>
      </c>
    </row>
    <row r="2028" spans="1:2">
      <c r="A2028" s="800" t="s">
        <v>2836</v>
      </c>
      <c r="B2028" s="801">
        <v>31363020000</v>
      </c>
    </row>
    <row r="2029" spans="1:2">
      <c r="A2029" s="800" t="s">
        <v>2835</v>
      </c>
      <c r="B2029" s="801">
        <v>31363021000</v>
      </c>
    </row>
    <row r="2030" spans="1:2">
      <c r="A2030" s="800" t="s">
        <v>2834</v>
      </c>
      <c r="B2030" s="801">
        <v>31363022000</v>
      </c>
    </row>
    <row r="2031" spans="1:2">
      <c r="A2031" s="800" t="s">
        <v>2833</v>
      </c>
      <c r="B2031" s="801">
        <v>31363023000</v>
      </c>
    </row>
    <row r="2032" spans="1:2">
      <c r="A2032" s="800" t="s">
        <v>2832</v>
      </c>
      <c r="B2032" s="801">
        <v>31363024000</v>
      </c>
    </row>
    <row r="2033" spans="1:2">
      <c r="A2033" s="800" t="s">
        <v>2831</v>
      </c>
      <c r="B2033" s="801">
        <v>31363025000</v>
      </c>
    </row>
    <row r="2034" spans="1:2">
      <c r="A2034" s="800" t="s">
        <v>2830</v>
      </c>
      <c r="B2034" s="801">
        <v>31363026000</v>
      </c>
    </row>
    <row r="2035" spans="1:2">
      <c r="A2035" s="800" t="s">
        <v>2829</v>
      </c>
      <c r="B2035" s="801">
        <v>31363027000</v>
      </c>
    </row>
    <row r="2036" spans="1:2">
      <c r="A2036" s="800" t="s">
        <v>2828</v>
      </c>
      <c r="B2036" s="801">
        <v>31363028000</v>
      </c>
    </row>
    <row r="2037" spans="1:2">
      <c r="A2037" s="800" t="s">
        <v>2827</v>
      </c>
      <c r="B2037" s="801">
        <v>31364000000</v>
      </c>
    </row>
    <row r="2038" spans="1:2">
      <c r="A2038" s="800" t="s">
        <v>2826</v>
      </c>
      <c r="B2038" s="801">
        <v>31364001000</v>
      </c>
    </row>
    <row r="2039" spans="1:2">
      <c r="A2039" s="800" t="s">
        <v>2825</v>
      </c>
      <c r="B2039" s="801">
        <v>31364002000</v>
      </c>
    </row>
    <row r="2040" spans="1:2">
      <c r="A2040" s="800" t="s">
        <v>2824</v>
      </c>
      <c r="B2040" s="801">
        <v>31364003000</v>
      </c>
    </row>
    <row r="2041" spans="1:2">
      <c r="A2041" s="800" t="s">
        <v>2823</v>
      </c>
      <c r="B2041" s="801">
        <v>31364003101</v>
      </c>
    </row>
    <row r="2042" spans="1:2">
      <c r="A2042" s="800" t="s">
        <v>2822</v>
      </c>
      <c r="B2042" s="801">
        <v>31364004000</v>
      </c>
    </row>
    <row r="2043" spans="1:2">
      <c r="A2043" s="800" t="s">
        <v>2821</v>
      </c>
      <c r="B2043" s="801">
        <v>31364005000</v>
      </c>
    </row>
    <row r="2044" spans="1:2">
      <c r="A2044" s="800" t="s">
        <v>2820</v>
      </c>
      <c r="B2044" s="801">
        <v>31364006000</v>
      </c>
    </row>
    <row r="2045" spans="1:2">
      <c r="A2045" s="800" t="s">
        <v>2819</v>
      </c>
      <c r="B2045" s="801">
        <v>31364006101</v>
      </c>
    </row>
    <row r="2046" spans="1:2">
      <c r="A2046" s="800" t="s">
        <v>2818</v>
      </c>
      <c r="B2046" s="801">
        <v>31364007000</v>
      </c>
    </row>
    <row r="2047" spans="1:2">
      <c r="A2047" s="800" t="s">
        <v>2817</v>
      </c>
      <c r="B2047" s="801">
        <v>31364008000</v>
      </c>
    </row>
    <row r="2048" spans="1:2">
      <c r="A2048" s="800" t="s">
        <v>2816</v>
      </c>
      <c r="B2048" s="801">
        <v>31364009000</v>
      </c>
    </row>
    <row r="2049" spans="1:2">
      <c r="A2049" s="800" t="s">
        <v>2815</v>
      </c>
      <c r="B2049" s="801">
        <v>31364009101</v>
      </c>
    </row>
    <row r="2050" spans="1:2">
      <c r="A2050" s="800" t="s">
        <v>2814</v>
      </c>
      <c r="B2050" s="801">
        <v>31364009102</v>
      </c>
    </row>
    <row r="2051" spans="1:2">
      <c r="A2051" s="800" t="s">
        <v>2813</v>
      </c>
      <c r="B2051" s="801">
        <v>31364010000</v>
      </c>
    </row>
    <row r="2052" spans="1:2">
      <c r="A2052" s="800" t="s">
        <v>2812</v>
      </c>
      <c r="B2052" s="801">
        <v>31364011000</v>
      </c>
    </row>
    <row r="2053" spans="1:2">
      <c r="A2053" s="800" t="s">
        <v>2811</v>
      </c>
      <c r="B2053" s="801">
        <v>31364012000</v>
      </c>
    </row>
    <row r="2054" spans="1:2">
      <c r="A2054" s="800" t="s">
        <v>2810</v>
      </c>
      <c r="B2054" s="801">
        <v>31364013000</v>
      </c>
    </row>
    <row r="2055" spans="1:2">
      <c r="A2055" s="800" t="s">
        <v>2809</v>
      </c>
      <c r="B2055" s="801">
        <v>31364014000</v>
      </c>
    </row>
    <row r="2056" spans="1:2">
      <c r="A2056" s="800" t="s">
        <v>2808</v>
      </c>
      <c r="B2056" s="801">
        <v>31364015000</v>
      </c>
    </row>
    <row r="2057" spans="1:2">
      <c r="A2057" s="800" t="s">
        <v>2807</v>
      </c>
      <c r="B2057" s="801">
        <v>31364016000</v>
      </c>
    </row>
    <row r="2058" spans="1:2">
      <c r="A2058" s="800" t="s">
        <v>2806</v>
      </c>
      <c r="B2058" s="801">
        <v>31364017000</v>
      </c>
    </row>
    <row r="2059" spans="1:2">
      <c r="A2059" s="800" t="s">
        <v>2805</v>
      </c>
      <c r="B2059" s="801">
        <v>31364018000</v>
      </c>
    </row>
    <row r="2060" spans="1:2">
      <c r="A2060" s="800" t="s">
        <v>2804</v>
      </c>
      <c r="B2060" s="801">
        <v>31364019000</v>
      </c>
    </row>
    <row r="2061" spans="1:2">
      <c r="A2061" s="800" t="s">
        <v>2803</v>
      </c>
      <c r="B2061" s="801">
        <v>31364020000</v>
      </c>
    </row>
    <row r="2062" spans="1:2">
      <c r="A2062" s="800" t="s">
        <v>2802</v>
      </c>
      <c r="B2062" s="801">
        <v>31364021000</v>
      </c>
    </row>
    <row r="2063" spans="1:2">
      <c r="A2063" s="800" t="s">
        <v>2801</v>
      </c>
      <c r="B2063" s="801">
        <v>31364022000</v>
      </c>
    </row>
    <row r="2064" spans="1:2">
      <c r="A2064" s="800" t="s">
        <v>2800</v>
      </c>
      <c r="B2064" s="801">
        <v>31364023000</v>
      </c>
    </row>
    <row r="2065" spans="1:2">
      <c r="A2065" s="800" t="s">
        <v>2799</v>
      </c>
      <c r="B2065" s="801">
        <v>31364024000</v>
      </c>
    </row>
    <row r="2066" spans="1:2">
      <c r="A2066" s="800" t="s">
        <v>2798</v>
      </c>
      <c r="B2066" s="801">
        <v>31364025000</v>
      </c>
    </row>
    <row r="2067" spans="1:2">
      <c r="A2067" s="800" t="s">
        <v>2797</v>
      </c>
      <c r="B2067" s="801">
        <v>31364026000</v>
      </c>
    </row>
    <row r="2068" spans="1:2">
      <c r="A2068" s="800" t="s">
        <v>2796</v>
      </c>
      <c r="B2068" s="801">
        <v>31364027000</v>
      </c>
    </row>
    <row r="2069" spans="1:2">
      <c r="A2069" s="800" t="s">
        <v>2795</v>
      </c>
      <c r="B2069" s="801">
        <v>31364028000</v>
      </c>
    </row>
    <row r="2070" spans="1:2">
      <c r="A2070" s="800" t="s">
        <v>2794</v>
      </c>
      <c r="B2070" s="801">
        <v>31364029000</v>
      </c>
    </row>
    <row r="2071" spans="1:2">
      <c r="A2071" s="800" t="s">
        <v>2793</v>
      </c>
      <c r="B2071" s="801">
        <v>31364030000</v>
      </c>
    </row>
    <row r="2072" spans="1:2">
      <c r="A2072" s="800" t="s">
        <v>2792</v>
      </c>
      <c r="B2072" s="801">
        <v>31364030101</v>
      </c>
    </row>
    <row r="2073" spans="1:2">
      <c r="A2073" s="800" t="s">
        <v>2791</v>
      </c>
      <c r="B2073" s="801">
        <v>31364030102</v>
      </c>
    </row>
    <row r="2074" spans="1:2">
      <c r="A2074" s="800" t="s">
        <v>2790</v>
      </c>
      <c r="B2074" s="801">
        <v>31364031000</v>
      </c>
    </row>
    <row r="2075" spans="1:2">
      <c r="A2075" s="800" t="s">
        <v>2789</v>
      </c>
      <c r="B2075" s="801">
        <v>31364031101</v>
      </c>
    </row>
    <row r="2076" spans="1:2">
      <c r="A2076" s="800" t="s">
        <v>2788</v>
      </c>
      <c r="B2076" s="801">
        <v>31364032000</v>
      </c>
    </row>
    <row r="2077" spans="1:2">
      <c r="A2077" s="800" t="s">
        <v>2787</v>
      </c>
      <c r="B2077" s="801">
        <v>31364033000</v>
      </c>
    </row>
    <row r="2078" spans="1:2">
      <c r="A2078" s="800" t="s">
        <v>2786</v>
      </c>
      <c r="B2078" s="801">
        <v>31364034000</v>
      </c>
    </row>
    <row r="2079" spans="1:2">
      <c r="A2079" s="800" t="s">
        <v>2785</v>
      </c>
      <c r="B2079" s="801">
        <v>31364035000</v>
      </c>
    </row>
    <row r="2080" spans="1:2">
      <c r="A2080" s="800" t="s">
        <v>2784</v>
      </c>
      <c r="B2080" s="801">
        <v>31364036000</v>
      </c>
    </row>
    <row r="2081" spans="1:2">
      <c r="A2081" s="800" t="s">
        <v>2783</v>
      </c>
      <c r="B2081" s="801">
        <v>31364037000</v>
      </c>
    </row>
    <row r="2082" spans="1:2">
      <c r="A2082" s="800" t="s">
        <v>2782</v>
      </c>
      <c r="B2082" s="801">
        <v>31364038000</v>
      </c>
    </row>
    <row r="2083" spans="1:2">
      <c r="A2083" s="800" t="s">
        <v>2781</v>
      </c>
      <c r="B2083" s="801">
        <v>31364038101</v>
      </c>
    </row>
    <row r="2084" spans="1:2">
      <c r="A2084" s="800" t="s">
        <v>2780</v>
      </c>
      <c r="B2084" s="801">
        <v>31364039000</v>
      </c>
    </row>
    <row r="2085" spans="1:2">
      <c r="A2085" s="800" t="s">
        <v>2779</v>
      </c>
      <c r="B2085" s="801">
        <v>31364039101</v>
      </c>
    </row>
    <row r="2086" spans="1:2">
      <c r="A2086" s="800" t="s">
        <v>2778</v>
      </c>
      <c r="B2086" s="801">
        <v>31364039102</v>
      </c>
    </row>
    <row r="2087" spans="1:2">
      <c r="A2087" s="800" t="s">
        <v>2777</v>
      </c>
      <c r="B2087" s="801">
        <v>31364039103</v>
      </c>
    </row>
    <row r="2088" spans="1:2">
      <c r="A2088" s="800" t="s">
        <v>2776</v>
      </c>
      <c r="B2088" s="801">
        <v>31364039104</v>
      </c>
    </row>
    <row r="2089" spans="1:2">
      <c r="A2089" s="800" t="s">
        <v>2775</v>
      </c>
      <c r="B2089" s="801">
        <v>31364039105</v>
      </c>
    </row>
    <row r="2090" spans="1:2">
      <c r="A2090" s="800" t="s">
        <v>2774</v>
      </c>
      <c r="B2090" s="801">
        <v>31364040000</v>
      </c>
    </row>
    <row r="2091" spans="1:2">
      <c r="A2091" s="800" t="s">
        <v>2773</v>
      </c>
      <c r="B2091" s="801">
        <v>31364041000</v>
      </c>
    </row>
    <row r="2092" spans="1:2">
      <c r="A2092" s="800" t="s">
        <v>2772</v>
      </c>
      <c r="B2092" s="801">
        <v>31364041101</v>
      </c>
    </row>
    <row r="2093" spans="1:2">
      <c r="A2093" s="800" t="s">
        <v>2771</v>
      </c>
      <c r="B2093" s="801">
        <v>31364042000</v>
      </c>
    </row>
    <row r="2094" spans="1:2">
      <c r="A2094" s="800" t="s">
        <v>2770</v>
      </c>
      <c r="B2094" s="801">
        <v>31364043000</v>
      </c>
    </row>
    <row r="2095" spans="1:2">
      <c r="A2095" s="800" t="s">
        <v>2769</v>
      </c>
      <c r="B2095" s="801">
        <v>31364044000</v>
      </c>
    </row>
    <row r="2096" spans="1:2">
      <c r="A2096" s="800" t="s">
        <v>2768</v>
      </c>
      <c r="B2096" s="801">
        <v>31364044101</v>
      </c>
    </row>
    <row r="2097" spans="1:2">
      <c r="A2097" s="800" t="s">
        <v>2767</v>
      </c>
      <c r="B2097" s="801">
        <v>31364045000</v>
      </c>
    </row>
    <row r="2098" spans="1:2">
      <c r="A2098" s="800" t="s">
        <v>2766</v>
      </c>
      <c r="B2098" s="801">
        <v>31364046000</v>
      </c>
    </row>
    <row r="2099" spans="1:2">
      <c r="A2099" s="800" t="s">
        <v>2765</v>
      </c>
      <c r="B2099" s="801">
        <v>31364046101</v>
      </c>
    </row>
    <row r="2100" spans="1:2">
      <c r="A2100" s="800" t="s">
        <v>2764</v>
      </c>
      <c r="B2100" s="801">
        <v>31364047000</v>
      </c>
    </row>
    <row r="2101" spans="1:2">
      <c r="A2101" s="800" t="s">
        <v>2763</v>
      </c>
      <c r="B2101" s="801">
        <v>31365000000</v>
      </c>
    </row>
    <row r="2102" spans="1:2">
      <c r="A2102" s="800" t="s">
        <v>2762</v>
      </c>
      <c r="B2102" s="801">
        <v>31365001000</v>
      </c>
    </row>
    <row r="2103" spans="1:2">
      <c r="A2103" s="800" t="s">
        <v>2761</v>
      </c>
      <c r="B2103" s="801">
        <v>31365002000</v>
      </c>
    </row>
    <row r="2104" spans="1:2">
      <c r="A2104" s="800" t="s">
        <v>2760</v>
      </c>
      <c r="B2104" s="801">
        <v>31365002101</v>
      </c>
    </row>
    <row r="2105" spans="1:2">
      <c r="A2105" s="800" t="s">
        <v>2759</v>
      </c>
      <c r="B2105" s="801">
        <v>31365002102</v>
      </c>
    </row>
    <row r="2106" spans="1:2">
      <c r="A2106" s="800" t="s">
        <v>2758</v>
      </c>
      <c r="B2106" s="801">
        <v>31365002103</v>
      </c>
    </row>
    <row r="2107" spans="1:2">
      <c r="A2107" s="800" t="s">
        <v>2757</v>
      </c>
      <c r="B2107" s="801">
        <v>31365003000</v>
      </c>
    </row>
    <row r="2108" spans="1:2">
      <c r="A2108" s="800" t="s">
        <v>2756</v>
      </c>
      <c r="B2108" s="801">
        <v>31365003101</v>
      </c>
    </row>
    <row r="2109" spans="1:2">
      <c r="A2109" s="800" t="s">
        <v>2755</v>
      </c>
      <c r="B2109" s="801">
        <v>31365003102</v>
      </c>
    </row>
    <row r="2110" spans="1:2">
      <c r="A2110" s="800" t="s">
        <v>2754</v>
      </c>
      <c r="B2110" s="801">
        <v>31365003103</v>
      </c>
    </row>
    <row r="2111" spans="1:2">
      <c r="A2111" s="800" t="s">
        <v>2753</v>
      </c>
      <c r="B2111" s="801">
        <v>31365003104</v>
      </c>
    </row>
    <row r="2112" spans="1:2">
      <c r="A2112" s="800" t="s">
        <v>2752</v>
      </c>
      <c r="B2112" s="801">
        <v>31365003105</v>
      </c>
    </row>
    <row r="2113" spans="1:2">
      <c r="A2113" s="800" t="s">
        <v>2751</v>
      </c>
      <c r="B2113" s="801">
        <v>31365003106</v>
      </c>
    </row>
    <row r="2114" spans="1:2">
      <c r="A2114" s="800" t="s">
        <v>2750</v>
      </c>
      <c r="B2114" s="801">
        <v>31365004000</v>
      </c>
    </row>
    <row r="2115" spans="1:2">
      <c r="A2115" s="800" t="s">
        <v>2749</v>
      </c>
      <c r="B2115" s="801">
        <v>31365005000</v>
      </c>
    </row>
    <row r="2116" spans="1:2">
      <c r="A2116" s="800" t="s">
        <v>2748</v>
      </c>
      <c r="B2116" s="801">
        <v>31365006000</v>
      </c>
    </row>
    <row r="2117" spans="1:2">
      <c r="A2117" s="800" t="s">
        <v>2747</v>
      </c>
      <c r="B2117" s="801">
        <v>31365006101</v>
      </c>
    </row>
    <row r="2118" spans="1:2">
      <c r="A2118" s="800" t="s">
        <v>2746</v>
      </c>
      <c r="B2118" s="801">
        <v>31365006102</v>
      </c>
    </row>
    <row r="2119" spans="1:2">
      <c r="A2119" s="800" t="s">
        <v>2745</v>
      </c>
      <c r="B2119" s="801">
        <v>31365006103</v>
      </c>
    </row>
    <row r="2120" spans="1:2">
      <c r="A2120" s="800" t="s">
        <v>2744</v>
      </c>
      <c r="B2120" s="801">
        <v>31365006104</v>
      </c>
    </row>
    <row r="2121" spans="1:2">
      <c r="A2121" s="800" t="s">
        <v>2743</v>
      </c>
      <c r="B2121" s="801">
        <v>31365006105</v>
      </c>
    </row>
    <row r="2122" spans="1:2">
      <c r="A2122" s="800" t="s">
        <v>2742</v>
      </c>
      <c r="B2122" s="801">
        <v>31365006106</v>
      </c>
    </row>
    <row r="2123" spans="1:2">
      <c r="A2123" s="800" t="s">
        <v>2741</v>
      </c>
      <c r="B2123" s="801">
        <v>31365007000</v>
      </c>
    </row>
    <row r="2124" spans="1:2">
      <c r="A2124" s="800" t="s">
        <v>2740</v>
      </c>
      <c r="B2124" s="801">
        <v>31365008000</v>
      </c>
    </row>
    <row r="2125" spans="1:2">
      <c r="A2125" s="800" t="s">
        <v>2739</v>
      </c>
      <c r="B2125" s="801">
        <v>31365009000</v>
      </c>
    </row>
    <row r="2126" spans="1:2">
      <c r="A2126" s="800" t="s">
        <v>2738</v>
      </c>
      <c r="B2126" s="801">
        <v>31365010000</v>
      </c>
    </row>
    <row r="2127" spans="1:2">
      <c r="A2127" s="800" t="s">
        <v>2737</v>
      </c>
      <c r="B2127" s="801">
        <v>31365010101</v>
      </c>
    </row>
    <row r="2128" spans="1:2">
      <c r="A2128" s="800" t="s">
        <v>2736</v>
      </c>
      <c r="B2128" s="801">
        <v>31365010102</v>
      </c>
    </row>
    <row r="2129" spans="1:2">
      <c r="A2129" s="800" t="s">
        <v>2735</v>
      </c>
      <c r="B2129" s="801">
        <v>31365010103</v>
      </c>
    </row>
    <row r="2130" spans="1:2">
      <c r="A2130" s="800" t="s">
        <v>2734</v>
      </c>
      <c r="B2130" s="801">
        <v>31365011000</v>
      </c>
    </row>
    <row r="2131" spans="1:2">
      <c r="A2131" s="800" t="s">
        <v>2733</v>
      </c>
      <c r="B2131" s="801">
        <v>31365011101</v>
      </c>
    </row>
    <row r="2132" spans="1:2">
      <c r="A2132" s="800" t="s">
        <v>2732</v>
      </c>
      <c r="B2132" s="801">
        <v>31365011102</v>
      </c>
    </row>
    <row r="2133" spans="1:2">
      <c r="A2133" s="800" t="s">
        <v>2731</v>
      </c>
      <c r="B2133" s="801">
        <v>31365011103</v>
      </c>
    </row>
    <row r="2134" spans="1:2">
      <c r="A2134" s="800" t="s">
        <v>2730</v>
      </c>
      <c r="B2134" s="801">
        <v>31365011104</v>
      </c>
    </row>
    <row r="2135" spans="1:2">
      <c r="A2135" s="800" t="s">
        <v>2729</v>
      </c>
      <c r="B2135" s="801">
        <v>31365011105</v>
      </c>
    </row>
    <row r="2136" spans="1:2">
      <c r="A2136" s="800" t="s">
        <v>2728</v>
      </c>
      <c r="B2136" s="801">
        <v>31365012000</v>
      </c>
    </row>
    <row r="2137" spans="1:2">
      <c r="A2137" s="800" t="s">
        <v>2727</v>
      </c>
      <c r="B2137" s="801">
        <v>31365012101</v>
      </c>
    </row>
    <row r="2138" spans="1:2">
      <c r="A2138" s="800" t="s">
        <v>2726</v>
      </c>
      <c r="B2138" s="801">
        <v>31365012102</v>
      </c>
    </row>
    <row r="2139" spans="1:2">
      <c r="A2139" s="800" t="s">
        <v>2725</v>
      </c>
      <c r="B2139" s="801">
        <v>31365013000</v>
      </c>
    </row>
    <row r="2140" spans="1:2">
      <c r="A2140" s="800" t="s">
        <v>2724</v>
      </c>
      <c r="B2140" s="801">
        <v>31365013101</v>
      </c>
    </row>
    <row r="2141" spans="1:2">
      <c r="A2141" s="800" t="s">
        <v>2723</v>
      </c>
      <c r="B2141" s="801">
        <v>31365013102</v>
      </c>
    </row>
    <row r="2142" spans="1:2">
      <c r="A2142" s="800" t="s">
        <v>2722</v>
      </c>
      <c r="B2142" s="801">
        <v>31365013103</v>
      </c>
    </row>
    <row r="2143" spans="1:2">
      <c r="A2143" s="800" t="s">
        <v>2721</v>
      </c>
      <c r="B2143" s="801">
        <v>31365013104</v>
      </c>
    </row>
    <row r="2144" spans="1:2">
      <c r="A2144" s="800" t="s">
        <v>2720</v>
      </c>
      <c r="B2144" s="801">
        <v>31365013105</v>
      </c>
    </row>
    <row r="2145" spans="1:2">
      <c r="A2145" s="800" t="s">
        <v>2719</v>
      </c>
      <c r="B2145" s="801">
        <v>31365014000</v>
      </c>
    </row>
    <row r="2146" spans="1:2">
      <c r="A2146" s="800" t="s">
        <v>2718</v>
      </c>
      <c r="B2146" s="801">
        <v>31366000000</v>
      </c>
    </row>
    <row r="2147" spans="1:2">
      <c r="A2147" s="800" t="s">
        <v>2717</v>
      </c>
      <c r="B2147" s="801">
        <v>31366001000</v>
      </c>
    </row>
    <row r="2148" spans="1:2">
      <c r="A2148" s="800" t="s">
        <v>2716</v>
      </c>
      <c r="B2148" s="801">
        <v>31366001101</v>
      </c>
    </row>
    <row r="2149" spans="1:2">
      <c r="A2149" s="800" t="s">
        <v>2715</v>
      </c>
      <c r="B2149" s="801">
        <v>31366001102</v>
      </c>
    </row>
    <row r="2150" spans="1:2">
      <c r="A2150" s="800" t="s">
        <v>2714</v>
      </c>
      <c r="B2150" s="801">
        <v>31366001103</v>
      </c>
    </row>
    <row r="2151" spans="1:2">
      <c r="A2151" s="800" t="s">
        <v>2713</v>
      </c>
      <c r="B2151" s="801">
        <v>31366001104</v>
      </c>
    </row>
    <row r="2152" spans="1:2">
      <c r="A2152" s="800" t="s">
        <v>2712</v>
      </c>
      <c r="B2152" s="801">
        <v>31366002000</v>
      </c>
    </row>
    <row r="2153" spans="1:2">
      <c r="A2153" s="800" t="s">
        <v>2711</v>
      </c>
      <c r="B2153" s="801">
        <v>31366003000</v>
      </c>
    </row>
    <row r="2154" spans="1:2">
      <c r="A2154" s="800" t="s">
        <v>2710</v>
      </c>
      <c r="B2154" s="801">
        <v>31366003101</v>
      </c>
    </row>
    <row r="2155" spans="1:2">
      <c r="A2155" s="800" t="s">
        <v>2709</v>
      </c>
      <c r="B2155" s="801">
        <v>31366003102</v>
      </c>
    </row>
    <row r="2156" spans="1:2">
      <c r="A2156" s="800" t="s">
        <v>2708</v>
      </c>
      <c r="B2156" s="801">
        <v>31366004000</v>
      </c>
    </row>
    <row r="2157" spans="1:2">
      <c r="A2157" s="800" t="s">
        <v>2707</v>
      </c>
      <c r="B2157" s="801">
        <v>31366004101</v>
      </c>
    </row>
    <row r="2158" spans="1:2">
      <c r="A2158" s="800" t="s">
        <v>2706</v>
      </c>
      <c r="B2158" s="801">
        <v>31366005000</v>
      </c>
    </row>
    <row r="2159" spans="1:2">
      <c r="A2159" s="800" t="s">
        <v>2705</v>
      </c>
      <c r="B2159" s="801">
        <v>31366005101</v>
      </c>
    </row>
    <row r="2160" spans="1:2">
      <c r="A2160" s="800" t="s">
        <v>2704</v>
      </c>
      <c r="B2160" s="801">
        <v>31366006000</v>
      </c>
    </row>
    <row r="2161" spans="1:2">
      <c r="A2161" s="800" t="s">
        <v>2703</v>
      </c>
      <c r="B2161" s="801">
        <v>31366007000</v>
      </c>
    </row>
    <row r="2162" spans="1:2">
      <c r="A2162" s="800" t="s">
        <v>2702</v>
      </c>
      <c r="B2162" s="801">
        <v>31366008000</v>
      </c>
    </row>
    <row r="2163" spans="1:2">
      <c r="A2163" s="800" t="s">
        <v>2701</v>
      </c>
      <c r="B2163" s="801">
        <v>31366009000</v>
      </c>
    </row>
    <row r="2164" spans="1:2">
      <c r="A2164" s="800" t="s">
        <v>2700</v>
      </c>
      <c r="B2164" s="801">
        <v>31366010000</v>
      </c>
    </row>
    <row r="2165" spans="1:2">
      <c r="A2165" s="800" t="s">
        <v>2699</v>
      </c>
      <c r="B2165" s="801">
        <v>31366010101</v>
      </c>
    </row>
    <row r="2166" spans="1:2">
      <c r="A2166" s="800" t="s">
        <v>2698</v>
      </c>
      <c r="B2166" s="801">
        <v>31366011000</v>
      </c>
    </row>
    <row r="2167" spans="1:2">
      <c r="A2167" s="800" t="s">
        <v>2697</v>
      </c>
      <c r="B2167" s="801">
        <v>31367000000</v>
      </c>
    </row>
    <row r="2168" spans="1:2">
      <c r="A2168" s="800" t="s">
        <v>2696</v>
      </c>
      <c r="B2168" s="801">
        <v>31367001000</v>
      </c>
    </row>
    <row r="2169" spans="1:2">
      <c r="A2169" s="800" t="s">
        <v>2695</v>
      </c>
      <c r="B2169" s="801">
        <v>31367001101</v>
      </c>
    </row>
    <row r="2170" spans="1:2">
      <c r="A2170" s="800" t="s">
        <v>2694</v>
      </c>
      <c r="B2170" s="801">
        <v>31367002000</v>
      </c>
    </row>
    <row r="2171" spans="1:2">
      <c r="A2171" s="800" t="s">
        <v>2693</v>
      </c>
      <c r="B2171" s="801">
        <v>31367003000</v>
      </c>
    </row>
    <row r="2172" spans="1:2">
      <c r="A2172" s="800" t="s">
        <v>2692</v>
      </c>
      <c r="B2172" s="801">
        <v>31367004000</v>
      </c>
    </row>
    <row r="2173" spans="1:2">
      <c r="A2173" s="800" t="s">
        <v>2691</v>
      </c>
      <c r="B2173" s="801">
        <v>31367004101</v>
      </c>
    </row>
    <row r="2174" spans="1:2">
      <c r="A2174" s="800" t="s">
        <v>2690</v>
      </c>
      <c r="B2174" s="801">
        <v>31367005000</v>
      </c>
    </row>
    <row r="2175" spans="1:2">
      <c r="A2175" s="800" t="s">
        <v>2689</v>
      </c>
      <c r="B2175" s="801">
        <v>31367006000</v>
      </c>
    </row>
    <row r="2176" spans="1:2">
      <c r="A2176" s="800" t="s">
        <v>2688</v>
      </c>
      <c r="B2176" s="801">
        <v>31367007000</v>
      </c>
    </row>
    <row r="2177" spans="1:2">
      <c r="A2177" s="800" t="s">
        <v>2687</v>
      </c>
      <c r="B2177" s="801">
        <v>31367008000</v>
      </c>
    </row>
    <row r="2178" spans="1:2">
      <c r="A2178" s="800" t="s">
        <v>2686</v>
      </c>
      <c r="B2178" s="801">
        <v>31367009000</v>
      </c>
    </row>
    <row r="2179" spans="1:2">
      <c r="A2179" s="800" t="s">
        <v>2685</v>
      </c>
      <c r="B2179" s="801">
        <v>31367010000</v>
      </c>
    </row>
    <row r="2180" spans="1:2">
      <c r="A2180" s="800" t="s">
        <v>2684</v>
      </c>
      <c r="B2180" s="801">
        <v>31367011000</v>
      </c>
    </row>
    <row r="2181" spans="1:2">
      <c r="A2181" s="800" t="s">
        <v>2683</v>
      </c>
      <c r="B2181" s="801">
        <v>31367012000</v>
      </c>
    </row>
    <row r="2182" spans="1:2">
      <c r="A2182" s="800" t="s">
        <v>2682</v>
      </c>
      <c r="B2182" s="801">
        <v>31367013000</v>
      </c>
    </row>
    <row r="2183" spans="1:2">
      <c r="A2183" s="800" t="s">
        <v>2681</v>
      </c>
      <c r="B2183" s="801">
        <v>31367014000</v>
      </c>
    </row>
    <row r="2184" spans="1:2">
      <c r="A2184" s="800" t="s">
        <v>2680</v>
      </c>
      <c r="B2184" s="801">
        <v>31367015000</v>
      </c>
    </row>
    <row r="2185" spans="1:2">
      <c r="A2185" s="800" t="s">
        <v>2679</v>
      </c>
      <c r="B2185" s="801">
        <v>31367016000</v>
      </c>
    </row>
    <row r="2186" spans="1:2">
      <c r="A2186" s="800" t="s">
        <v>2678</v>
      </c>
      <c r="B2186" s="801">
        <v>31367017000</v>
      </c>
    </row>
    <row r="2187" spans="1:2">
      <c r="A2187" s="800" t="s">
        <v>2677</v>
      </c>
      <c r="B2187" s="801">
        <v>31367017101</v>
      </c>
    </row>
    <row r="2188" spans="1:2">
      <c r="A2188" s="800" t="s">
        <v>2676</v>
      </c>
      <c r="B2188" s="801">
        <v>31367017102</v>
      </c>
    </row>
    <row r="2189" spans="1:2">
      <c r="A2189" s="800" t="s">
        <v>2675</v>
      </c>
      <c r="B2189" s="801">
        <v>31367017103</v>
      </c>
    </row>
    <row r="2190" spans="1:2">
      <c r="A2190" s="800" t="s">
        <v>2674</v>
      </c>
      <c r="B2190" s="801">
        <v>31368000000</v>
      </c>
    </row>
    <row r="2191" spans="1:2">
      <c r="A2191" s="800" t="s">
        <v>2673</v>
      </c>
      <c r="B2191" s="801">
        <v>31368001000</v>
      </c>
    </row>
    <row r="2192" spans="1:2">
      <c r="A2192" s="800" t="s">
        <v>2672</v>
      </c>
      <c r="B2192" s="801">
        <v>31368002000</v>
      </c>
    </row>
    <row r="2193" spans="1:2">
      <c r="A2193" s="800" t="s">
        <v>2671</v>
      </c>
      <c r="B2193" s="801">
        <v>31368002101</v>
      </c>
    </row>
    <row r="2194" spans="1:2">
      <c r="A2194" s="800" t="s">
        <v>2670</v>
      </c>
      <c r="B2194" s="801">
        <v>31368003000</v>
      </c>
    </row>
    <row r="2195" spans="1:2">
      <c r="A2195" s="800" t="s">
        <v>2669</v>
      </c>
      <c r="B2195" s="801">
        <v>31368003101</v>
      </c>
    </row>
    <row r="2196" spans="1:2">
      <c r="A2196" s="800" t="s">
        <v>2668</v>
      </c>
      <c r="B2196" s="801">
        <v>31368004000</v>
      </c>
    </row>
    <row r="2197" spans="1:2">
      <c r="A2197" s="800" t="s">
        <v>2667</v>
      </c>
      <c r="B2197" s="801">
        <v>31368005000</v>
      </c>
    </row>
    <row r="2198" spans="1:2">
      <c r="A2198" s="800" t="s">
        <v>2666</v>
      </c>
      <c r="B2198" s="801">
        <v>31368006000</v>
      </c>
    </row>
    <row r="2199" spans="1:2">
      <c r="A2199" s="800" t="s">
        <v>2665</v>
      </c>
      <c r="B2199" s="801">
        <v>31368007000</v>
      </c>
    </row>
    <row r="2200" spans="1:2">
      <c r="A2200" s="800" t="s">
        <v>2664</v>
      </c>
      <c r="B2200" s="801">
        <v>31368008000</v>
      </c>
    </row>
    <row r="2201" spans="1:2">
      <c r="A2201" s="800" t="s">
        <v>2663</v>
      </c>
      <c r="B2201" s="801">
        <v>31368008101</v>
      </c>
    </row>
    <row r="2202" spans="1:2">
      <c r="A2202" s="800" t="s">
        <v>2662</v>
      </c>
      <c r="B2202" s="801">
        <v>31368008102</v>
      </c>
    </row>
    <row r="2203" spans="1:2">
      <c r="A2203" s="800" t="s">
        <v>2661</v>
      </c>
      <c r="B2203" s="801">
        <v>31368009000</v>
      </c>
    </row>
    <row r="2204" spans="1:2">
      <c r="A2204" s="800" t="s">
        <v>2660</v>
      </c>
      <c r="B2204" s="801">
        <v>31368009101</v>
      </c>
    </row>
    <row r="2205" spans="1:2">
      <c r="A2205" s="800" t="s">
        <v>2659</v>
      </c>
      <c r="B2205" s="801">
        <v>31368010000</v>
      </c>
    </row>
    <row r="2206" spans="1:2">
      <c r="A2206" s="800" t="s">
        <v>2658</v>
      </c>
      <c r="B2206" s="801">
        <v>31368010101</v>
      </c>
    </row>
    <row r="2207" spans="1:2">
      <c r="A2207" s="800" t="s">
        <v>2657</v>
      </c>
      <c r="B2207" s="801">
        <v>31368010102</v>
      </c>
    </row>
    <row r="2208" spans="1:2">
      <c r="A2208" s="800" t="s">
        <v>2656</v>
      </c>
      <c r="B2208" s="801">
        <v>31368011000</v>
      </c>
    </row>
    <row r="2209" spans="1:2">
      <c r="A2209" s="800" t="s">
        <v>2655</v>
      </c>
      <c r="B2209" s="801">
        <v>31368011101</v>
      </c>
    </row>
    <row r="2210" spans="1:2">
      <c r="A2210" s="800" t="s">
        <v>2654</v>
      </c>
      <c r="B2210" s="801">
        <v>31368011102</v>
      </c>
    </row>
    <row r="2211" spans="1:2">
      <c r="A2211" s="800" t="s">
        <v>2653</v>
      </c>
      <c r="B2211" s="801">
        <v>31368012000</v>
      </c>
    </row>
    <row r="2212" spans="1:2">
      <c r="A2212" s="800" t="s">
        <v>2652</v>
      </c>
      <c r="B2212" s="801">
        <v>31368012101</v>
      </c>
    </row>
    <row r="2213" spans="1:2">
      <c r="A2213" s="800" t="s">
        <v>2651</v>
      </c>
      <c r="B2213" s="801">
        <v>31368013000</v>
      </c>
    </row>
    <row r="2214" spans="1:2">
      <c r="A2214" s="800" t="s">
        <v>2650</v>
      </c>
      <c r="B2214" s="801">
        <v>31368013101</v>
      </c>
    </row>
    <row r="2215" spans="1:2">
      <c r="A2215" s="800" t="s">
        <v>2649</v>
      </c>
      <c r="B2215" s="801">
        <v>31368014000</v>
      </c>
    </row>
    <row r="2216" spans="1:2">
      <c r="A2216" s="800" t="s">
        <v>2648</v>
      </c>
      <c r="B2216" s="801">
        <v>31368015000</v>
      </c>
    </row>
    <row r="2217" spans="1:2">
      <c r="A2217" s="800" t="s">
        <v>2647</v>
      </c>
      <c r="B2217" s="801">
        <v>31368016000</v>
      </c>
    </row>
    <row r="2218" spans="1:2">
      <c r="A2218" s="800" t="s">
        <v>2646</v>
      </c>
      <c r="B2218" s="801">
        <v>31368016101</v>
      </c>
    </row>
    <row r="2219" spans="1:2">
      <c r="A2219" s="800" t="s">
        <v>2645</v>
      </c>
      <c r="B2219" s="801">
        <v>31368016102</v>
      </c>
    </row>
    <row r="2220" spans="1:2">
      <c r="A2220" s="800" t="s">
        <v>2644</v>
      </c>
      <c r="B2220" s="801">
        <v>31368016103</v>
      </c>
    </row>
    <row r="2221" spans="1:2">
      <c r="A2221" s="800" t="s">
        <v>2643</v>
      </c>
      <c r="B2221" s="801">
        <v>31368017000</v>
      </c>
    </row>
    <row r="2222" spans="1:2">
      <c r="A2222" s="800" t="s">
        <v>2642</v>
      </c>
      <c r="B2222" s="801">
        <v>31368018000</v>
      </c>
    </row>
    <row r="2223" spans="1:2">
      <c r="A2223" s="800" t="s">
        <v>2641</v>
      </c>
      <c r="B2223" s="801">
        <v>31368018101</v>
      </c>
    </row>
    <row r="2224" spans="1:2">
      <c r="A2224" s="800" t="s">
        <v>2640</v>
      </c>
      <c r="B2224" s="801">
        <v>31368019000</v>
      </c>
    </row>
    <row r="2225" spans="1:2">
      <c r="A2225" s="800" t="s">
        <v>2639</v>
      </c>
      <c r="B2225" s="801">
        <v>31368020000</v>
      </c>
    </row>
    <row r="2226" spans="1:2">
      <c r="A2226" s="800" t="s">
        <v>2638</v>
      </c>
      <c r="B2226" s="801">
        <v>31368021000</v>
      </c>
    </row>
    <row r="2227" spans="1:2">
      <c r="A2227" s="800" t="s">
        <v>2637</v>
      </c>
      <c r="B2227" s="801">
        <v>31368022000</v>
      </c>
    </row>
    <row r="2228" spans="1:2">
      <c r="A2228" s="800" t="s">
        <v>2636</v>
      </c>
      <c r="B2228" s="801">
        <v>31368023000</v>
      </c>
    </row>
    <row r="2229" spans="1:2">
      <c r="A2229" s="800" t="s">
        <v>2635</v>
      </c>
      <c r="B2229" s="801">
        <v>31368023101</v>
      </c>
    </row>
    <row r="2230" spans="1:2">
      <c r="A2230" s="800" t="s">
        <v>2634</v>
      </c>
      <c r="B2230" s="801">
        <v>31368024000</v>
      </c>
    </row>
    <row r="2231" spans="1:2">
      <c r="A2231" s="800" t="s">
        <v>2633</v>
      </c>
      <c r="B2231" s="801">
        <v>31368025000</v>
      </c>
    </row>
    <row r="2232" spans="1:2">
      <c r="A2232" s="800" t="s">
        <v>2632</v>
      </c>
      <c r="B2232" s="801">
        <v>31368026000</v>
      </c>
    </row>
    <row r="2233" spans="1:2">
      <c r="A2233" s="800" t="s">
        <v>2631</v>
      </c>
      <c r="B2233" s="801">
        <v>31368027000</v>
      </c>
    </row>
    <row r="2234" spans="1:2">
      <c r="A2234" s="800" t="s">
        <v>2630</v>
      </c>
      <c r="B2234" s="801">
        <v>31368027101</v>
      </c>
    </row>
    <row r="2235" spans="1:2">
      <c r="A2235" s="800" t="s">
        <v>2629</v>
      </c>
      <c r="B2235" s="801">
        <v>31368027102</v>
      </c>
    </row>
    <row r="2236" spans="1:2">
      <c r="A2236" s="800" t="s">
        <v>2628</v>
      </c>
      <c r="B2236" s="801">
        <v>31368028000</v>
      </c>
    </row>
    <row r="2237" spans="1:2">
      <c r="A2237" s="800" t="s">
        <v>2627</v>
      </c>
      <c r="B2237" s="801">
        <v>31368028101</v>
      </c>
    </row>
    <row r="2238" spans="1:2">
      <c r="A2238" s="800" t="s">
        <v>2626</v>
      </c>
      <c r="B2238" s="801">
        <v>31368029000</v>
      </c>
    </row>
    <row r="2239" spans="1:2">
      <c r="A2239" s="800" t="s">
        <v>2625</v>
      </c>
      <c r="B2239" s="801">
        <v>31368029101</v>
      </c>
    </row>
    <row r="2240" spans="1:2">
      <c r="A2240" s="800" t="s">
        <v>2624</v>
      </c>
      <c r="B2240" s="801">
        <v>31368029102</v>
      </c>
    </row>
    <row r="2241" spans="1:2">
      <c r="A2241" s="800" t="s">
        <v>2623</v>
      </c>
      <c r="B2241" s="801">
        <v>31368030000</v>
      </c>
    </row>
    <row r="2242" spans="1:2">
      <c r="A2242" s="800" t="s">
        <v>2622</v>
      </c>
      <c r="B2242" s="801">
        <v>31368031000</v>
      </c>
    </row>
    <row r="2243" spans="1:2">
      <c r="A2243" s="800" t="s">
        <v>2621</v>
      </c>
      <c r="B2243" s="801">
        <v>31368032000</v>
      </c>
    </row>
    <row r="2244" spans="1:2">
      <c r="A2244" s="800" t="s">
        <v>2620</v>
      </c>
      <c r="B2244" s="801">
        <v>31368033000</v>
      </c>
    </row>
    <row r="2245" spans="1:2">
      <c r="A2245" s="800" t="s">
        <v>2619</v>
      </c>
      <c r="B2245" s="801">
        <v>31368034000</v>
      </c>
    </row>
    <row r="2246" spans="1:2">
      <c r="A2246" s="800" t="s">
        <v>2618</v>
      </c>
      <c r="B2246" s="801">
        <v>31368035000</v>
      </c>
    </row>
    <row r="2247" spans="1:2">
      <c r="A2247" s="800" t="s">
        <v>2617</v>
      </c>
      <c r="B2247" s="801">
        <v>31368035101</v>
      </c>
    </row>
    <row r="2248" spans="1:2">
      <c r="A2248" s="800" t="s">
        <v>2616</v>
      </c>
      <c r="B2248" s="801">
        <v>31368035102</v>
      </c>
    </row>
    <row r="2249" spans="1:2">
      <c r="A2249" s="800" t="s">
        <v>2615</v>
      </c>
      <c r="B2249" s="801">
        <v>31368035103</v>
      </c>
    </row>
    <row r="2250" spans="1:2">
      <c r="A2250" s="800" t="s">
        <v>2614</v>
      </c>
      <c r="B2250" s="801">
        <v>31368036000</v>
      </c>
    </row>
    <row r="2251" spans="1:2">
      <c r="A2251" s="800" t="s">
        <v>2613</v>
      </c>
      <c r="B2251" s="801">
        <v>31369000000</v>
      </c>
    </row>
    <row r="2252" spans="1:2">
      <c r="A2252" s="800" t="s">
        <v>2612</v>
      </c>
      <c r="B2252" s="801">
        <v>31369001000</v>
      </c>
    </row>
    <row r="2253" spans="1:2">
      <c r="A2253" s="800" t="s">
        <v>2611</v>
      </c>
      <c r="B2253" s="801">
        <v>31369001101</v>
      </c>
    </row>
    <row r="2254" spans="1:2">
      <c r="A2254" s="800" t="s">
        <v>2610</v>
      </c>
      <c r="B2254" s="801">
        <v>31369001102</v>
      </c>
    </row>
    <row r="2255" spans="1:2">
      <c r="A2255" s="800" t="s">
        <v>2609</v>
      </c>
      <c r="B2255" s="801">
        <v>31369001103</v>
      </c>
    </row>
    <row r="2256" spans="1:2">
      <c r="A2256" s="800" t="s">
        <v>2608</v>
      </c>
      <c r="B2256" s="801">
        <v>31369001104</v>
      </c>
    </row>
    <row r="2257" spans="1:2">
      <c r="A2257" s="800" t="s">
        <v>2607</v>
      </c>
      <c r="B2257" s="801">
        <v>31369001105</v>
      </c>
    </row>
    <row r="2258" spans="1:2">
      <c r="A2258" s="800" t="s">
        <v>2606</v>
      </c>
      <c r="B2258" s="801">
        <v>31369001106</v>
      </c>
    </row>
    <row r="2259" spans="1:2">
      <c r="A2259" s="800" t="s">
        <v>2605</v>
      </c>
      <c r="B2259" s="801">
        <v>31369001107</v>
      </c>
    </row>
    <row r="2260" spans="1:2">
      <c r="A2260" s="800" t="s">
        <v>2604</v>
      </c>
      <c r="B2260" s="801">
        <v>31369001108</v>
      </c>
    </row>
    <row r="2261" spans="1:2">
      <c r="A2261" s="800" t="s">
        <v>2603</v>
      </c>
      <c r="B2261" s="801">
        <v>31369001109</v>
      </c>
    </row>
    <row r="2262" spans="1:2">
      <c r="A2262" s="800" t="s">
        <v>2602</v>
      </c>
      <c r="B2262" s="801">
        <v>31369001110</v>
      </c>
    </row>
    <row r="2263" spans="1:2">
      <c r="A2263" s="800" t="s">
        <v>2601</v>
      </c>
      <c r="B2263" s="801">
        <v>31369001111</v>
      </c>
    </row>
    <row r="2264" spans="1:2">
      <c r="A2264" s="800" t="s">
        <v>2600</v>
      </c>
      <c r="B2264" s="801">
        <v>31369001112</v>
      </c>
    </row>
    <row r="2265" spans="1:2">
      <c r="A2265" s="800" t="s">
        <v>2599</v>
      </c>
      <c r="B2265" s="801">
        <v>31369001113</v>
      </c>
    </row>
    <row r="2266" spans="1:2">
      <c r="A2266" s="800" t="s">
        <v>2598</v>
      </c>
      <c r="B2266" s="801">
        <v>31369001114</v>
      </c>
    </row>
    <row r="2267" spans="1:2">
      <c r="A2267" s="800" t="s">
        <v>2597</v>
      </c>
      <c r="B2267" s="801">
        <v>31369001115</v>
      </c>
    </row>
    <row r="2268" spans="1:2">
      <c r="A2268" s="800" t="s">
        <v>2596</v>
      </c>
      <c r="B2268" s="801">
        <v>31369001116</v>
      </c>
    </row>
    <row r="2269" spans="1:2">
      <c r="A2269" s="800" t="s">
        <v>2595</v>
      </c>
      <c r="B2269" s="801">
        <v>31369001117</v>
      </c>
    </row>
    <row r="2270" spans="1:2">
      <c r="A2270" s="800" t="s">
        <v>2594</v>
      </c>
      <c r="B2270" s="801">
        <v>31369001118</v>
      </c>
    </row>
    <row r="2271" spans="1:2">
      <c r="A2271" s="800" t="s">
        <v>2593</v>
      </c>
      <c r="B2271" s="801">
        <v>31369001119</v>
      </c>
    </row>
    <row r="2272" spans="1:2">
      <c r="A2272" s="800" t="s">
        <v>2592</v>
      </c>
      <c r="B2272" s="801">
        <v>31369001120</v>
      </c>
    </row>
    <row r="2273" spans="1:2">
      <c r="A2273" s="800" t="s">
        <v>2591</v>
      </c>
      <c r="B2273" s="801">
        <v>31369002000</v>
      </c>
    </row>
    <row r="2274" spans="1:2">
      <c r="A2274" s="800" t="s">
        <v>2590</v>
      </c>
      <c r="B2274" s="801">
        <v>31369002101</v>
      </c>
    </row>
    <row r="2275" spans="1:2">
      <c r="A2275" s="800" t="s">
        <v>2589</v>
      </c>
      <c r="B2275" s="801">
        <v>31369002102</v>
      </c>
    </row>
    <row r="2276" spans="1:2">
      <c r="A2276" s="800" t="s">
        <v>2588</v>
      </c>
      <c r="B2276" s="801">
        <v>31369002103</v>
      </c>
    </row>
    <row r="2277" spans="1:2">
      <c r="A2277" s="800" t="s">
        <v>2587</v>
      </c>
      <c r="B2277" s="801">
        <v>31369002104</v>
      </c>
    </row>
    <row r="2278" spans="1:2">
      <c r="A2278" s="800" t="s">
        <v>2586</v>
      </c>
      <c r="B2278" s="801">
        <v>31369002105</v>
      </c>
    </row>
    <row r="2279" spans="1:2">
      <c r="A2279" s="800" t="s">
        <v>2585</v>
      </c>
      <c r="B2279" s="801">
        <v>31369002106</v>
      </c>
    </row>
    <row r="2280" spans="1:2">
      <c r="A2280" s="800" t="s">
        <v>2584</v>
      </c>
      <c r="B2280" s="801">
        <v>31369002107</v>
      </c>
    </row>
    <row r="2281" spans="1:2">
      <c r="A2281" s="800" t="s">
        <v>2583</v>
      </c>
      <c r="B2281" s="801">
        <v>31369002108</v>
      </c>
    </row>
    <row r="2282" spans="1:2">
      <c r="A2282" s="800" t="s">
        <v>2582</v>
      </c>
      <c r="B2282" s="801">
        <v>31369002109</v>
      </c>
    </row>
    <row r="2283" spans="1:2">
      <c r="A2283" s="800" t="s">
        <v>2581</v>
      </c>
      <c r="B2283" s="801">
        <v>31369002110</v>
      </c>
    </row>
    <row r="2284" spans="1:2">
      <c r="A2284" s="800" t="s">
        <v>2580</v>
      </c>
      <c r="B2284" s="801">
        <v>31369002111</v>
      </c>
    </row>
    <row r="2285" spans="1:2">
      <c r="A2285" s="800" t="s">
        <v>2579</v>
      </c>
      <c r="B2285" s="801">
        <v>31369003000</v>
      </c>
    </row>
    <row r="2286" spans="1:2">
      <c r="A2286" s="800" t="s">
        <v>2578</v>
      </c>
      <c r="B2286" s="801">
        <v>31369004000</v>
      </c>
    </row>
    <row r="2287" spans="1:2">
      <c r="A2287" s="800" t="s">
        <v>2577</v>
      </c>
      <c r="B2287" s="801">
        <v>31369004101</v>
      </c>
    </row>
    <row r="2288" spans="1:2">
      <c r="A2288" s="800" t="s">
        <v>2576</v>
      </c>
      <c r="B2288" s="801">
        <v>31369004102</v>
      </c>
    </row>
    <row r="2289" spans="1:2">
      <c r="A2289" s="800" t="s">
        <v>2575</v>
      </c>
      <c r="B2289" s="801">
        <v>31369005000</v>
      </c>
    </row>
    <row r="2290" spans="1:2">
      <c r="A2290" s="800" t="s">
        <v>2574</v>
      </c>
      <c r="B2290" s="801">
        <v>31369006000</v>
      </c>
    </row>
    <row r="2291" spans="1:2">
      <c r="A2291" s="800" t="s">
        <v>2573</v>
      </c>
      <c r="B2291" s="801">
        <v>31369006101</v>
      </c>
    </row>
    <row r="2292" spans="1:2">
      <c r="A2292" s="800" t="s">
        <v>2572</v>
      </c>
      <c r="B2292" s="801">
        <v>31369006102</v>
      </c>
    </row>
    <row r="2293" spans="1:2">
      <c r="A2293" s="800" t="s">
        <v>2571</v>
      </c>
      <c r="B2293" s="801">
        <v>31369007000</v>
      </c>
    </row>
    <row r="2294" spans="1:2">
      <c r="A2294" s="800" t="s">
        <v>2570</v>
      </c>
      <c r="B2294" s="801">
        <v>31369008000</v>
      </c>
    </row>
    <row r="2295" spans="1:2">
      <c r="A2295" s="800" t="s">
        <v>2569</v>
      </c>
      <c r="B2295" s="801">
        <v>31369008101</v>
      </c>
    </row>
    <row r="2296" spans="1:2">
      <c r="A2296" s="800" t="s">
        <v>2568</v>
      </c>
      <c r="B2296" s="801">
        <v>31369009000</v>
      </c>
    </row>
    <row r="2297" spans="1:2">
      <c r="A2297" s="800" t="s">
        <v>2567</v>
      </c>
      <c r="B2297" s="801">
        <v>31369009101</v>
      </c>
    </row>
    <row r="2298" spans="1:2">
      <c r="A2298" s="800" t="s">
        <v>2566</v>
      </c>
      <c r="B2298" s="801">
        <v>31369009102</v>
      </c>
    </row>
    <row r="2299" spans="1:2">
      <c r="A2299" s="800" t="s">
        <v>2565</v>
      </c>
      <c r="B2299" s="801">
        <v>31369010000</v>
      </c>
    </row>
    <row r="2300" spans="1:2">
      <c r="A2300" s="800" t="s">
        <v>2564</v>
      </c>
      <c r="B2300" s="801">
        <v>31369010101</v>
      </c>
    </row>
    <row r="2301" spans="1:2">
      <c r="A2301" s="800" t="s">
        <v>2563</v>
      </c>
      <c r="B2301" s="801">
        <v>31369011000</v>
      </c>
    </row>
    <row r="2302" spans="1:2">
      <c r="A2302" s="800" t="s">
        <v>2562</v>
      </c>
      <c r="B2302" s="801">
        <v>31369011101</v>
      </c>
    </row>
    <row r="2303" spans="1:2">
      <c r="A2303" s="800" t="s">
        <v>2561</v>
      </c>
      <c r="B2303" s="801">
        <v>31369011102</v>
      </c>
    </row>
    <row r="2304" spans="1:2">
      <c r="A2304" s="800" t="s">
        <v>2560</v>
      </c>
      <c r="B2304" s="801">
        <v>31369012000</v>
      </c>
    </row>
    <row r="2305" spans="1:2">
      <c r="A2305" s="800" t="s">
        <v>2559</v>
      </c>
      <c r="B2305" s="801">
        <v>31369012101</v>
      </c>
    </row>
    <row r="2306" spans="1:2">
      <c r="A2306" s="800" t="s">
        <v>2558</v>
      </c>
      <c r="B2306" s="801">
        <v>31369012102</v>
      </c>
    </row>
    <row r="2307" spans="1:2">
      <c r="A2307" s="800" t="s">
        <v>2557</v>
      </c>
      <c r="B2307" s="801">
        <v>31369013000</v>
      </c>
    </row>
    <row r="2308" spans="1:2">
      <c r="A2308" s="800" t="s">
        <v>2556</v>
      </c>
      <c r="B2308" s="801">
        <v>31369013101</v>
      </c>
    </row>
    <row r="2309" spans="1:2">
      <c r="A2309" s="800" t="s">
        <v>2555</v>
      </c>
      <c r="B2309" s="801">
        <v>31369014000</v>
      </c>
    </row>
    <row r="2310" spans="1:2">
      <c r="A2310" s="800" t="s">
        <v>2554</v>
      </c>
      <c r="B2310" s="801">
        <v>31369014101</v>
      </c>
    </row>
    <row r="2311" spans="1:2">
      <c r="A2311" s="800" t="s">
        <v>2553</v>
      </c>
      <c r="B2311" s="801">
        <v>31369014102</v>
      </c>
    </row>
    <row r="2312" spans="1:2">
      <c r="A2312" s="800" t="s">
        <v>2552</v>
      </c>
      <c r="B2312" s="801">
        <v>31369015000</v>
      </c>
    </row>
    <row r="2313" spans="1:2">
      <c r="A2313" s="800" t="s">
        <v>2551</v>
      </c>
      <c r="B2313" s="801">
        <v>31369015101</v>
      </c>
    </row>
    <row r="2314" spans="1:2">
      <c r="A2314" s="800" t="s">
        <v>2550</v>
      </c>
      <c r="B2314" s="801">
        <v>31369015102</v>
      </c>
    </row>
    <row r="2315" spans="1:2">
      <c r="A2315" s="800" t="s">
        <v>2549</v>
      </c>
      <c r="B2315" s="801">
        <v>31369016000</v>
      </c>
    </row>
    <row r="2316" spans="1:2">
      <c r="A2316" s="800" t="s">
        <v>2548</v>
      </c>
      <c r="B2316" s="801">
        <v>31369016101</v>
      </c>
    </row>
    <row r="2317" spans="1:2">
      <c r="A2317" s="800" t="s">
        <v>2547</v>
      </c>
      <c r="B2317" s="801">
        <v>31369017000</v>
      </c>
    </row>
    <row r="2318" spans="1:2">
      <c r="A2318" s="800" t="s">
        <v>2546</v>
      </c>
      <c r="B2318" s="801">
        <v>31369018000</v>
      </c>
    </row>
    <row r="2319" spans="1:2">
      <c r="A2319" s="800" t="s">
        <v>2545</v>
      </c>
      <c r="B2319" s="801">
        <v>31369018101</v>
      </c>
    </row>
    <row r="2320" spans="1:2">
      <c r="A2320" s="800" t="s">
        <v>2544</v>
      </c>
      <c r="B2320" s="801">
        <v>31369019000</v>
      </c>
    </row>
    <row r="2321" spans="1:2">
      <c r="A2321" s="800" t="s">
        <v>2543</v>
      </c>
      <c r="B2321" s="801">
        <v>31369019101</v>
      </c>
    </row>
    <row r="2322" spans="1:2">
      <c r="A2322" s="800" t="s">
        <v>2542</v>
      </c>
      <c r="B2322" s="801">
        <v>31369019102</v>
      </c>
    </row>
    <row r="2323" spans="1:2">
      <c r="A2323" s="800" t="s">
        <v>2541</v>
      </c>
      <c r="B2323" s="801">
        <v>31369020000</v>
      </c>
    </row>
    <row r="2324" spans="1:2">
      <c r="A2324" s="800" t="s">
        <v>2540</v>
      </c>
      <c r="B2324" s="801">
        <v>31370000000</v>
      </c>
    </row>
    <row r="2325" spans="1:2">
      <c r="A2325" s="800" t="s">
        <v>2539</v>
      </c>
      <c r="B2325" s="801">
        <v>31370001000</v>
      </c>
    </row>
    <row r="2326" spans="1:2">
      <c r="A2326" s="800" t="s">
        <v>2538</v>
      </c>
      <c r="B2326" s="801">
        <v>31370002000</v>
      </c>
    </row>
    <row r="2327" spans="1:2">
      <c r="A2327" s="800" t="s">
        <v>2537</v>
      </c>
      <c r="B2327" s="801">
        <v>31370003000</v>
      </c>
    </row>
    <row r="2328" spans="1:2">
      <c r="A2328" s="800" t="s">
        <v>2536</v>
      </c>
      <c r="B2328" s="801">
        <v>31370004000</v>
      </c>
    </row>
    <row r="2329" spans="1:2">
      <c r="A2329" s="800" t="s">
        <v>2535</v>
      </c>
      <c r="B2329" s="801">
        <v>31370005000</v>
      </c>
    </row>
    <row r="2330" spans="1:2">
      <c r="A2330" s="800" t="s">
        <v>2534</v>
      </c>
      <c r="B2330" s="801">
        <v>31370006000</v>
      </c>
    </row>
    <row r="2331" spans="1:2">
      <c r="A2331" s="800" t="s">
        <v>2533</v>
      </c>
      <c r="B2331" s="801">
        <v>31370006101</v>
      </c>
    </row>
    <row r="2332" spans="1:2">
      <c r="A2332" s="800" t="s">
        <v>2532</v>
      </c>
      <c r="B2332" s="801">
        <v>31370007000</v>
      </c>
    </row>
    <row r="2333" spans="1:2">
      <c r="A2333" s="800" t="s">
        <v>2531</v>
      </c>
      <c r="B2333" s="801">
        <v>31370008000</v>
      </c>
    </row>
    <row r="2334" spans="1:2">
      <c r="A2334" s="800" t="s">
        <v>2530</v>
      </c>
      <c r="B2334" s="801">
        <v>31370009000</v>
      </c>
    </row>
    <row r="2335" spans="1:2">
      <c r="A2335" s="800" t="s">
        <v>2529</v>
      </c>
      <c r="B2335" s="801">
        <v>31370010000</v>
      </c>
    </row>
    <row r="2336" spans="1:2">
      <c r="A2336" s="800" t="s">
        <v>2528</v>
      </c>
      <c r="B2336" s="801">
        <v>31370011000</v>
      </c>
    </row>
    <row r="2337" spans="1:2">
      <c r="A2337" s="800" t="s">
        <v>2527</v>
      </c>
      <c r="B2337" s="801">
        <v>31370011101</v>
      </c>
    </row>
    <row r="2338" spans="1:2">
      <c r="A2338" s="800" t="s">
        <v>2526</v>
      </c>
      <c r="B2338" s="801">
        <v>31370012000</v>
      </c>
    </row>
    <row r="2339" spans="1:2">
      <c r="A2339" s="800" t="s">
        <v>2525</v>
      </c>
      <c r="B2339" s="801">
        <v>31370013000</v>
      </c>
    </row>
    <row r="2340" spans="1:2">
      <c r="A2340" s="800" t="s">
        <v>2524</v>
      </c>
      <c r="B2340" s="801">
        <v>31370013101</v>
      </c>
    </row>
    <row r="2341" spans="1:2">
      <c r="A2341" s="800" t="s">
        <v>2523</v>
      </c>
      <c r="B2341" s="801">
        <v>31370014000</v>
      </c>
    </row>
    <row r="2342" spans="1:2">
      <c r="A2342" s="800" t="s">
        <v>2522</v>
      </c>
      <c r="B2342" s="801">
        <v>31370015000</v>
      </c>
    </row>
    <row r="2343" spans="1:2">
      <c r="A2343" s="800" t="s">
        <v>2521</v>
      </c>
      <c r="B2343" s="801">
        <v>31370016000</v>
      </c>
    </row>
    <row r="2344" spans="1:2">
      <c r="A2344" s="800" t="s">
        <v>2520</v>
      </c>
      <c r="B2344" s="801">
        <v>31370017000</v>
      </c>
    </row>
    <row r="2345" spans="1:2">
      <c r="A2345" s="800" t="s">
        <v>2519</v>
      </c>
      <c r="B2345" s="801">
        <v>31370018000</v>
      </c>
    </row>
    <row r="2346" spans="1:2">
      <c r="A2346" s="800" t="s">
        <v>2518</v>
      </c>
      <c r="B2346" s="801">
        <v>31370019000</v>
      </c>
    </row>
    <row r="2347" spans="1:2">
      <c r="A2347" s="800" t="s">
        <v>2517</v>
      </c>
      <c r="B2347" s="801">
        <v>31370020000</v>
      </c>
    </row>
    <row r="2348" spans="1:2">
      <c r="A2348" s="800" t="s">
        <v>2516</v>
      </c>
      <c r="B2348" s="801">
        <v>31370021000</v>
      </c>
    </row>
    <row r="2349" spans="1:2">
      <c r="A2349" s="800" t="s">
        <v>2515</v>
      </c>
      <c r="B2349" s="801">
        <v>31370022000</v>
      </c>
    </row>
    <row r="2350" spans="1:2">
      <c r="A2350" s="800" t="s">
        <v>2514</v>
      </c>
      <c r="B2350" s="801">
        <v>31370023000</v>
      </c>
    </row>
    <row r="2351" spans="1:2">
      <c r="A2351" s="800" t="s">
        <v>2513</v>
      </c>
      <c r="B2351" s="801">
        <v>31370024000</v>
      </c>
    </row>
    <row r="2352" spans="1:2">
      <c r="A2352" s="800" t="s">
        <v>2512</v>
      </c>
      <c r="B2352" s="801">
        <v>31370025000</v>
      </c>
    </row>
    <row r="2353" spans="1:2">
      <c r="A2353" s="800" t="s">
        <v>2511</v>
      </c>
      <c r="B2353" s="801">
        <v>31370026000</v>
      </c>
    </row>
    <row r="2354" spans="1:2">
      <c r="A2354" s="800" t="s">
        <v>2510</v>
      </c>
      <c r="B2354" s="801">
        <v>31370027000</v>
      </c>
    </row>
    <row r="2355" spans="1:2">
      <c r="A2355" s="800" t="s">
        <v>2509</v>
      </c>
      <c r="B2355" s="801">
        <v>31370028000</v>
      </c>
    </row>
    <row r="2356" spans="1:2">
      <c r="A2356" s="800" t="s">
        <v>2508</v>
      </c>
      <c r="B2356" s="801">
        <v>31370028101</v>
      </c>
    </row>
    <row r="2357" spans="1:2">
      <c r="A2357" s="800" t="s">
        <v>2507</v>
      </c>
      <c r="B2357" s="801">
        <v>31370028102</v>
      </c>
    </row>
    <row r="2358" spans="1:2">
      <c r="A2358" s="800" t="s">
        <v>2506</v>
      </c>
      <c r="B2358" s="801">
        <v>31370028103</v>
      </c>
    </row>
    <row r="2359" spans="1:2">
      <c r="A2359" s="800" t="s">
        <v>2505</v>
      </c>
      <c r="B2359" s="801">
        <v>31370028104</v>
      </c>
    </row>
    <row r="2360" spans="1:2">
      <c r="A2360" s="800" t="s">
        <v>2504</v>
      </c>
      <c r="B2360" s="801">
        <v>31370029000</v>
      </c>
    </row>
    <row r="2361" spans="1:2">
      <c r="A2361" s="800" t="s">
        <v>2503</v>
      </c>
      <c r="B2361" s="801">
        <v>31370030000</v>
      </c>
    </row>
    <row r="2362" spans="1:2">
      <c r="A2362" s="800" t="s">
        <v>2502</v>
      </c>
      <c r="B2362" s="801">
        <v>31370031000</v>
      </c>
    </row>
    <row r="2363" spans="1:2">
      <c r="A2363" s="800" t="s">
        <v>2501</v>
      </c>
      <c r="B2363" s="801">
        <v>31370032000</v>
      </c>
    </row>
    <row r="2364" spans="1:2">
      <c r="A2364" s="800" t="s">
        <v>2500</v>
      </c>
      <c r="B2364" s="801">
        <v>31370033000</v>
      </c>
    </row>
    <row r="2365" spans="1:2">
      <c r="A2365" s="800" t="s">
        <v>2499</v>
      </c>
      <c r="B2365" s="801">
        <v>31370034000</v>
      </c>
    </row>
    <row r="2366" spans="1:2">
      <c r="A2366" s="800" t="s">
        <v>2498</v>
      </c>
      <c r="B2366" s="801">
        <v>31370035000</v>
      </c>
    </row>
    <row r="2367" spans="1:2">
      <c r="A2367" s="800" t="s">
        <v>2497</v>
      </c>
      <c r="B2367" s="801">
        <v>31370036000</v>
      </c>
    </row>
    <row r="2368" spans="1:2">
      <c r="A2368" s="800" t="s">
        <v>2496</v>
      </c>
      <c r="B2368" s="801">
        <v>31370037000</v>
      </c>
    </row>
    <row r="2369" spans="1:2">
      <c r="A2369" s="800" t="s">
        <v>2495</v>
      </c>
      <c r="B2369" s="801">
        <v>31370038000</v>
      </c>
    </row>
    <row r="2370" spans="1:2">
      <c r="A2370" s="800" t="s">
        <v>2494</v>
      </c>
      <c r="B2370" s="801">
        <v>31370039000</v>
      </c>
    </row>
    <row r="2371" spans="1:2">
      <c r="A2371" s="800" t="s">
        <v>2493</v>
      </c>
      <c r="B2371" s="801">
        <v>31370040000</v>
      </c>
    </row>
    <row r="2372" spans="1:2">
      <c r="A2372" s="800" t="s">
        <v>2492</v>
      </c>
      <c r="B2372" s="801">
        <v>31370041000</v>
      </c>
    </row>
    <row r="2373" spans="1:2">
      <c r="A2373" s="800" t="s">
        <v>2491</v>
      </c>
      <c r="B2373" s="801">
        <v>31370042000</v>
      </c>
    </row>
    <row r="2374" spans="1:2">
      <c r="A2374" s="800" t="s">
        <v>2490</v>
      </c>
      <c r="B2374" s="801">
        <v>31370043000</v>
      </c>
    </row>
    <row r="2375" spans="1:2">
      <c r="A2375" s="800" t="s">
        <v>2489</v>
      </c>
      <c r="B2375" s="801">
        <v>31370044000</v>
      </c>
    </row>
    <row r="2376" spans="1:2">
      <c r="A2376" s="800" t="s">
        <v>2488</v>
      </c>
      <c r="B2376" s="801">
        <v>31370045000</v>
      </c>
    </row>
    <row r="2377" spans="1:2">
      <c r="A2377" s="800" t="s">
        <v>2487</v>
      </c>
      <c r="B2377" s="801">
        <v>31370046000</v>
      </c>
    </row>
    <row r="2378" spans="1:2">
      <c r="A2378" s="800" t="s">
        <v>2486</v>
      </c>
      <c r="B2378" s="801">
        <v>31370047000</v>
      </c>
    </row>
    <row r="2379" spans="1:2">
      <c r="A2379" s="800" t="s">
        <v>2485</v>
      </c>
      <c r="B2379" s="801">
        <v>31371000000</v>
      </c>
    </row>
    <row r="2380" spans="1:2">
      <c r="A2380" s="800" t="s">
        <v>2484</v>
      </c>
      <c r="B2380" s="801">
        <v>31371001000</v>
      </c>
    </row>
    <row r="2381" spans="1:2">
      <c r="A2381" s="800" t="s">
        <v>2483</v>
      </c>
      <c r="B2381" s="801">
        <v>31371001101</v>
      </c>
    </row>
    <row r="2382" spans="1:2">
      <c r="A2382" s="800" t="s">
        <v>2482</v>
      </c>
      <c r="B2382" s="801">
        <v>31371001102</v>
      </c>
    </row>
    <row r="2383" spans="1:2">
      <c r="A2383" s="800" t="s">
        <v>2481</v>
      </c>
      <c r="B2383" s="801">
        <v>31371001103</v>
      </c>
    </row>
    <row r="2384" spans="1:2">
      <c r="A2384" s="800" t="s">
        <v>2480</v>
      </c>
      <c r="B2384" s="801">
        <v>31371001104</v>
      </c>
    </row>
    <row r="2385" spans="1:2">
      <c r="A2385" s="800" t="s">
        <v>2479</v>
      </c>
      <c r="B2385" s="801">
        <v>31371001105</v>
      </c>
    </row>
    <row r="2386" spans="1:2">
      <c r="A2386" s="800" t="s">
        <v>2478</v>
      </c>
      <c r="B2386" s="801">
        <v>31371001106</v>
      </c>
    </row>
    <row r="2387" spans="1:2">
      <c r="A2387" s="800" t="s">
        <v>2477</v>
      </c>
      <c r="B2387" s="801">
        <v>31371001107</v>
      </c>
    </row>
    <row r="2388" spans="1:2">
      <c r="A2388" s="800" t="s">
        <v>2476</v>
      </c>
      <c r="B2388" s="801">
        <v>31371001108</v>
      </c>
    </row>
    <row r="2389" spans="1:2">
      <c r="A2389" s="800" t="s">
        <v>2475</v>
      </c>
      <c r="B2389" s="801">
        <v>31371001109</v>
      </c>
    </row>
    <row r="2390" spans="1:2">
      <c r="A2390" s="800" t="s">
        <v>2474</v>
      </c>
      <c r="B2390" s="801">
        <v>31371001110</v>
      </c>
    </row>
    <row r="2391" spans="1:2">
      <c r="A2391" s="800" t="s">
        <v>2473</v>
      </c>
      <c r="B2391" s="801">
        <v>31371001111</v>
      </c>
    </row>
    <row r="2392" spans="1:2">
      <c r="A2392" s="800" t="s">
        <v>2472</v>
      </c>
      <c r="B2392" s="801">
        <v>31371001112</v>
      </c>
    </row>
    <row r="2393" spans="1:2">
      <c r="A2393" s="800" t="s">
        <v>2471</v>
      </c>
      <c r="B2393" s="801">
        <v>31371001113</v>
      </c>
    </row>
    <row r="2394" spans="1:2">
      <c r="A2394" s="800" t="s">
        <v>2470</v>
      </c>
      <c r="B2394" s="801">
        <v>31371001114</v>
      </c>
    </row>
    <row r="2395" spans="1:2">
      <c r="A2395" s="800" t="s">
        <v>2469</v>
      </c>
      <c r="B2395" s="801">
        <v>31371001115</v>
      </c>
    </row>
    <row r="2396" spans="1:2">
      <c r="A2396" s="800" t="s">
        <v>2468</v>
      </c>
      <c r="B2396" s="801">
        <v>31371001116</v>
      </c>
    </row>
    <row r="2397" spans="1:2">
      <c r="A2397" s="800" t="s">
        <v>2467</v>
      </c>
      <c r="B2397" s="801">
        <v>31371001117</v>
      </c>
    </row>
    <row r="2398" spans="1:2">
      <c r="A2398" s="800" t="s">
        <v>2466</v>
      </c>
      <c r="B2398" s="801">
        <v>31371001118</v>
      </c>
    </row>
    <row r="2399" spans="1:2">
      <c r="A2399" s="800" t="s">
        <v>2465</v>
      </c>
      <c r="B2399" s="801">
        <v>31371001119</v>
      </c>
    </row>
    <row r="2400" spans="1:2">
      <c r="A2400" s="800" t="s">
        <v>2464</v>
      </c>
      <c r="B2400" s="801">
        <v>31371001120</v>
      </c>
    </row>
    <row r="2401" spans="1:2">
      <c r="A2401" s="800" t="s">
        <v>2463</v>
      </c>
      <c r="B2401" s="801">
        <v>31371002000</v>
      </c>
    </row>
    <row r="2402" spans="1:2">
      <c r="A2402" s="800" t="s">
        <v>2462</v>
      </c>
      <c r="B2402" s="801">
        <v>31371002101</v>
      </c>
    </row>
    <row r="2403" spans="1:2">
      <c r="A2403" s="800" t="s">
        <v>2461</v>
      </c>
      <c r="B2403" s="801">
        <v>31371002102</v>
      </c>
    </row>
    <row r="2404" spans="1:2">
      <c r="A2404" s="800" t="s">
        <v>2460</v>
      </c>
      <c r="B2404" s="801">
        <v>31371002103</v>
      </c>
    </row>
    <row r="2405" spans="1:2">
      <c r="A2405" s="800" t="s">
        <v>2459</v>
      </c>
      <c r="B2405" s="801">
        <v>31371002104</v>
      </c>
    </row>
    <row r="2406" spans="1:2">
      <c r="A2406" s="800" t="s">
        <v>2458</v>
      </c>
      <c r="B2406" s="801">
        <v>31371002105</v>
      </c>
    </row>
    <row r="2407" spans="1:2">
      <c r="A2407" s="800" t="s">
        <v>2457</v>
      </c>
      <c r="B2407" s="801">
        <v>31371002106</v>
      </c>
    </row>
    <row r="2408" spans="1:2">
      <c r="A2408" s="800" t="s">
        <v>2456</v>
      </c>
      <c r="B2408" s="801">
        <v>31371002107</v>
      </c>
    </row>
    <row r="2409" spans="1:2">
      <c r="A2409" s="800" t="s">
        <v>2455</v>
      </c>
      <c r="B2409" s="801">
        <v>31371002108</v>
      </c>
    </row>
    <row r="2410" spans="1:2">
      <c r="A2410" s="800" t="s">
        <v>2454</v>
      </c>
      <c r="B2410" s="801">
        <v>31371002109</v>
      </c>
    </row>
    <row r="2411" spans="1:2">
      <c r="A2411" s="800" t="s">
        <v>2453</v>
      </c>
      <c r="B2411" s="801">
        <v>31371002110</v>
      </c>
    </row>
    <row r="2412" spans="1:2">
      <c r="A2412" s="800" t="s">
        <v>2452</v>
      </c>
      <c r="B2412" s="801">
        <v>31371002111</v>
      </c>
    </row>
    <row r="2413" spans="1:2">
      <c r="A2413" s="800" t="s">
        <v>2451</v>
      </c>
      <c r="B2413" s="801">
        <v>31371003000</v>
      </c>
    </row>
    <row r="2414" spans="1:2">
      <c r="A2414" s="800" t="s">
        <v>2450</v>
      </c>
      <c r="B2414" s="801">
        <v>31371004000</v>
      </c>
    </row>
    <row r="2415" spans="1:2">
      <c r="A2415" s="800" t="s">
        <v>2449</v>
      </c>
      <c r="B2415" s="801">
        <v>31371005000</v>
      </c>
    </row>
    <row r="2416" spans="1:2">
      <c r="A2416" s="800" t="s">
        <v>2448</v>
      </c>
      <c r="B2416" s="801">
        <v>31371005101</v>
      </c>
    </row>
    <row r="2417" spans="1:2">
      <c r="A2417" s="800" t="s">
        <v>2447</v>
      </c>
      <c r="B2417" s="801">
        <v>31371006000</v>
      </c>
    </row>
    <row r="2418" spans="1:2">
      <c r="A2418" s="800" t="s">
        <v>2446</v>
      </c>
      <c r="B2418" s="801">
        <v>31371006101</v>
      </c>
    </row>
    <row r="2419" spans="1:2">
      <c r="A2419" s="800" t="s">
        <v>2445</v>
      </c>
      <c r="B2419" s="801">
        <v>31371007000</v>
      </c>
    </row>
    <row r="2420" spans="1:2">
      <c r="A2420" s="800" t="s">
        <v>2444</v>
      </c>
      <c r="B2420" s="801">
        <v>31371007101</v>
      </c>
    </row>
    <row r="2421" spans="1:2">
      <c r="A2421" s="800" t="s">
        <v>2443</v>
      </c>
      <c r="B2421" s="801">
        <v>31371007102</v>
      </c>
    </row>
    <row r="2422" spans="1:2">
      <c r="A2422" s="800" t="s">
        <v>2442</v>
      </c>
      <c r="B2422" s="801">
        <v>31371008000</v>
      </c>
    </row>
    <row r="2423" spans="1:2">
      <c r="A2423" s="800" t="s">
        <v>2441</v>
      </c>
      <c r="B2423" s="801">
        <v>31371009000</v>
      </c>
    </row>
    <row r="2424" spans="1:2">
      <c r="A2424" s="800" t="s">
        <v>2440</v>
      </c>
      <c r="B2424" s="801">
        <v>31371010000</v>
      </c>
    </row>
    <row r="2425" spans="1:2">
      <c r="A2425" s="800" t="s">
        <v>2439</v>
      </c>
      <c r="B2425" s="801">
        <v>31371010101</v>
      </c>
    </row>
    <row r="2426" spans="1:2">
      <c r="A2426" s="800" t="s">
        <v>2438</v>
      </c>
      <c r="B2426" s="801">
        <v>31371010102</v>
      </c>
    </row>
    <row r="2427" spans="1:2">
      <c r="A2427" s="800" t="s">
        <v>2437</v>
      </c>
      <c r="B2427" s="801">
        <v>31371011000</v>
      </c>
    </row>
    <row r="2428" spans="1:2">
      <c r="A2428" s="800" t="s">
        <v>2436</v>
      </c>
      <c r="B2428" s="801">
        <v>31371012000</v>
      </c>
    </row>
    <row r="2429" spans="1:2">
      <c r="A2429" s="800" t="s">
        <v>2435</v>
      </c>
      <c r="B2429" s="801">
        <v>31371013000</v>
      </c>
    </row>
    <row r="2430" spans="1:2">
      <c r="A2430" s="800" t="s">
        <v>2434</v>
      </c>
      <c r="B2430" s="801">
        <v>31371014000</v>
      </c>
    </row>
    <row r="2431" spans="1:2">
      <c r="A2431" s="800" t="s">
        <v>2433</v>
      </c>
      <c r="B2431" s="801">
        <v>31371014101</v>
      </c>
    </row>
    <row r="2432" spans="1:2">
      <c r="A2432" s="800" t="s">
        <v>2432</v>
      </c>
      <c r="B2432" s="801">
        <v>31371014102</v>
      </c>
    </row>
    <row r="2433" spans="1:2">
      <c r="A2433" s="800" t="s">
        <v>2431</v>
      </c>
      <c r="B2433" s="801">
        <v>31371015000</v>
      </c>
    </row>
    <row r="2434" spans="1:2">
      <c r="A2434" s="800" t="s">
        <v>2430</v>
      </c>
      <c r="B2434" s="801">
        <v>31371015101</v>
      </c>
    </row>
    <row r="2435" spans="1:2">
      <c r="A2435" s="800" t="s">
        <v>2429</v>
      </c>
      <c r="B2435" s="801">
        <v>31371016000</v>
      </c>
    </row>
    <row r="2436" spans="1:2">
      <c r="A2436" s="800" t="s">
        <v>2428</v>
      </c>
      <c r="B2436" s="801">
        <v>31371017000</v>
      </c>
    </row>
    <row r="2437" spans="1:2">
      <c r="A2437" s="800" t="s">
        <v>2427</v>
      </c>
      <c r="B2437" s="801">
        <v>31371017101</v>
      </c>
    </row>
    <row r="2438" spans="1:2">
      <c r="A2438" s="800" t="s">
        <v>2426</v>
      </c>
      <c r="B2438" s="801">
        <v>31371017102</v>
      </c>
    </row>
    <row r="2439" spans="1:2">
      <c r="A2439" s="800" t="s">
        <v>2425</v>
      </c>
      <c r="B2439" s="801">
        <v>31371018000</v>
      </c>
    </row>
    <row r="2440" spans="1:2">
      <c r="A2440" s="800" t="s">
        <v>2424</v>
      </c>
      <c r="B2440" s="801">
        <v>31371018101</v>
      </c>
    </row>
    <row r="2441" spans="1:2">
      <c r="A2441" s="800" t="s">
        <v>2423</v>
      </c>
      <c r="B2441" s="801">
        <v>31371018102</v>
      </c>
    </row>
    <row r="2442" spans="1:2">
      <c r="A2442" s="800" t="s">
        <v>2422</v>
      </c>
      <c r="B2442" s="801">
        <v>31371019000</v>
      </c>
    </row>
    <row r="2443" spans="1:2">
      <c r="A2443" s="800" t="s">
        <v>2421</v>
      </c>
      <c r="B2443" s="801">
        <v>31371019101</v>
      </c>
    </row>
    <row r="2444" spans="1:2">
      <c r="A2444" s="800" t="s">
        <v>2420</v>
      </c>
      <c r="B2444" s="801">
        <v>31371020000</v>
      </c>
    </row>
    <row r="2445" spans="1:2">
      <c r="A2445" s="800" t="s">
        <v>2419</v>
      </c>
      <c r="B2445" s="801">
        <v>31371021000</v>
      </c>
    </row>
    <row r="2446" spans="1:2">
      <c r="A2446" s="800" t="s">
        <v>2418</v>
      </c>
      <c r="B2446" s="801">
        <v>31371021101</v>
      </c>
    </row>
    <row r="2447" spans="1:2">
      <c r="A2447" s="800" t="s">
        <v>2417</v>
      </c>
      <c r="B2447" s="801">
        <v>31371022000</v>
      </c>
    </row>
    <row r="2448" spans="1:2">
      <c r="A2448" s="800" t="s">
        <v>2416</v>
      </c>
      <c r="B2448" s="801">
        <v>31371022101</v>
      </c>
    </row>
    <row r="2449" spans="1:2">
      <c r="A2449" s="800" t="s">
        <v>2415</v>
      </c>
      <c r="B2449" s="801">
        <v>31371023000</v>
      </c>
    </row>
    <row r="2450" spans="1:2">
      <c r="A2450" s="800" t="s">
        <v>2414</v>
      </c>
      <c r="B2450" s="801">
        <v>31371023101</v>
      </c>
    </row>
    <row r="2451" spans="1:2">
      <c r="A2451" s="800" t="s">
        <v>2413</v>
      </c>
      <c r="B2451" s="801">
        <v>31371023102</v>
      </c>
    </row>
    <row r="2452" spans="1:2">
      <c r="A2452" s="800" t="s">
        <v>2412</v>
      </c>
      <c r="B2452" s="801">
        <v>31371024000</v>
      </c>
    </row>
    <row r="2453" spans="1:2">
      <c r="A2453" s="800" t="s">
        <v>2411</v>
      </c>
      <c r="B2453" s="801">
        <v>31371024101</v>
      </c>
    </row>
    <row r="2454" spans="1:2">
      <c r="A2454" s="800" t="s">
        <v>2410</v>
      </c>
      <c r="B2454" s="801">
        <v>31371025000</v>
      </c>
    </row>
    <row r="2455" spans="1:2">
      <c r="A2455" s="800" t="s">
        <v>2409</v>
      </c>
      <c r="B2455" s="801">
        <v>31371026000</v>
      </c>
    </row>
    <row r="2456" spans="1:2">
      <c r="A2456" s="800" t="s">
        <v>2408</v>
      </c>
      <c r="B2456" s="801">
        <v>31371026101</v>
      </c>
    </row>
    <row r="2457" spans="1:2">
      <c r="A2457" s="800" t="s">
        <v>2407</v>
      </c>
      <c r="B2457" s="801">
        <v>31371026102</v>
      </c>
    </row>
    <row r="2458" spans="1:2">
      <c r="A2458" s="800" t="s">
        <v>2406</v>
      </c>
      <c r="B2458" s="801">
        <v>31371026103</v>
      </c>
    </row>
    <row r="2459" spans="1:2">
      <c r="A2459" s="800" t="s">
        <v>2405</v>
      </c>
      <c r="B2459" s="801">
        <v>31371027000</v>
      </c>
    </row>
    <row r="2460" spans="1:2">
      <c r="A2460" s="800" t="s">
        <v>2404</v>
      </c>
      <c r="B2460" s="801">
        <v>31371028000</v>
      </c>
    </row>
    <row r="2461" spans="1:2">
      <c r="A2461" s="800" t="s">
        <v>2403</v>
      </c>
      <c r="B2461" s="801">
        <v>31371028101</v>
      </c>
    </row>
    <row r="2462" spans="1:2">
      <c r="A2462" s="800" t="s">
        <v>2402</v>
      </c>
      <c r="B2462" s="801">
        <v>31371029000</v>
      </c>
    </row>
    <row r="2463" spans="1:2">
      <c r="A2463" s="800" t="s">
        <v>2401</v>
      </c>
      <c r="B2463" s="801">
        <v>31371030000</v>
      </c>
    </row>
    <row r="2464" spans="1:2">
      <c r="A2464" s="800" t="s">
        <v>2400</v>
      </c>
      <c r="B2464" s="801">
        <v>31371030101</v>
      </c>
    </row>
    <row r="2465" spans="1:2">
      <c r="A2465" s="800" t="s">
        <v>2399</v>
      </c>
      <c r="B2465" s="801">
        <v>31371030102</v>
      </c>
    </row>
    <row r="2466" spans="1:2">
      <c r="A2466" s="800" t="s">
        <v>2398</v>
      </c>
      <c r="B2466" s="801">
        <v>31371031000</v>
      </c>
    </row>
    <row r="2467" spans="1:2">
      <c r="A2467" s="800" t="s">
        <v>2397</v>
      </c>
      <c r="B2467" s="801">
        <v>31371031101</v>
      </c>
    </row>
    <row r="2468" spans="1:2">
      <c r="A2468" s="800" t="s">
        <v>2396</v>
      </c>
      <c r="B2468" s="801">
        <v>31371031102</v>
      </c>
    </row>
    <row r="2469" spans="1:2">
      <c r="A2469" s="800" t="s">
        <v>2395</v>
      </c>
      <c r="B2469" s="801">
        <v>31371032000</v>
      </c>
    </row>
    <row r="2470" spans="1:2">
      <c r="A2470" s="800" t="s">
        <v>2394</v>
      </c>
      <c r="B2470" s="801">
        <v>31371033000</v>
      </c>
    </row>
    <row r="2471" spans="1:2">
      <c r="A2471" s="800" t="s">
        <v>2393</v>
      </c>
      <c r="B2471" s="801">
        <v>31371034000</v>
      </c>
    </row>
    <row r="2472" spans="1:2">
      <c r="A2472" s="800" t="s">
        <v>2392</v>
      </c>
      <c r="B2472" s="801">
        <v>31371034101</v>
      </c>
    </row>
    <row r="2473" spans="1:2">
      <c r="A2473" s="800" t="s">
        <v>2391</v>
      </c>
      <c r="B2473" s="801">
        <v>31371035000</v>
      </c>
    </row>
    <row r="2474" spans="1:2">
      <c r="A2474" s="800" t="s">
        <v>2390</v>
      </c>
      <c r="B2474" s="801">
        <v>31371036000</v>
      </c>
    </row>
    <row r="2475" spans="1:2">
      <c r="A2475" s="800" t="s">
        <v>2389</v>
      </c>
      <c r="B2475" s="801">
        <v>31371036101</v>
      </c>
    </row>
    <row r="2476" spans="1:2">
      <c r="A2476" s="800" t="s">
        <v>2388</v>
      </c>
      <c r="B2476" s="801">
        <v>31371037000</v>
      </c>
    </row>
    <row r="2477" spans="1:2">
      <c r="A2477" s="800" t="s">
        <v>2387</v>
      </c>
      <c r="B2477" s="801">
        <v>31371038000</v>
      </c>
    </row>
    <row r="2478" spans="1:2">
      <c r="A2478" s="800" t="s">
        <v>2386</v>
      </c>
      <c r="B2478" s="801">
        <v>31371038101</v>
      </c>
    </row>
    <row r="2479" spans="1:2">
      <c r="A2479" s="800" t="s">
        <v>2385</v>
      </c>
      <c r="B2479" s="801">
        <v>31371038102</v>
      </c>
    </row>
    <row r="2480" spans="1:2">
      <c r="A2480" s="800" t="s">
        <v>2384</v>
      </c>
      <c r="B2480" s="801">
        <v>31371039000</v>
      </c>
    </row>
    <row r="2481" spans="1:2">
      <c r="A2481" s="800" t="s">
        <v>2383</v>
      </c>
      <c r="B2481" s="801">
        <v>31371040000</v>
      </c>
    </row>
    <row r="2482" spans="1:2">
      <c r="A2482" s="800" t="s">
        <v>2382</v>
      </c>
      <c r="B2482" s="801">
        <v>31371041000</v>
      </c>
    </row>
    <row r="2483" spans="1:2">
      <c r="A2483" s="800" t="s">
        <v>2381</v>
      </c>
      <c r="B2483" s="801">
        <v>31371041101</v>
      </c>
    </row>
    <row r="2484" spans="1:2">
      <c r="A2484" s="800" t="s">
        <v>2380</v>
      </c>
      <c r="B2484" s="801">
        <v>31371041102</v>
      </c>
    </row>
    <row r="2485" spans="1:2">
      <c r="A2485" s="800" t="s">
        <v>2379</v>
      </c>
      <c r="B2485" s="801">
        <v>31371042000</v>
      </c>
    </row>
    <row r="2486" spans="1:2">
      <c r="A2486" s="800" t="s">
        <v>2378</v>
      </c>
      <c r="B2486" s="801">
        <v>31371042101</v>
      </c>
    </row>
    <row r="2487" spans="1:2">
      <c r="A2487" s="800" t="s">
        <v>2377</v>
      </c>
      <c r="B2487" s="801">
        <v>31371042102</v>
      </c>
    </row>
    <row r="2488" spans="1:2">
      <c r="A2488" s="800" t="s">
        <v>2376</v>
      </c>
      <c r="B2488" s="801">
        <v>31371043000</v>
      </c>
    </row>
    <row r="2489" spans="1:2">
      <c r="A2489" s="800" t="s">
        <v>2375</v>
      </c>
      <c r="B2489" s="801">
        <v>31371043101</v>
      </c>
    </row>
    <row r="2490" spans="1:2">
      <c r="A2490" s="800" t="s">
        <v>2374</v>
      </c>
      <c r="B2490" s="801">
        <v>31371044000</v>
      </c>
    </row>
    <row r="2491" spans="1:2">
      <c r="A2491" s="800" t="s">
        <v>2373</v>
      </c>
      <c r="B2491" s="801">
        <v>31371044101</v>
      </c>
    </row>
    <row r="2492" spans="1:2">
      <c r="A2492" s="800" t="s">
        <v>2372</v>
      </c>
      <c r="B2492" s="801">
        <v>31371045000</v>
      </c>
    </row>
    <row r="2493" spans="1:2">
      <c r="A2493" s="800" t="s">
        <v>2371</v>
      </c>
      <c r="B2493" s="801">
        <v>31371045101</v>
      </c>
    </row>
    <row r="2494" spans="1:2">
      <c r="A2494" s="800" t="s">
        <v>2370</v>
      </c>
      <c r="B2494" s="801">
        <v>31371045102</v>
      </c>
    </row>
    <row r="2495" spans="1:2">
      <c r="A2495" s="800" t="s">
        <v>2369</v>
      </c>
      <c r="B2495" s="801">
        <v>31371046000</v>
      </c>
    </row>
    <row r="2496" spans="1:2">
      <c r="A2496" s="800" t="s">
        <v>2368</v>
      </c>
      <c r="B2496" s="801">
        <v>31371047000</v>
      </c>
    </row>
    <row r="2497" spans="1:2">
      <c r="A2497" s="800" t="s">
        <v>2367</v>
      </c>
      <c r="B2497" s="801">
        <v>31371048000</v>
      </c>
    </row>
    <row r="2498" spans="1:2">
      <c r="A2498" s="800" t="s">
        <v>2366</v>
      </c>
      <c r="B2498" s="801">
        <v>31371049000</v>
      </c>
    </row>
    <row r="2499" spans="1:2">
      <c r="A2499" s="800" t="s">
        <v>2365</v>
      </c>
      <c r="B2499" s="801">
        <v>31371050000</v>
      </c>
    </row>
    <row r="2500" spans="1:2">
      <c r="A2500" s="800" t="s">
        <v>2364</v>
      </c>
      <c r="B2500" s="801">
        <v>31371051000</v>
      </c>
    </row>
    <row r="2501" spans="1:2">
      <c r="A2501" s="800" t="s">
        <v>2363</v>
      </c>
      <c r="B2501" s="801">
        <v>31371052000</v>
      </c>
    </row>
    <row r="2502" spans="1:2">
      <c r="A2502" s="800" t="s">
        <v>2362</v>
      </c>
      <c r="B2502" s="801">
        <v>31371052101</v>
      </c>
    </row>
    <row r="2503" spans="1:2">
      <c r="A2503" s="800" t="s">
        <v>2361</v>
      </c>
      <c r="B2503" s="801">
        <v>31371052102</v>
      </c>
    </row>
    <row r="2504" spans="1:2">
      <c r="A2504" s="800" t="s">
        <v>2360</v>
      </c>
      <c r="B2504" s="801">
        <v>31371052103</v>
      </c>
    </row>
    <row r="2505" spans="1:2">
      <c r="A2505" s="800" t="s">
        <v>2359</v>
      </c>
      <c r="B2505" s="801">
        <v>31371053000</v>
      </c>
    </row>
    <row r="2506" spans="1:2">
      <c r="A2506" s="800" t="s">
        <v>2358</v>
      </c>
      <c r="B2506" s="801">
        <v>31371053101</v>
      </c>
    </row>
    <row r="2507" spans="1:2">
      <c r="A2507" s="800" t="s">
        <v>2357</v>
      </c>
      <c r="B2507" s="801">
        <v>31371054000</v>
      </c>
    </row>
    <row r="2508" spans="1:2">
      <c r="A2508" s="800" t="s">
        <v>2356</v>
      </c>
      <c r="B2508" s="801">
        <v>31371055000</v>
      </c>
    </row>
    <row r="2509" spans="1:2">
      <c r="A2509" s="800" t="s">
        <v>2355</v>
      </c>
      <c r="B2509" s="801">
        <v>31371055101</v>
      </c>
    </row>
    <row r="2510" spans="1:2">
      <c r="A2510" s="800" t="s">
        <v>2354</v>
      </c>
      <c r="B2510" s="801">
        <v>31371055102</v>
      </c>
    </row>
    <row r="2511" spans="1:2">
      <c r="A2511" s="800" t="s">
        <v>2353</v>
      </c>
      <c r="B2511" s="801">
        <v>31371056000</v>
      </c>
    </row>
    <row r="2512" spans="1:2">
      <c r="A2512" s="800" t="s">
        <v>2352</v>
      </c>
      <c r="B2512" s="801">
        <v>31372000000</v>
      </c>
    </row>
    <row r="2513" spans="1:2">
      <c r="A2513" s="800" t="s">
        <v>2351</v>
      </c>
      <c r="B2513" s="801">
        <v>31372001000</v>
      </c>
    </row>
    <row r="2514" spans="1:2">
      <c r="A2514" s="800" t="s">
        <v>2350</v>
      </c>
      <c r="B2514" s="801">
        <v>31372001101</v>
      </c>
    </row>
    <row r="2515" spans="1:2">
      <c r="A2515" s="800" t="s">
        <v>2349</v>
      </c>
      <c r="B2515" s="801">
        <v>31372002000</v>
      </c>
    </row>
    <row r="2516" spans="1:2">
      <c r="A2516" s="800" t="s">
        <v>2348</v>
      </c>
      <c r="B2516" s="801">
        <v>31372002101</v>
      </c>
    </row>
    <row r="2517" spans="1:2">
      <c r="A2517" s="800" t="s">
        <v>2347</v>
      </c>
      <c r="B2517" s="801">
        <v>31372002102</v>
      </c>
    </row>
    <row r="2518" spans="1:2">
      <c r="A2518" s="800" t="s">
        <v>2346</v>
      </c>
      <c r="B2518" s="801">
        <v>31372002103</v>
      </c>
    </row>
    <row r="2519" spans="1:2">
      <c r="A2519" s="800" t="s">
        <v>2345</v>
      </c>
      <c r="B2519" s="801">
        <v>31372002104</v>
      </c>
    </row>
    <row r="2520" spans="1:2">
      <c r="A2520" s="800" t="s">
        <v>2344</v>
      </c>
      <c r="B2520" s="801">
        <v>31372003000</v>
      </c>
    </row>
    <row r="2521" spans="1:2">
      <c r="A2521" s="800" t="s">
        <v>2343</v>
      </c>
      <c r="B2521" s="801">
        <v>31372004000</v>
      </c>
    </row>
    <row r="2522" spans="1:2">
      <c r="A2522" s="800" t="s">
        <v>2342</v>
      </c>
      <c r="B2522" s="801">
        <v>31372005000</v>
      </c>
    </row>
    <row r="2523" spans="1:2">
      <c r="A2523" s="800" t="s">
        <v>2341</v>
      </c>
      <c r="B2523" s="801">
        <v>31372006000</v>
      </c>
    </row>
    <row r="2524" spans="1:2">
      <c r="A2524" s="800" t="s">
        <v>2340</v>
      </c>
      <c r="B2524" s="801">
        <v>31372006101</v>
      </c>
    </row>
    <row r="2525" spans="1:2">
      <c r="A2525" s="800" t="s">
        <v>2339</v>
      </c>
      <c r="B2525" s="801">
        <v>31372007000</v>
      </c>
    </row>
    <row r="2526" spans="1:2">
      <c r="A2526" s="800" t="s">
        <v>2338</v>
      </c>
      <c r="B2526" s="801">
        <v>31372008000</v>
      </c>
    </row>
    <row r="2527" spans="1:2">
      <c r="A2527" s="800" t="s">
        <v>2337</v>
      </c>
      <c r="B2527" s="801">
        <v>31372008101</v>
      </c>
    </row>
    <row r="2528" spans="1:2">
      <c r="A2528" s="800" t="s">
        <v>2336</v>
      </c>
      <c r="B2528" s="801">
        <v>31372008102</v>
      </c>
    </row>
    <row r="2529" spans="1:2">
      <c r="A2529" s="800" t="s">
        <v>2335</v>
      </c>
      <c r="B2529" s="801">
        <v>31372009000</v>
      </c>
    </row>
    <row r="2530" spans="1:2">
      <c r="A2530" s="800" t="s">
        <v>2334</v>
      </c>
      <c r="B2530" s="801">
        <v>31372010000</v>
      </c>
    </row>
    <row r="2531" spans="1:2">
      <c r="A2531" s="800" t="s">
        <v>2333</v>
      </c>
      <c r="B2531" s="801">
        <v>31372010101</v>
      </c>
    </row>
    <row r="2532" spans="1:2">
      <c r="A2532" s="800" t="s">
        <v>2332</v>
      </c>
      <c r="B2532" s="801">
        <v>31372011000</v>
      </c>
    </row>
    <row r="2533" spans="1:2">
      <c r="A2533" s="800" t="s">
        <v>2331</v>
      </c>
      <c r="B2533" s="801">
        <v>31372012000</v>
      </c>
    </row>
    <row r="2534" spans="1:2">
      <c r="A2534" s="800" t="s">
        <v>2330</v>
      </c>
      <c r="B2534" s="801">
        <v>31372013000</v>
      </c>
    </row>
    <row r="2535" spans="1:2">
      <c r="A2535" s="800" t="s">
        <v>2329</v>
      </c>
      <c r="B2535" s="801">
        <v>31372014000</v>
      </c>
    </row>
    <row r="2536" spans="1:2">
      <c r="A2536" s="800" t="s">
        <v>2328</v>
      </c>
      <c r="B2536" s="801">
        <v>31372015000</v>
      </c>
    </row>
    <row r="2537" spans="1:2">
      <c r="A2537" s="800" t="s">
        <v>2327</v>
      </c>
      <c r="B2537" s="801">
        <v>31372016000</v>
      </c>
    </row>
    <row r="2538" spans="1:2">
      <c r="A2538" s="800" t="s">
        <v>2326</v>
      </c>
      <c r="B2538" s="801">
        <v>31372017000</v>
      </c>
    </row>
    <row r="2539" spans="1:2">
      <c r="A2539" s="800" t="s">
        <v>2325</v>
      </c>
      <c r="B2539" s="801">
        <v>31372018000</v>
      </c>
    </row>
    <row r="2540" spans="1:2">
      <c r="A2540" s="800" t="s">
        <v>2324</v>
      </c>
      <c r="B2540" s="801">
        <v>31372019000</v>
      </c>
    </row>
    <row r="2541" spans="1:2">
      <c r="A2541" s="800" t="s">
        <v>2323</v>
      </c>
      <c r="B2541" s="801">
        <v>31372020000</v>
      </c>
    </row>
    <row r="2542" spans="1:2">
      <c r="A2542" s="800" t="s">
        <v>2322</v>
      </c>
      <c r="B2542" s="801">
        <v>31372021000</v>
      </c>
    </row>
    <row r="2543" spans="1:2">
      <c r="A2543" s="800" t="s">
        <v>2321</v>
      </c>
      <c r="B2543" s="801">
        <v>31372021101</v>
      </c>
    </row>
    <row r="2544" spans="1:2">
      <c r="A2544" s="800" t="s">
        <v>2320</v>
      </c>
      <c r="B2544" s="801">
        <v>31372022000</v>
      </c>
    </row>
    <row r="2545" spans="1:2">
      <c r="A2545" s="800" t="s">
        <v>2319</v>
      </c>
      <c r="B2545" s="801">
        <v>31372023000</v>
      </c>
    </row>
    <row r="2546" spans="1:2">
      <c r="A2546" s="800" t="s">
        <v>2318</v>
      </c>
      <c r="B2546" s="801">
        <v>31372024000</v>
      </c>
    </row>
    <row r="2547" spans="1:2">
      <c r="A2547" s="800" t="s">
        <v>2317</v>
      </c>
      <c r="B2547" s="801">
        <v>31372025000</v>
      </c>
    </row>
    <row r="2548" spans="1:2">
      <c r="A2548" s="800" t="s">
        <v>2316</v>
      </c>
      <c r="B2548" s="801">
        <v>31372026000</v>
      </c>
    </row>
    <row r="2549" spans="1:2">
      <c r="A2549" s="800" t="s">
        <v>2315</v>
      </c>
      <c r="B2549" s="801">
        <v>31372026101</v>
      </c>
    </row>
    <row r="2550" spans="1:2">
      <c r="A2550" s="800" t="s">
        <v>2314</v>
      </c>
      <c r="B2550" s="801">
        <v>31372027000</v>
      </c>
    </row>
    <row r="2551" spans="1:2">
      <c r="A2551" s="800" t="s">
        <v>2313</v>
      </c>
      <c r="B2551" s="801">
        <v>31372027101</v>
      </c>
    </row>
    <row r="2552" spans="1:2">
      <c r="A2552" s="800" t="s">
        <v>2312</v>
      </c>
      <c r="B2552" s="801">
        <v>31372027102</v>
      </c>
    </row>
    <row r="2553" spans="1:2">
      <c r="A2553" s="800" t="s">
        <v>2311</v>
      </c>
      <c r="B2553" s="801">
        <v>31372027103</v>
      </c>
    </row>
    <row r="2554" spans="1:2">
      <c r="A2554" s="800" t="s">
        <v>2310</v>
      </c>
      <c r="B2554" s="801">
        <v>31372028000</v>
      </c>
    </row>
    <row r="2555" spans="1:2">
      <c r="A2555" s="800" t="s">
        <v>2309</v>
      </c>
      <c r="B2555" s="801">
        <v>31380000000</v>
      </c>
    </row>
    <row r="2556" spans="1:2">
      <c r="A2556" s="800" t="s">
        <v>2308</v>
      </c>
      <c r="B2556" s="801">
        <v>31381000000</v>
      </c>
    </row>
    <row r="2557" spans="1:2">
      <c r="A2557" s="800" t="s">
        <v>2307</v>
      </c>
      <c r="B2557" s="801">
        <v>31381001000</v>
      </c>
    </row>
    <row r="2558" spans="1:2">
      <c r="A2558" s="800" t="s">
        <v>2306</v>
      </c>
      <c r="B2558" s="801">
        <v>31381001101</v>
      </c>
    </row>
    <row r="2559" spans="1:2">
      <c r="A2559" s="800" t="s">
        <v>2305</v>
      </c>
      <c r="B2559" s="801">
        <v>31381001102</v>
      </c>
    </row>
    <row r="2560" spans="1:2">
      <c r="A2560" s="800" t="s">
        <v>2304</v>
      </c>
      <c r="B2560" s="801">
        <v>31381002000</v>
      </c>
    </row>
    <row r="2561" spans="1:2">
      <c r="A2561" s="800" t="s">
        <v>2303</v>
      </c>
      <c r="B2561" s="801">
        <v>31381003000</v>
      </c>
    </row>
    <row r="2562" spans="1:2">
      <c r="A2562" s="800" t="s">
        <v>2302</v>
      </c>
      <c r="B2562" s="801">
        <v>31381004000</v>
      </c>
    </row>
    <row r="2563" spans="1:2">
      <c r="A2563" s="800" t="s">
        <v>2301</v>
      </c>
      <c r="B2563" s="801">
        <v>31381004101</v>
      </c>
    </row>
    <row r="2564" spans="1:2">
      <c r="A2564" s="800" t="s">
        <v>2300</v>
      </c>
      <c r="B2564" s="801">
        <v>31381005000</v>
      </c>
    </row>
    <row r="2565" spans="1:2">
      <c r="A2565" s="800" t="s">
        <v>2299</v>
      </c>
      <c r="B2565" s="801">
        <v>31381006000</v>
      </c>
    </row>
    <row r="2566" spans="1:2">
      <c r="A2566" s="800" t="s">
        <v>2298</v>
      </c>
      <c r="B2566" s="801">
        <v>31381006101</v>
      </c>
    </row>
    <row r="2567" spans="1:2">
      <c r="A2567" s="800" t="s">
        <v>2297</v>
      </c>
      <c r="B2567" s="801">
        <v>31381006102</v>
      </c>
    </row>
    <row r="2568" spans="1:2">
      <c r="A2568" s="800" t="s">
        <v>2296</v>
      </c>
      <c r="B2568" s="801">
        <v>31381006103</v>
      </c>
    </row>
    <row r="2569" spans="1:2">
      <c r="A2569" s="800" t="s">
        <v>2295</v>
      </c>
      <c r="B2569" s="801">
        <v>31381007000</v>
      </c>
    </row>
    <row r="2570" spans="1:2">
      <c r="A2570" s="800" t="s">
        <v>2294</v>
      </c>
      <c r="B2570" s="801">
        <v>31381007101</v>
      </c>
    </row>
    <row r="2571" spans="1:2">
      <c r="A2571" s="800" t="s">
        <v>2293</v>
      </c>
      <c r="B2571" s="801">
        <v>31381007102</v>
      </c>
    </row>
    <row r="2572" spans="1:2">
      <c r="A2572" s="800" t="s">
        <v>2292</v>
      </c>
      <c r="B2572" s="801">
        <v>31381008000</v>
      </c>
    </row>
    <row r="2573" spans="1:2">
      <c r="A2573" s="800" t="s">
        <v>2291</v>
      </c>
      <c r="B2573" s="801">
        <v>31381008101</v>
      </c>
    </row>
    <row r="2574" spans="1:2">
      <c r="A2574" s="800" t="s">
        <v>2290</v>
      </c>
      <c r="B2574" s="801">
        <v>31381009000</v>
      </c>
    </row>
    <row r="2575" spans="1:2">
      <c r="A2575" s="800" t="s">
        <v>2289</v>
      </c>
      <c r="B2575" s="801">
        <v>31381009101</v>
      </c>
    </row>
    <row r="2576" spans="1:2">
      <c r="A2576" s="800" t="s">
        <v>2288</v>
      </c>
      <c r="B2576" s="801">
        <v>31381009102</v>
      </c>
    </row>
    <row r="2577" spans="1:2">
      <c r="A2577" s="800" t="s">
        <v>2287</v>
      </c>
      <c r="B2577" s="801">
        <v>31381010000</v>
      </c>
    </row>
    <row r="2578" spans="1:2">
      <c r="A2578" s="800" t="s">
        <v>2286</v>
      </c>
      <c r="B2578" s="801">
        <v>31381011000</v>
      </c>
    </row>
    <row r="2579" spans="1:2">
      <c r="A2579" s="800" t="s">
        <v>2285</v>
      </c>
      <c r="B2579" s="801">
        <v>31381012000</v>
      </c>
    </row>
    <row r="2580" spans="1:2">
      <c r="A2580" s="800" t="s">
        <v>2284</v>
      </c>
      <c r="B2580" s="801">
        <v>31381013000</v>
      </c>
    </row>
    <row r="2581" spans="1:2">
      <c r="A2581" s="800" t="s">
        <v>2283</v>
      </c>
      <c r="B2581" s="801">
        <v>31381014000</v>
      </c>
    </row>
    <row r="2582" spans="1:2">
      <c r="A2582" s="800" t="s">
        <v>2282</v>
      </c>
      <c r="B2582" s="801">
        <v>31381014101</v>
      </c>
    </row>
    <row r="2583" spans="1:2">
      <c r="A2583" s="800" t="s">
        <v>2281</v>
      </c>
      <c r="B2583" s="801">
        <v>31381014102</v>
      </c>
    </row>
    <row r="2584" spans="1:2">
      <c r="A2584" s="800" t="s">
        <v>2280</v>
      </c>
      <c r="B2584" s="801">
        <v>31381014103</v>
      </c>
    </row>
    <row r="2585" spans="1:2">
      <c r="A2585" s="800" t="s">
        <v>2279</v>
      </c>
      <c r="B2585" s="801">
        <v>31381014104</v>
      </c>
    </row>
    <row r="2586" spans="1:2">
      <c r="A2586" s="800" t="s">
        <v>2278</v>
      </c>
      <c r="B2586" s="801">
        <v>31381015000</v>
      </c>
    </row>
    <row r="2587" spans="1:2">
      <c r="A2587" s="800" t="s">
        <v>2277</v>
      </c>
      <c r="B2587" s="801">
        <v>31381016000</v>
      </c>
    </row>
    <row r="2588" spans="1:2">
      <c r="A2588" s="800" t="s">
        <v>2276</v>
      </c>
      <c r="B2588" s="801">
        <v>31381016101</v>
      </c>
    </row>
    <row r="2589" spans="1:2">
      <c r="A2589" s="800" t="s">
        <v>2275</v>
      </c>
      <c r="B2589" s="801">
        <v>31381016102</v>
      </c>
    </row>
    <row r="2590" spans="1:2">
      <c r="A2590" s="800" t="s">
        <v>2274</v>
      </c>
      <c r="B2590" s="801">
        <v>31381016103</v>
      </c>
    </row>
    <row r="2591" spans="1:2">
      <c r="A2591" s="800" t="s">
        <v>2273</v>
      </c>
      <c r="B2591" s="801">
        <v>31381017000</v>
      </c>
    </row>
    <row r="2592" spans="1:2">
      <c r="A2592" s="800" t="s">
        <v>2272</v>
      </c>
      <c r="B2592" s="801">
        <v>31381018000</v>
      </c>
    </row>
    <row r="2593" spans="1:2">
      <c r="A2593" s="800" t="s">
        <v>2271</v>
      </c>
      <c r="B2593" s="801">
        <v>31381019000</v>
      </c>
    </row>
    <row r="2594" spans="1:2">
      <c r="A2594" s="800" t="s">
        <v>2270</v>
      </c>
      <c r="B2594" s="801">
        <v>31381019101</v>
      </c>
    </row>
    <row r="2595" spans="1:2">
      <c r="A2595" s="800" t="s">
        <v>2269</v>
      </c>
      <c r="B2595" s="801">
        <v>31381019102</v>
      </c>
    </row>
    <row r="2596" spans="1:2">
      <c r="A2596" s="800" t="s">
        <v>2268</v>
      </c>
      <c r="B2596" s="801">
        <v>31381020000</v>
      </c>
    </row>
    <row r="2597" spans="1:2">
      <c r="A2597" s="800" t="s">
        <v>2267</v>
      </c>
      <c r="B2597" s="801">
        <v>31381021000</v>
      </c>
    </row>
    <row r="2598" spans="1:2">
      <c r="A2598" s="800" t="s">
        <v>2266</v>
      </c>
      <c r="B2598" s="801">
        <v>31381022000</v>
      </c>
    </row>
    <row r="2599" spans="1:2">
      <c r="A2599" s="800" t="s">
        <v>2265</v>
      </c>
      <c r="B2599" s="801">
        <v>31381023000</v>
      </c>
    </row>
    <row r="2600" spans="1:2">
      <c r="A2600" s="800" t="s">
        <v>2264</v>
      </c>
      <c r="B2600" s="801">
        <v>31381024000</v>
      </c>
    </row>
    <row r="2601" spans="1:2">
      <c r="A2601" s="800" t="s">
        <v>2263</v>
      </c>
      <c r="B2601" s="801">
        <v>31381024101</v>
      </c>
    </row>
    <row r="2602" spans="1:2">
      <c r="A2602" s="800" t="s">
        <v>2262</v>
      </c>
      <c r="B2602" s="801">
        <v>31381025000</v>
      </c>
    </row>
    <row r="2603" spans="1:2">
      <c r="A2603" s="800" t="s">
        <v>2261</v>
      </c>
      <c r="B2603" s="801">
        <v>31381026000</v>
      </c>
    </row>
    <row r="2604" spans="1:2">
      <c r="A2604" s="800" t="s">
        <v>2260</v>
      </c>
      <c r="B2604" s="801">
        <v>31381027000</v>
      </c>
    </row>
    <row r="2605" spans="1:2">
      <c r="A2605" s="800" t="s">
        <v>2259</v>
      </c>
      <c r="B2605" s="801">
        <v>31381028000</v>
      </c>
    </row>
    <row r="2606" spans="1:2">
      <c r="A2606" s="800" t="s">
        <v>2258</v>
      </c>
      <c r="B2606" s="801">
        <v>31381029000</v>
      </c>
    </row>
    <row r="2607" spans="1:2">
      <c r="A2607" s="800" t="s">
        <v>2257</v>
      </c>
      <c r="B2607" s="801">
        <v>31381030000</v>
      </c>
    </row>
    <row r="2608" spans="1:2">
      <c r="A2608" s="800" t="s">
        <v>2256</v>
      </c>
      <c r="B2608" s="801">
        <v>31381031000</v>
      </c>
    </row>
    <row r="2609" spans="1:2">
      <c r="A2609" s="800" t="s">
        <v>2255</v>
      </c>
      <c r="B2609" s="801">
        <v>31381031101</v>
      </c>
    </row>
    <row r="2610" spans="1:2">
      <c r="A2610" s="800" t="s">
        <v>2254</v>
      </c>
      <c r="B2610" s="801">
        <v>31381032000</v>
      </c>
    </row>
    <row r="2611" spans="1:2">
      <c r="A2611" s="800" t="s">
        <v>2253</v>
      </c>
      <c r="B2611" s="801">
        <v>31381033000</v>
      </c>
    </row>
    <row r="2612" spans="1:2">
      <c r="A2612" s="800" t="s">
        <v>2252</v>
      </c>
      <c r="B2612" s="801">
        <v>31382000000</v>
      </c>
    </row>
    <row r="2613" spans="1:2">
      <c r="A2613" s="800" t="s">
        <v>2251</v>
      </c>
      <c r="B2613" s="801">
        <v>31382001000</v>
      </c>
    </row>
    <row r="2614" spans="1:2">
      <c r="A2614" s="800" t="s">
        <v>2250</v>
      </c>
      <c r="B2614" s="801">
        <v>31382002000</v>
      </c>
    </row>
    <row r="2615" spans="1:2">
      <c r="A2615" s="800" t="s">
        <v>2249</v>
      </c>
      <c r="B2615" s="801">
        <v>31382003000</v>
      </c>
    </row>
    <row r="2616" spans="1:2">
      <c r="A2616" s="800" t="s">
        <v>2248</v>
      </c>
      <c r="B2616" s="801">
        <v>31382004000</v>
      </c>
    </row>
    <row r="2617" spans="1:2">
      <c r="A2617" s="800" t="s">
        <v>2247</v>
      </c>
      <c r="B2617" s="801">
        <v>31382005000</v>
      </c>
    </row>
    <row r="2618" spans="1:2">
      <c r="A2618" s="800" t="s">
        <v>2246</v>
      </c>
      <c r="B2618" s="801">
        <v>31382006000</v>
      </c>
    </row>
    <row r="2619" spans="1:2">
      <c r="A2619" s="800" t="s">
        <v>2245</v>
      </c>
      <c r="B2619" s="801">
        <v>31382007000</v>
      </c>
    </row>
    <row r="2620" spans="1:2">
      <c r="A2620" s="800" t="s">
        <v>2244</v>
      </c>
      <c r="B2620" s="801">
        <v>31382008000</v>
      </c>
    </row>
    <row r="2621" spans="1:2">
      <c r="A2621" s="800" t="s">
        <v>2243</v>
      </c>
      <c r="B2621" s="801">
        <v>31382009000</v>
      </c>
    </row>
    <row r="2622" spans="1:2">
      <c r="A2622" s="800" t="s">
        <v>2242</v>
      </c>
      <c r="B2622" s="801">
        <v>31382010000</v>
      </c>
    </row>
    <row r="2623" spans="1:2">
      <c r="A2623" s="800" t="s">
        <v>2241</v>
      </c>
      <c r="B2623" s="801">
        <v>31382011000</v>
      </c>
    </row>
    <row r="2624" spans="1:2">
      <c r="A2624" s="800" t="s">
        <v>2240</v>
      </c>
      <c r="B2624" s="801">
        <v>31382012000</v>
      </c>
    </row>
    <row r="2625" spans="1:2">
      <c r="A2625" s="800" t="s">
        <v>2239</v>
      </c>
      <c r="B2625" s="801">
        <v>31382013000</v>
      </c>
    </row>
    <row r="2626" spans="1:2">
      <c r="A2626" s="800" t="s">
        <v>2238</v>
      </c>
      <c r="B2626" s="801">
        <v>31382014000</v>
      </c>
    </row>
    <row r="2627" spans="1:2">
      <c r="A2627" s="800" t="s">
        <v>2237</v>
      </c>
      <c r="B2627" s="801">
        <v>31382015000</v>
      </c>
    </row>
    <row r="2628" spans="1:2">
      <c r="A2628" s="800" t="s">
        <v>2236</v>
      </c>
      <c r="B2628" s="801">
        <v>31382016000</v>
      </c>
    </row>
    <row r="2629" spans="1:2">
      <c r="A2629" s="800" t="s">
        <v>2235</v>
      </c>
      <c r="B2629" s="801">
        <v>31382017000</v>
      </c>
    </row>
    <row r="2630" spans="1:2">
      <c r="A2630" s="800" t="s">
        <v>2234</v>
      </c>
      <c r="B2630" s="801">
        <v>31382018000</v>
      </c>
    </row>
    <row r="2631" spans="1:2">
      <c r="A2631" s="800" t="s">
        <v>2233</v>
      </c>
      <c r="B2631" s="801">
        <v>31382018101</v>
      </c>
    </row>
    <row r="2632" spans="1:2">
      <c r="A2632" s="800" t="s">
        <v>2232</v>
      </c>
      <c r="B2632" s="801">
        <v>31382019000</v>
      </c>
    </row>
    <row r="2633" spans="1:2">
      <c r="A2633" s="800" t="s">
        <v>2231</v>
      </c>
      <c r="B2633" s="801">
        <v>31383000000</v>
      </c>
    </row>
    <row r="2634" spans="1:2">
      <c r="A2634" s="800" t="s">
        <v>2230</v>
      </c>
      <c r="B2634" s="801">
        <v>31383001000</v>
      </c>
    </row>
    <row r="2635" spans="1:2">
      <c r="A2635" s="800" t="s">
        <v>2229</v>
      </c>
      <c r="B2635" s="801">
        <v>31383002000</v>
      </c>
    </row>
    <row r="2636" spans="1:2">
      <c r="A2636" s="800" t="s">
        <v>2228</v>
      </c>
      <c r="B2636" s="801">
        <v>31383003000</v>
      </c>
    </row>
    <row r="2637" spans="1:2">
      <c r="A2637" s="800" t="s">
        <v>2227</v>
      </c>
      <c r="B2637" s="801">
        <v>31383003101</v>
      </c>
    </row>
    <row r="2638" spans="1:2">
      <c r="A2638" s="800" t="s">
        <v>2226</v>
      </c>
      <c r="B2638" s="801">
        <v>31383003102</v>
      </c>
    </row>
    <row r="2639" spans="1:2">
      <c r="A2639" s="800" t="s">
        <v>2225</v>
      </c>
      <c r="B2639" s="801">
        <v>31383003103</v>
      </c>
    </row>
    <row r="2640" spans="1:2">
      <c r="A2640" s="800" t="s">
        <v>2224</v>
      </c>
      <c r="B2640" s="801">
        <v>31383004000</v>
      </c>
    </row>
    <row r="2641" spans="1:2">
      <c r="A2641" s="800" t="s">
        <v>2223</v>
      </c>
      <c r="B2641" s="801">
        <v>31383005000</v>
      </c>
    </row>
    <row r="2642" spans="1:2">
      <c r="A2642" s="800" t="s">
        <v>2222</v>
      </c>
      <c r="B2642" s="801">
        <v>31383006000</v>
      </c>
    </row>
    <row r="2643" spans="1:2">
      <c r="A2643" s="800" t="s">
        <v>2221</v>
      </c>
      <c r="B2643" s="801">
        <v>31383007000</v>
      </c>
    </row>
    <row r="2644" spans="1:2">
      <c r="A2644" s="800" t="s">
        <v>2220</v>
      </c>
      <c r="B2644" s="801">
        <v>31383008000</v>
      </c>
    </row>
    <row r="2645" spans="1:2">
      <c r="A2645" s="800" t="s">
        <v>2219</v>
      </c>
      <c r="B2645" s="801">
        <v>31383009000</v>
      </c>
    </row>
    <row r="2646" spans="1:2">
      <c r="A2646" s="800" t="s">
        <v>2218</v>
      </c>
      <c r="B2646" s="801">
        <v>31383010000</v>
      </c>
    </row>
    <row r="2647" spans="1:2">
      <c r="A2647" s="800" t="s">
        <v>2217</v>
      </c>
      <c r="B2647" s="801">
        <v>31383010101</v>
      </c>
    </row>
    <row r="2648" spans="1:2">
      <c r="A2648" s="800" t="s">
        <v>2216</v>
      </c>
      <c r="B2648" s="801">
        <v>31383010102</v>
      </c>
    </row>
    <row r="2649" spans="1:2">
      <c r="A2649" s="800" t="s">
        <v>2215</v>
      </c>
      <c r="B2649" s="801">
        <v>31383011000</v>
      </c>
    </row>
    <row r="2650" spans="1:2">
      <c r="A2650" s="800" t="s">
        <v>2214</v>
      </c>
      <c r="B2650" s="801">
        <v>31383011101</v>
      </c>
    </row>
    <row r="2651" spans="1:2">
      <c r="A2651" s="800" t="s">
        <v>2213</v>
      </c>
      <c r="B2651" s="801">
        <v>31383012000</v>
      </c>
    </row>
    <row r="2652" spans="1:2">
      <c r="A2652" s="800" t="s">
        <v>2212</v>
      </c>
      <c r="B2652" s="801">
        <v>31383013000</v>
      </c>
    </row>
    <row r="2653" spans="1:2">
      <c r="A2653" s="800" t="s">
        <v>2211</v>
      </c>
      <c r="B2653" s="801">
        <v>31383013101</v>
      </c>
    </row>
    <row r="2654" spans="1:2">
      <c r="A2654" s="800" t="s">
        <v>2210</v>
      </c>
      <c r="B2654" s="801">
        <v>31383014000</v>
      </c>
    </row>
    <row r="2655" spans="1:2">
      <c r="A2655" s="800" t="s">
        <v>2209</v>
      </c>
      <c r="B2655" s="801">
        <v>31383015000</v>
      </c>
    </row>
    <row r="2656" spans="1:2">
      <c r="A2656" s="800" t="s">
        <v>2208</v>
      </c>
      <c r="B2656" s="801">
        <v>31383016000</v>
      </c>
    </row>
    <row r="2657" spans="1:2">
      <c r="A2657" s="800" t="s">
        <v>2207</v>
      </c>
      <c r="B2657" s="801">
        <v>31383017000</v>
      </c>
    </row>
    <row r="2658" spans="1:2">
      <c r="A2658" s="800" t="s">
        <v>2206</v>
      </c>
      <c r="B2658" s="801">
        <v>31383018000</v>
      </c>
    </row>
    <row r="2659" spans="1:2">
      <c r="A2659" s="800" t="s">
        <v>2205</v>
      </c>
      <c r="B2659" s="801">
        <v>31383019000</v>
      </c>
    </row>
    <row r="2660" spans="1:2">
      <c r="A2660" s="800" t="s">
        <v>2204</v>
      </c>
      <c r="B2660" s="801">
        <v>31383020000</v>
      </c>
    </row>
    <row r="2661" spans="1:2">
      <c r="A2661" s="800" t="s">
        <v>2203</v>
      </c>
      <c r="B2661" s="801">
        <v>31383021000</v>
      </c>
    </row>
    <row r="2662" spans="1:2">
      <c r="A2662" s="800" t="s">
        <v>2202</v>
      </c>
      <c r="B2662" s="801">
        <v>31383022000</v>
      </c>
    </row>
    <row r="2663" spans="1:2">
      <c r="A2663" s="800" t="s">
        <v>2201</v>
      </c>
      <c r="B2663" s="801">
        <v>31383023000</v>
      </c>
    </row>
    <row r="2664" spans="1:2">
      <c r="A2664" s="800" t="s">
        <v>2200</v>
      </c>
      <c r="B2664" s="801">
        <v>31384000000</v>
      </c>
    </row>
    <row r="2665" spans="1:2">
      <c r="A2665" s="800" t="s">
        <v>2199</v>
      </c>
      <c r="B2665" s="801">
        <v>31384001000</v>
      </c>
    </row>
    <row r="2666" spans="1:2">
      <c r="A2666" s="800" t="s">
        <v>2198</v>
      </c>
      <c r="B2666" s="801">
        <v>31384002000</v>
      </c>
    </row>
    <row r="2667" spans="1:2">
      <c r="A2667" s="800" t="s">
        <v>2197</v>
      </c>
      <c r="B2667" s="801">
        <v>31384003000</v>
      </c>
    </row>
    <row r="2668" spans="1:2">
      <c r="A2668" s="800" t="s">
        <v>2196</v>
      </c>
      <c r="B2668" s="801">
        <v>31385000000</v>
      </c>
    </row>
    <row r="2669" spans="1:2">
      <c r="A2669" s="800" t="s">
        <v>2195</v>
      </c>
      <c r="B2669" s="801">
        <v>31385001000</v>
      </c>
    </row>
    <row r="2670" spans="1:2">
      <c r="A2670" s="800" t="s">
        <v>2194</v>
      </c>
      <c r="B2670" s="801">
        <v>31385002000</v>
      </c>
    </row>
    <row r="2671" spans="1:2">
      <c r="A2671" s="800" t="s">
        <v>2193</v>
      </c>
      <c r="B2671" s="801">
        <v>31385003000</v>
      </c>
    </row>
    <row r="2672" spans="1:2">
      <c r="A2672" s="800" t="s">
        <v>2192</v>
      </c>
      <c r="B2672" s="801">
        <v>31385003101</v>
      </c>
    </row>
    <row r="2673" spans="1:2">
      <c r="A2673" s="800" t="s">
        <v>2191</v>
      </c>
      <c r="B2673" s="801">
        <v>31385003102</v>
      </c>
    </row>
    <row r="2674" spans="1:2">
      <c r="A2674" s="800" t="s">
        <v>2190</v>
      </c>
      <c r="B2674" s="801">
        <v>31385004000</v>
      </c>
    </row>
    <row r="2675" spans="1:2">
      <c r="A2675" s="800" t="s">
        <v>2189</v>
      </c>
      <c r="B2675" s="801">
        <v>31385004101</v>
      </c>
    </row>
    <row r="2676" spans="1:2">
      <c r="A2676" s="800" t="s">
        <v>2188</v>
      </c>
      <c r="B2676" s="801">
        <v>31385004102</v>
      </c>
    </row>
    <row r="2677" spans="1:2">
      <c r="A2677" s="800" t="s">
        <v>2187</v>
      </c>
      <c r="B2677" s="801">
        <v>31385005000</v>
      </c>
    </row>
    <row r="2678" spans="1:2">
      <c r="A2678" s="800" t="s">
        <v>2186</v>
      </c>
      <c r="B2678" s="801">
        <v>31385006000</v>
      </c>
    </row>
    <row r="2679" spans="1:2">
      <c r="A2679" s="800" t="s">
        <v>2185</v>
      </c>
      <c r="B2679" s="801">
        <v>31385007000</v>
      </c>
    </row>
    <row r="2680" spans="1:2">
      <c r="A2680" s="800" t="s">
        <v>2184</v>
      </c>
      <c r="B2680" s="801">
        <v>31385008000</v>
      </c>
    </row>
    <row r="2681" spans="1:2">
      <c r="A2681" s="800" t="s">
        <v>2183</v>
      </c>
      <c r="B2681" s="801">
        <v>31385008101</v>
      </c>
    </row>
    <row r="2682" spans="1:2">
      <c r="A2682" s="800" t="s">
        <v>2182</v>
      </c>
      <c r="B2682" s="801">
        <v>31385008102</v>
      </c>
    </row>
    <row r="2683" spans="1:2">
      <c r="A2683" s="800" t="s">
        <v>2181</v>
      </c>
      <c r="B2683" s="801">
        <v>31385009000</v>
      </c>
    </row>
    <row r="2684" spans="1:2">
      <c r="A2684" s="800" t="s">
        <v>2180</v>
      </c>
      <c r="B2684" s="801">
        <v>31385010000</v>
      </c>
    </row>
    <row r="2685" spans="1:2">
      <c r="A2685" s="800" t="s">
        <v>2179</v>
      </c>
      <c r="B2685" s="801">
        <v>31385010101</v>
      </c>
    </row>
    <row r="2686" spans="1:2">
      <c r="A2686" s="800" t="s">
        <v>2178</v>
      </c>
      <c r="B2686" s="801">
        <v>31385010102</v>
      </c>
    </row>
    <row r="2687" spans="1:2">
      <c r="A2687" s="800" t="s">
        <v>2177</v>
      </c>
      <c r="B2687" s="801">
        <v>31385010103</v>
      </c>
    </row>
    <row r="2688" spans="1:2">
      <c r="A2688" s="800" t="s">
        <v>2176</v>
      </c>
      <c r="B2688" s="801">
        <v>31385011000</v>
      </c>
    </row>
    <row r="2689" spans="1:2">
      <c r="A2689" s="800" t="s">
        <v>2175</v>
      </c>
      <c r="B2689" s="801">
        <v>31385012000</v>
      </c>
    </row>
    <row r="2690" spans="1:2">
      <c r="A2690" s="800" t="s">
        <v>2174</v>
      </c>
      <c r="B2690" s="801">
        <v>31385013000</v>
      </c>
    </row>
    <row r="2691" spans="1:2">
      <c r="A2691" s="800" t="s">
        <v>2173</v>
      </c>
      <c r="B2691" s="801">
        <v>31385013101</v>
      </c>
    </row>
    <row r="2692" spans="1:2">
      <c r="A2692" s="800" t="s">
        <v>2172</v>
      </c>
      <c r="B2692" s="801">
        <v>31385013102</v>
      </c>
    </row>
    <row r="2693" spans="1:2">
      <c r="A2693" s="800" t="s">
        <v>2171</v>
      </c>
      <c r="B2693" s="801">
        <v>31385014000</v>
      </c>
    </row>
    <row r="2694" spans="1:2">
      <c r="A2694" s="800" t="s">
        <v>2170</v>
      </c>
      <c r="B2694" s="801">
        <v>31385015000</v>
      </c>
    </row>
    <row r="2695" spans="1:2">
      <c r="A2695" s="800" t="s">
        <v>2169</v>
      </c>
      <c r="B2695" s="801">
        <v>31385016000</v>
      </c>
    </row>
    <row r="2696" spans="1:2">
      <c r="A2696" s="800" t="s">
        <v>2168</v>
      </c>
      <c r="B2696" s="801">
        <v>31385016101</v>
      </c>
    </row>
    <row r="2697" spans="1:2">
      <c r="A2697" s="800" t="s">
        <v>2167</v>
      </c>
      <c r="B2697" s="801">
        <v>31385016102</v>
      </c>
    </row>
    <row r="2698" spans="1:2">
      <c r="A2698" s="800" t="s">
        <v>2166</v>
      </c>
      <c r="B2698" s="801">
        <v>31385016103</v>
      </c>
    </row>
    <row r="2699" spans="1:2">
      <c r="A2699" s="800" t="s">
        <v>2165</v>
      </c>
      <c r="B2699" s="801">
        <v>31385016104</v>
      </c>
    </row>
    <row r="2700" spans="1:2">
      <c r="A2700" s="800" t="s">
        <v>2164</v>
      </c>
      <c r="B2700" s="801">
        <v>31385016105</v>
      </c>
    </row>
    <row r="2701" spans="1:2">
      <c r="A2701" s="800" t="s">
        <v>2163</v>
      </c>
      <c r="B2701" s="801">
        <v>31385016106</v>
      </c>
    </row>
    <row r="2702" spans="1:2">
      <c r="A2702" s="800" t="s">
        <v>2162</v>
      </c>
      <c r="B2702" s="801">
        <v>31385016107</v>
      </c>
    </row>
    <row r="2703" spans="1:2">
      <c r="A2703" s="800" t="s">
        <v>2161</v>
      </c>
      <c r="B2703" s="801">
        <v>31385016108</v>
      </c>
    </row>
    <row r="2704" spans="1:2">
      <c r="A2704" s="800" t="s">
        <v>2160</v>
      </c>
      <c r="B2704" s="801">
        <v>31386000000</v>
      </c>
    </row>
    <row r="2705" spans="1:2">
      <c r="A2705" s="800" t="s">
        <v>2159</v>
      </c>
      <c r="B2705" s="801">
        <v>31386001000</v>
      </c>
    </row>
    <row r="2706" spans="1:2">
      <c r="A2706" s="800" t="s">
        <v>2158</v>
      </c>
      <c r="B2706" s="801">
        <v>31386001101</v>
      </c>
    </row>
    <row r="2707" spans="1:2">
      <c r="A2707" s="800" t="s">
        <v>2157</v>
      </c>
      <c r="B2707" s="801">
        <v>31386001102</v>
      </c>
    </row>
    <row r="2708" spans="1:2">
      <c r="A2708" s="800" t="s">
        <v>2156</v>
      </c>
      <c r="B2708" s="801">
        <v>31386001103</v>
      </c>
    </row>
    <row r="2709" spans="1:2">
      <c r="A2709" s="800" t="s">
        <v>2155</v>
      </c>
      <c r="B2709" s="801">
        <v>31386001104</v>
      </c>
    </row>
    <row r="2710" spans="1:2">
      <c r="A2710" s="800" t="s">
        <v>2154</v>
      </c>
      <c r="B2710" s="801">
        <v>31386001105</v>
      </c>
    </row>
    <row r="2711" spans="1:2">
      <c r="A2711" s="800" t="s">
        <v>2153</v>
      </c>
      <c r="B2711" s="801">
        <v>31386002000</v>
      </c>
    </row>
    <row r="2712" spans="1:2">
      <c r="A2712" s="800" t="s">
        <v>2152</v>
      </c>
      <c r="B2712" s="801">
        <v>31386003000</v>
      </c>
    </row>
    <row r="2713" spans="1:2">
      <c r="A2713" s="800" t="s">
        <v>2151</v>
      </c>
      <c r="B2713" s="801">
        <v>31386004000</v>
      </c>
    </row>
    <row r="2714" spans="1:2">
      <c r="A2714" s="800" t="s">
        <v>2150</v>
      </c>
      <c r="B2714" s="801">
        <v>31386005000</v>
      </c>
    </row>
    <row r="2715" spans="1:2">
      <c r="A2715" s="800" t="s">
        <v>2149</v>
      </c>
      <c r="B2715" s="801">
        <v>31386006000</v>
      </c>
    </row>
    <row r="2716" spans="1:2">
      <c r="A2716" s="800" t="s">
        <v>2148</v>
      </c>
      <c r="B2716" s="801">
        <v>31386007000</v>
      </c>
    </row>
    <row r="2717" spans="1:2">
      <c r="A2717" s="800" t="s">
        <v>2147</v>
      </c>
      <c r="B2717" s="801">
        <v>31386007101</v>
      </c>
    </row>
    <row r="2718" spans="1:2">
      <c r="A2718" s="800" t="s">
        <v>2146</v>
      </c>
      <c r="B2718" s="801">
        <v>31386008000</v>
      </c>
    </row>
    <row r="2719" spans="1:2">
      <c r="A2719" s="800" t="s">
        <v>2145</v>
      </c>
      <c r="B2719" s="801">
        <v>31386009000</v>
      </c>
    </row>
    <row r="2720" spans="1:2">
      <c r="A2720" s="800" t="s">
        <v>2144</v>
      </c>
      <c r="B2720" s="801">
        <v>31386010000</v>
      </c>
    </row>
    <row r="2721" spans="1:2">
      <c r="A2721" s="800" t="s">
        <v>2143</v>
      </c>
      <c r="B2721" s="801">
        <v>31386011000</v>
      </c>
    </row>
    <row r="2722" spans="1:2">
      <c r="A2722" s="800" t="s">
        <v>2142</v>
      </c>
      <c r="B2722" s="801">
        <v>31386012000</v>
      </c>
    </row>
    <row r="2723" spans="1:2">
      <c r="A2723" s="800" t="s">
        <v>2141</v>
      </c>
      <c r="B2723" s="801">
        <v>31386013000</v>
      </c>
    </row>
    <row r="2724" spans="1:2">
      <c r="A2724" s="800" t="s">
        <v>2140</v>
      </c>
      <c r="B2724" s="801">
        <v>31386013101</v>
      </c>
    </row>
    <row r="2725" spans="1:2">
      <c r="A2725" s="800" t="s">
        <v>2139</v>
      </c>
      <c r="B2725" s="801">
        <v>31386014000</v>
      </c>
    </row>
    <row r="2726" spans="1:2">
      <c r="A2726" s="800" t="s">
        <v>2138</v>
      </c>
      <c r="B2726" s="801">
        <v>31386015000</v>
      </c>
    </row>
    <row r="2727" spans="1:2">
      <c r="A2727" s="800" t="s">
        <v>2137</v>
      </c>
      <c r="B2727" s="801">
        <v>31386016000</v>
      </c>
    </row>
    <row r="2728" spans="1:2">
      <c r="A2728" s="800" t="s">
        <v>2136</v>
      </c>
      <c r="B2728" s="801">
        <v>31386017000</v>
      </c>
    </row>
    <row r="2729" spans="1:2">
      <c r="A2729" s="800" t="s">
        <v>2135</v>
      </c>
      <c r="B2729" s="801">
        <v>31386018000</v>
      </c>
    </row>
    <row r="2730" spans="1:2">
      <c r="A2730" s="800" t="s">
        <v>2134</v>
      </c>
      <c r="B2730" s="801">
        <v>31386018101</v>
      </c>
    </row>
    <row r="2731" spans="1:2">
      <c r="A2731" s="800" t="s">
        <v>2133</v>
      </c>
      <c r="B2731" s="801">
        <v>31386018102</v>
      </c>
    </row>
    <row r="2732" spans="1:2">
      <c r="A2732" s="800" t="s">
        <v>2132</v>
      </c>
      <c r="B2732" s="801">
        <v>31386018103</v>
      </c>
    </row>
    <row r="2733" spans="1:2">
      <c r="A2733" s="800" t="s">
        <v>2131</v>
      </c>
      <c r="B2733" s="801">
        <v>31386018104</v>
      </c>
    </row>
    <row r="2734" spans="1:2">
      <c r="A2734" s="800" t="s">
        <v>2130</v>
      </c>
      <c r="B2734" s="801">
        <v>31386018105</v>
      </c>
    </row>
    <row r="2735" spans="1:2">
      <c r="A2735" s="800" t="s">
        <v>2129</v>
      </c>
      <c r="B2735" s="801">
        <v>31386019000</v>
      </c>
    </row>
    <row r="2736" spans="1:2">
      <c r="A2736" s="800" t="s">
        <v>2128</v>
      </c>
      <c r="B2736" s="801">
        <v>31386020000</v>
      </c>
    </row>
    <row r="2737" spans="1:2">
      <c r="A2737" s="800" t="s">
        <v>2127</v>
      </c>
      <c r="B2737" s="801">
        <v>31386021000</v>
      </c>
    </row>
    <row r="2738" spans="1:2">
      <c r="A2738" s="800" t="s">
        <v>2126</v>
      </c>
      <c r="B2738" s="801">
        <v>31386022000</v>
      </c>
    </row>
    <row r="2739" spans="1:2">
      <c r="A2739" s="800" t="s">
        <v>2125</v>
      </c>
      <c r="B2739" s="801">
        <v>31386023000</v>
      </c>
    </row>
    <row r="2740" spans="1:2">
      <c r="A2740" s="800" t="s">
        <v>2124</v>
      </c>
      <c r="B2740" s="801">
        <v>31386024000</v>
      </c>
    </row>
    <row r="2741" spans="1:2">
      <c r="A2741" s="800" t="s">
        <v>2123</v>
      </c>
      <c r="B2741" s="801">
        <v>31386025000</v>
      </c>
    </row>
    <row r="2742" spans="1:2">
      <c r="A2742" s="800" t="s">
        <v>2122</v>
      </c>
      <c r="B2742" s="801">
        <v>31386026000</v>
      </c>
    </row>
    <row r="2743" spans="1:2">
      <c r="A2743" s="800" t="s">
        <v>2121</v>
      </c>
      <c r="B2743" s="801">
        <v>31386027000</v>
      </c>
    </row>
    <row r="2744" spans="1:2">
      <c r="A2744" s="800" t="s">
        <v>2120</v>
      </c>
      <c r="B2744" s="801">
        <v>31386028000</v>
      </c>
    </row>
    <row r="2745" spans="1:2">
      <c r="A2745" s="800" t="s">
        <v>2119</v>
      </c>
      <c r="B2745" s="801">
        <v>31386029000</v>
      </c>
    </row>
    <row r="2746" spans="1:2">
      <c r="A2746" s="800" t="s">
        <v>2118</v>
      </c>
      <c r="B2746" s="801">
        <v>31386030000</v>
      </c>
    </row>
    <row r="2747" spans="1:2">
      <c r="A2747" s="800" t="s">
        <v>2117</v>
      </c>
      <c r="B2747" s="801">
        <v>31386031000</v>
      </c>
    </row>
    <row r="2748" spans="1:2">
      <c r="A2748" s="800" t="s">
        <v>2116</v>
      </c>
      <c r="B2748" s="801">
        <v>31386032000</v>
      </c>
    </row>
    <row r="2749" spans="1:2">
      <c r="A2749" s="800" t="s">
        <v>2115</v>
      </c>
      <c r="B2749" s="801">
        <v>31386032101</v>
      </c>
    </row>
    <row r="2750" spans="1:2">
      <c r="A2750" s="800" t="s">
        <v>2114</v>
      </c>
      <c r="B2750" s="801">
        <v>31386033000</v>
      </c>
    </row>
    <row r="2751" spans="1:2">
      <c r="A2751" s="800" t="s">
        <v>2113</v>
      </c>
      <c r="B2751" s="801">
        <v>31386034000</v>
      </c>
    </row>
    <row r="2752" spans="1:2">
      <c r="A2752" s="800" t="s">
        <v>2112</v>
      </c>
      <c r="B2752" s="801">
        <v>31386035000</v>
      </c>
    </row>
    <row r="2753" spans="1:2">
      <c r="A2753" s="800" t="s">
        <v>2111</v>
      </c>
      <c r="B2753" s="801">
        <v>31386035101</v>
      </c>
    </row>
    <row r="2754" spans="1:2">
      <c r="A2754" s="800" t="s">
        <v>2110</v>
      </c>
      <c r="B2754" s="801">
        <v>31386035102</v>
      </c>
    </row>
    <row r="2755" spans="1:2">
      <c r="A2755" s="800" t="s">
        <v>2109</v>
      </c>
      <c r="B2755" s="801">
        <v>31386035103</v>
      </c>
    </row>
    <row r="2756" spans="1:2">
      <c r="A2756" s="800" t="s">
        <v>2108</v>
      </c>
      <c r="B2756" s="801">
        <v>31386035104</v>
      </c>
    </row>
    <row r="2757" spans="1:2">
      <c r="A2757" s="800" t="s">
        <v>2107</v>
      </c>
      <c r="B2757" s="801">
        <v>31386036000</v>
      </c>
    </row>
    <row r="2758" spans="1:2">
      <c r="A2758" s="800" t="s">
        <v>2106</v>
      </c>
      <c r="B2758" s="801">
        <v>31386037000</v>
      </c>
    </row>
    <row r="2759" spans="1:2">
      <c r="A2759" s="800" t="s">
        <v>2105</v>
      </c>
      <c r="B2759" s="801">
        <v>31386037101</v>
      </c>
    </row>
    <row r="2760" spans="1:2">
      <c r="A2760" s="800" t="s">
        <v>2104</v>
      </c>
      <c r="B2760" s="801">
        <v>31386037102</v>
      </c>
    </row>
    <row r="2761" spans="1:2">
      <c r="A2761" s="800" t="s">
        <v>2103</v>
      </c>
      <c r="B2761" s="801">
        <v>31386037103</v>
      </c>
    </row>
    <row r="2762" spans="1:2">
      <c r="A2762" s="800" t="s">
        <v>2102</v>
      </c>
      <c r="B2762" s="801">
        <v>31386038000</v>
      </c>
    </row>
    <row r="2763" spans="1:2">
      <c r="A2763" s="800" t="s">
        <v>2101</v>
      </c>
      <c r="B2763" s="801">
        <v>31386038101</v>
      </c>
    </row>
    <row r="2764" spans="1:2">
      <c r="A2764" s="800" t="s">
        <v>2100</v>
      </c>
      <c r="B2764" s="801">
        <v>31386038102</v>
      </c>
    </row>
    <row r="2765" spans="1:2">
      <c r="A2765" s="800" t="s">
        <v>2099</v>
      </c>
      <c r="B2765" s="801">
        <v>31386038103</v>
      </c>
    </row>
    <row r="2766" spans="1:2">
      <c r="A2766" s="800" t="s">
        <v>2098</v>
      </c>
      <c r="B2766" s="801">
        <v>31386038104</v>
      </c>
    </row>
    <row r="2767" spans="1:2">
      <c r="A2767" s="800" t="s">
        <v>2097</v>
      </c>
      <c r="B2767" s="801">
        <v>31386038105</v>
      </c>
    </row>
    <row r="2768" spans="1:2">
      <c r="A2768" s="800" t="s">
        <v>2096</v>
      </c>
      <c r="B2768" s="801">
        <v>31386038106</v>
      </c>
    </row>
    <row r="2769" spans="1:2">
      <c r="A2769" s="800" t="s">
        <v>2095</v>
      </c>
      <c r="B2769" s="801">
        <v>31386039000</v>
      </c>
    </row>
    <row r="2770" spans="1:2">
      <c r="A2770" s="800" t="s">
        <v>2094</v>
      </c>
      <c r="B2770" s="801">
        <v>31386040000</v>
      </c>
    </row>
    <row r="2771" spans="1:2">
      <c r="A2771" s="800" t="s">
        <v>2093</v>
      </c>
      <c r="B2771" s="801">
        <v>31386040101</v>
      </c>
    </row>
    <row r="2772" spans="1:2">
      <c r="A2772" s="800" t="s">
        <v>2092</v>
      </c>
      <c r="B2772" s="801">
        <v>31386041000</v>
      </c>
    </row>
    <row r="2773" spans="1:2">
      <c r="A2773" s="800" t="s">
        <v>2091</v>
      </c>
      <c r="B2773" s="801">
        <v>31386041101</v>
      </c>
    </row>
    <row r="2774" spans="1:2">
      <c r="A2774" s="800" t="s">
        <v>2090</v>
      </c>
      <c r="B2774" s="801">
        <v>31386042000</v>
      </c>
    </row>
    <row r="2775" spans="1:2">
      <c r="A2775" s="800" t="s">
        <v>2089</v>
      </c>
      <c r="B2775" s="801">
        <v>31386043000</v>
      </c>
    </row>
    <row r="2776" spans="1:2">
      <c r="A2776" s="800" t="s">
        <v>2088</v>
      </c>
      <c r="B2776" s="801">
        <v>31386043101</v>
      </c>
    </row>
    <row r="2777" spans="1:2">
      <c r="A2777" s="800" t="s">
        <v>2087</v>
      </c>
      <c r="B2777" s="801">
        <v>31386043102</v>
      </c>
    </row>
    <row r="2778" spans="1:2">
      <c r="A2778" s="800" t="s">
        <v>2086</v>
      </c>
      <c r="B2778" s="801">
        <v>31386044000</v>
      </c>
    </row>
    <row r="2779" spans="1:2">
      <c r="A2779" s="800" t="s">
        <v>2085</v>
      </c>
      <c r="B2779" s="801">
        <v>31386044101</v>
      </c>
    </row>
    <row r="2780" spans="1:2">
      <c r="A2780" s="800" t="s">
        <v>2084</v>
      </c>
      <c r="B2780" s="801">
        <v>31386044102</v>
      </c>
    </row>
    <row r="2781" spans="1:2">
      <c r="A2781" s="800" t="s">
        <v>2083</v>
      </c>
      <c r="B2781" s="801">
        <v>31386045000</v>
      </c>
    </row>
    <row r="2782" spans="1:2">
      <c r="A2782" s="800" t="s">
        <v>2082</v>
      </c>
      <c r="B2782" s="801">
        <v>31386045101</v>
      </c>
    </row>
    <row r="2783" spans="1:2">
      <c r="A2783" s="800" t="s">
        <v>2081</v>
      </c>
      <c r="B2783" s="801">
        <v>31386045102</v>
      </c>
    </row>
    <row r="2784" spans="1:2">
      <c r="A2784" s="800" t="s">
        <v>2080</v>
      </c>
      <c r="B2784" s="801">
        <v>31386046000</v>
      </c>
    </row>
    <row r="2785" spans="1:2">
      <c r="A2785" s="800" t="s">
        <v>2079</v>
      </c>
      <c r="B2785" s="801">
        <v>31386046101</v>
      </c>
    </row>
    <row r="2786" spans="1:2">
      <c r="A2786" s="800" t="s">
        <v>2078</v>
      </c>
      <c r="B2786" s="801">
        <v>31386047000</v>
      </c>
    </row>
    <row r="2787" spans="1:2">
      <c r="A2787" s="800" t="s">
        <v>2077</v>
      </c>
      <c r="B2787" s="801">
        <v>31386047101</v>
      </c>
    </row>
    <row r="2788" spans="1:2">
      <c r="A2788" s="800" t="s">
        <v>2076</v>
      </c>
      <c r="B2788" s="801">
        <v>31386048000</v>
      </c>
    </row>
    <row r="2789" spans="1:2">
      <c r="A2789" s="800" t="s">
        <v>2075</v>
      </c>
      <c r="B2789" s="801">
        <v>31386048101</v>
      </c>
    </row>
    <row r="2790" spans="1:2">
      <c r="A2790" s="800" t="s">
        <v>2074</v>
      </c>
      <c r="B2790" s="801">
        <v>31386048102</v>
      </c>
    </row>
    <row r="2791" spans="1:2">
      <c r="A2791" s="800" t="s">
        <v>2073</v>
      </c>
      <c r="B2791" s="801">
        <v>31386048103</v>
      </c>
    </row>
    <row r="2792" spans="1:2">
      <c r="A2792" s="800" t="s">
        <v>2072</v>
      </c>
      <c r="B2792" s="801">
        <v>31386048104</v>
      </c>
    </row>
    <row r="2793" spans="1:2">
      <c r="A2793" s="800" t="s">
        <v>2071</v>
      </c>
      <c r="B2793" s="801">
        <v>31386048105</v>
      </c>
    </row>
    <row r="2794" spans="1:2">
      <c r="A2794" s="800" t="s">
        <v>2070</v>
      </c>
      <c r="B2794" s="801">
        <v>31386049000</v>
      </c>
    </row>
    <row r="2795" spans="1:2">
      <c r="A2795" s="800" t="s">
        <v>2069</v>
      </c>
      <c r="B2795" s="801">
        <v>31386049101</v>
      </c>
    </row>
    <row r="2796" spans="1:2">
      <c r="A2796" s="800" t="s">
        <v>2068</v>
      </c>
      <c r="B2796" s="801">
        <v>31386050000</v>
      </c>
    </row>
    <row r="2797" spans="1:2">
      <c r="A2797" s="800" t="s">
        <v>2067</v>
      </c>
      <c r="B2797" s="801">
        <v>31386050101</v>
      </c>
    </row>
    <row r="2798" spans="1:2">
      <c r="A2798" s="800" t="s">
        <v>2066</v>
      </c>
      <c r="B2798" s="801">
        <v>31386050102</v>
      </c>
    </row>
    <row r="2799" spans="1:2">
      <c r="A2799" s="800" t="s">
        <v>2065</v>
      </c>
      <c r="B2799" s="801">
        <v>31386050103</v>
      </c>
    </row>
    <row r="2800" spans="1:2">
      <c r="A2800" s="800" t="s">
        <v>2064</v>
      </c>
      <c r="B2800" s="801">
        <v>31386050104</v>
      </c>
    </row>
    <row r="2801" spans="1:2">
      <c r="A2801" s="800" t="s">
        <v>2063</v>
      </c>
      <c r="B2801" s="801">
        <v>31386050105</v>
      </c>
    </row>
    <row r="2802" spans="1:2">
      <c r="A2802" s="800" t="s">
        <v>2062</v>
      </c>
      <c r="B2802" s="801">
        <v>31386051000</v>
      </c>
    </row>
    <row r="2803" spans="1:2">
      <c r="A2803" s="800" t="s">
        <v>2061</v>
      </c>
      <c r="B2803" s="801">
        <v>31386052000</v>
      </c>
    </row>
    <row r="2804" spans="1:2">
      <c r="A2804" s="800" t="s">
        <v>2060</v>
      </c>
      <c r="B2804" s="801">
        <v>31386053000</v>
      </c>
    </row>
    <row r="2805" spans="1:2">
      <c r="A2805" s="800" t="s">
        <v>2059</v>
      </c>
      <c r="B2805" s="801">
        <v>31386054000</v>
      </c>
    </row>
    <row r="2806" spans="1:2">
      <c r="A2806" s="800" t="s">
        <v>2058</v>
      </c>
      <c r="B2806" s="801">
        <v>31386055000</v>
      </c>
    </row>
    <row r="2807" spans="1:2">
      <c r="A2807" s="800" t="s">
        <v>2057</v>
      </c>
      <c r="B2807" s="801">
        <v>31386055101</v>
      </c>
    </row>
    <row r="2808" spans="1:2">
      <c r="A2808" s="800" t="s">
        <v>2056</v>
      </c>
      <c r="B2808" s="801">
        <v>31386055102</v>
      </c>
    </row>
    <row r="2809" spans="1:2">
      <c r="A2809" s="800" t="s">
        <v>2055</v>
      </c>
      <c r="B2809" s="801">
        <v>31386055103</v>
      </c>
    </row>
    <row r="2810" spans="1:2">
      <c r="A2810" s="800" t="s">
        <v>2054</v>
      </c>
      <c r="B2810" s="801">
        <v>31386056000</v>
      </c>
    </row>
    <row r="2811" spans="1:2">
      <c r="A2811" s="800" t="s">
        <v>2053</v>
      </c>
      <c r="B2811" s="801">
        <v>31386056101</v>
      </c>
    </row>
    <row r="2812" spans="1:2">
      <c r="A2812" s="800" t="s">
        <v>2052</v>
      </c>
      <c r="B2812" s="801">
        <v>31386056102</v>
      </c>
    </row>
    <row r="2813" spans="1:2">
      <c r="A2813" s="800" t="s">
        <v>2051</v>
      </c>
      <c r="B2813" s="801">
        <v>31386056103</v>
      </c>
    </row>
    <row r="2814" spans="1:2">
      <c r="A2814" s="800" t="s">
        <v>2050</v>
      </c>
      <c r="B2814" s="801">
        <v>31386056104</v>
      </c>
    </row>
    <row r="2815" spans="1:2">
      <c r="A2815" s="800" t="s">
        <v>2049</v>
      </c>
      <c r="B2815" s="801">
        <v>31386056105</v>
      </c>
    </row>
    <row r="2816" spans="1:2">
      <c r="A2816" s="800" t="s">
        <v>2048</v>
      </c>
      <c r="B2816" s="801">
        <v>31386057000</v>
      </c>
    </row>
    <row r="2817" spans="1:2">
      <c r="A2817" s="800" t="s">
        <v>2047</v>
      </c>
      <c r="B2817" s="801">
        <v>31386058000</v>
      </c>
    </row>
    <row r="2818" spans="1:2">
      <c r="A2818" s="800" t="s">
        <v>2046</v>
      </c>
      <c r="B2818" s="801">
        <v>31386058101</v>
      </c>
    </row>
    <row r="2819" spans="1:2">
      <c r="A2819" s="800" t="s">
        <v>2045</v>
      </c>
      <c r="B2819" s="801">
        <v>31386058102</v>
      </c>
    </row>
    <row r="2820" spans="1:2">
      <c r="A2820" s="800" t="s">
        <v>2044</v>
      </c>
      <c r="B2820" s="801">
        <v>31386058103</v>
      </c>
    </row>
    <row r="2821" spans="1:2">
      <c r="A2821" s="800" t="s">
        <v>2043</v>
      </c>
      <c r="B2821" s="801">
        <v>31386059000</v>
      </c>
    </row>
    <row r="2822" spans="1:2">
      <c r="A2822" s="800" t="s">
        <v>2042</v>
      </c>
      <c r="B2822" s="801">
        <v>31386059101</v>
      </c>
    </row>
    <row r="2823" spans="1:2">
      <c r="A2823" s="800" t="s">
        <v>2041</v>
      </c>
      <c r="B2823" s="801">
        <v>31386060000</v>
      </c>
    </row>
    <row r="2824" spans="1:2">
      <c r="A2824" s="800" t="s">
        <v>2040</v>
      </c>
      <c r="B2824" s="801">
        <v>31386060101</v>
      </c>
    </row>
    <row r="2825" spans="1:2">
      <c r="A2825" s="800" t="s">
        <v>2039</v>
      </c>
      <c r="B2825" s="801">
        <v>31386060102</v>
      </c>
    </row>
    <row r="2826" spans="1:2">
      <c r="A2826" s="800" t="s">
        <v>2038</v>
      </c>
      <c r="B2826" s="801">
        <v>31386061000</v>
      </c>
    </row>
    <row r="2827" spans="1:2">
      <c r="A2827" s="800" t="s">
        <v>2037</v>
      </c>
      <c r="B2827" s="801">
        <v>31386061101</v>
      </c>
    </row>
    <row r="2828" spans="1:2">
      <c r="A2828" s="800" t="s">
        <v>2036</v>
      </c>
      <c r="B2828" s="801">
        <v>31386061102</v>
      </c>
    </row>
    <row r="2829" spans="1:2">
      <c r="A2829" s="800" t="s">
        <v>2035</v>
      </c>
      <c r="B2829" s="801">
        <v>31386061103</v>
      </c>
    </row>
    <row r="2830" spans="1:2">
      <c r="A2830" s="800" t="s">
        <v>2034</v>
      </c>
      <c r="B2830" s="801">
        <v>31386062000</v>
      </c>
    </row>
    <row r="2831" spans="1:2">
      <c r="A2831" s="800" t="s">
        <v>2033</v>
      </c>
      <c r="B2831" s="801">
        <v>31386063000</v>
      </c>
    </row>
    <row r="2832" spans="1:2">
      <c r="A2832" s="800" t="s">
        <v>2032</v>
      </c>
      <c r="B2832" s="801">
        <v>31386063101</v>
      </c>
    </row>
    <row r="2833" spans="1:2">
      <c r="A2833" s="800" t="s">
        <v>2031</v>
      </c>
      <c r="B2833" s="801">
        <v>31386063102</v>
      </c>
    </row>
    <row r="2834" spans="1:2">
      <c r="A2834" s="800" t="s">
        <v>2030</v>
      </c>
      <c r="B2834" s="801">
        <v>31386063103</v>
      </c>
    </row>
    <row r="2835" spans="1:2">
      <c r="A2835" s="800" t="s">
        <v>2029</v>
      </c>
      <c r="B2835" s="801">
        <v>31386063104</v>
      </c>
    </row>
    <row r="2836" spans="1:2">
      <c r="A2836" s="800" t="s">
        <v>2028</v>
      </c>
      <c r="B2836" s="801">
        <v>31386064000</v>
      </c>
    </row>
    <row r="2837" spans="1:2">
      <c r="A2837" s="800" t="s">
        <v>2027</v>
      </c>
      <c r="B2837" s="801">
        <v>31386064101</v>
      </c>
    </row>
    <row r="2838" spans="1:2">
      <c r="A2838" s="800" t="s">
        <v>2026</v>
      </c>
      <c r="B2838" s="801">
        <v>31386064102</v>
      </c>
    </row>
    <row r="2839" spans="1:2">
      <c r="A2839" s="800" t="s">
        <v>2025</v>
      </c>
      <c r="B2839" s="801">
        <v>31386065000</v>
      </c>
    </row>
    <row r="2840" spans="1:2">
      <c r="A2840" s="800" t="s">
        <v>2024</v>
      </c>
      <c r="B2840" s="801">
        <v>31386065101</v>
      </c>
    </row>
    <row r="2841" spans="1:2">
      <c r="A2841" s="800" t="s">
        <v>2023</v>
      </c>
      <c r="B2841" s="801">
        <v>31386065102</v>
      </c>
    </row>
    <row r="2842" spans="1:2">
      <c r="A2842" s="800" t="s">
        <v>2022</v>
      </c>
      <c r="B2842" s="801">
        <v>31386066000</v>
      </c>
    </row>
    <row r="2843" spans="1:2">
      <c r="A2843" s="800" t="s">
        <v>2021</v>
      </c>
      <c r="B2843" s="801">
        <v>31386066101</v>
      </c>
    </row>
    <row r="2844" spans="1:2">
      <c r="A2844" s="800" t="s">
        <v>2020</v>
      </c>
      <c r="B2844" s="801">
        <v>31386066102</v>
      </c>
    </row>
    <row r="2845" spans="1:2">
      <c r="A2845" s="800" t="s">
        <v>2019</v>
      </c>
      <c r="B2845" s="801">
        <v>31386067000</v>
      </c>
    </row>
    <row r="2846" spans="1:2">
      <c r="A2846" s="800" t="s">
        <v>2018</v>
      </c>
      <c r="B2846" s="801">
        <v>31387000000</v>
      </c>
    </row>
    <row r="2847" spans="1:2">
      <c r="A2847" s="800" t="s">
        <v>2017</v>
      </c>
      <c r="B2847" s="801">
        <v>31387001000</v>
      </c>
    </row>
    <row r="2848" spans="1:2">
      <c r="A2848" s="800" t="s">
        <v>2016</v>
      </c>
      <c r="B2848" s="801">
        <v>31387001101</v>
      </c>
    </row>
    <row r="2849" spans="1:2">
      <c r="A2849" s="800" t="s">
        <v>2015</v>
      </c>
      <c r="B2849" s="801">
        <v>31387001102</v>
      </c>
    </row>
    <row r="2850" spans="1:2">
      <c r="A2850" s="800" t="s">
        <v>2014</v>
      </c>
      <c r="B2850" s="801">
        <v>31387001103</v>
      </c>
    </row>
    <row r="2851" spans="1:2">
      <c r="A2851" s="800" t="s">
        <v>2013</v>
      </c>
      <c r="B2851" s="801">
        <v>31387001104</v>
      </c>
    </row>
    <row r="2852" spans="1:2">
      <c r="A2852" s="800" t="s">
        <v>2012</v>
      </c>
      <c r="B2852" s="801">
        <v>31387002000</v>
      </c>
    </row>
    <row r="2853" spans="1:2">
      <c r="A2853" s="800" t="s">
        <v>2011</v>
      </c>
      <c r="B2853" s="801">
        <v>31387002101</v>
      </c>
    </row>
    <row r="2854" spans="1:2">
      <c r="A2854" s="800" t="s">
        <v>2010</v>
      </c>
      <c r="B2854" s="801">
        <v>31387002102</v>
      </c>
    </row>
    <row r="2855" spans="1:2">
      <c r="A2855" s="800" t="s">
        <v>2009</v>
      </c>
      <c r="B2855" s="801">
        <v>31387002103</v>
      </c>
    </row>
    <row r="2856" spans="1:2">
      <c r="A2856" s="800" t="s">
        <v>2008</v>
      </c>
      <c r="B2856" s="801">
        <v>31387003000</v>
      </c>
    </row>
    <row r="2857" spans="1:2">
      <c r="A2857" s="800" t="s">
        <v>2007</v>
      </c>
      <c r="B2857" s="801">
        <v>31387003101</v>
      </c>
    </row>
    <row r="2858" spans="1:2">
      <c r="A2858" s="800" t="s">
        <v>2006</v>
      </c>
      <c r="B2858" s="801">
        <v>31387003102</v>
      </c>
    </row>
    <row r="2859" spans="1:2">
      <c r="A2859" s="800" t="s">
        <v>2005</v>
      </c>
      <c r="B2859" s="801">
        <v>31387003103</v>
      </c>
    </row>
    <row r="2860" spans="1:2">
      <c r="A2860" s="800" t="s">
        <v>2004</v>
      </c>
      <c r="B2860" s="801">
        <v>31387003104</v>
      </c>
    </row>
    <row r="2861" spans="1:2">
      <c r="A2861" s="800" t="s">
        <v>2003</v>
      </c>
      <c r="B2861" s="801">
        <v>31387003105</v>
      </c>
    </row>
    <row r="2862" spans="1:2">
      <c r="A2862" s="800" t="s">
        <v>2002</v>
      </c>
      <c r="B2862" s="801">
        <v>31387003106</v>
      </c>
    </row>
    <row r="2863" spans="1:2">
      <c r="A2863" s="800" t="s">
        <v>2001</v>
      </c>
      <c r="B2863" s="801">
        <v>31387004000</v>
      </c>
    </row>
    <row r="2864" spans="1:2">
      <c r="A2864" s="800" t="s">
        <v>2000</v>
      </c>
      <c r="B2864" s="801">
        <v>31387005000</v>
      </c>
    </row>
    <row r="2865" spans="1:2">
      <c r="A2865" s="800" t="s">
        <v>1999</v>
      </c>
      <c r="B2865" s="801">
        <v>31387005101</v>
      </c>
    </row>
    <row r="2866" spans="1:2">
      <c r="A2866" s="800" t="s">
        <v>1998</v>
      </c>
      <c r="B2866" s="801">
        <v>31387006000</v>
      </c>
    </row>
    <row r="2867" spans="1:2">
      <c r="A2867" s="800" t="s">
        <v>1997</v>
      </c>
      <c r="B2867" s="801">
        <v>31387006101</v>
      </c>
    </row>
    <row r="2868" spans="1:2">
      <c r="A2868" s="800" t="s">
        <v>1996</v>
      </c>
      <c r="B2868" s="801">
        <v>31387007000</v>
      </c>
    </row>
    <row r="2869" spans="1:2">
      <c r="A2869" s="800" t="s">
        <v>1995</v>
      </c>
      <c r="B2869" s="801">
        <v>31387007101</v>
      </c>
    </row>
    <row r="2870" spans="1:2">
      <c r="A2870" s="800" t="s">
        <v>1994</v>
      </c>
      <c r="B2870" s="801">
        <v>31387007102</v>
      </c>
    </row>
    <row r="2871" spans="1:2">
      <c r="A2871" s="800" t="s">
        <v>1993</v>
      </c>
      <c r="B2871" s="801">
        <v>31387007103</v>
      </c>
    </row>
    <row r="2872" spans="1:2">
      <c r="A2872" s="800" t="s">
        <v>1992</v>
      </c>
      <c r="B2872" s="801">
        <v>31387007104</v>
      </c>
    </row>
    <row r="2873" spans="1:2">
      <c r="A2873" s="800" t="s">
        <v>1991</v>
      </c>
      <c r="B2873" s="801">
        <v>31387007105</v>
      </c>
    </row>
    <row r="2874" spans="1:2">
      <c r="A2874" s="800" t="s">
        <v>1990</v>
      </c>
      <c r="B2874" s="801">
        <v>31387008000</v>
      </c>
    </row>
    <row r="2875" spans="1:2">
      <c r="A2875" s="800" t="s">
        <v>1989</v>
      </c>
      <c r="B2875" s="801">
        <v>31387009000</v>
      </c>
    </row>
    <row r="2876" spans="1:2">
      <c r="A2876" s="800" t="s">
        <v>1988</v>
      </c>
      <c r="B2876" s="801">
        <v>31387009101</v>
      </c>
    </row>
    <row r="2877" spans="1:2">
      <c r="A2877" s="800" t="s">
        <v>1987</v>
      </c>
      <c r="B2877" s="801">
        <v>31387009102</v>
      </c>
    </row>
    <row r="2878" spans="1:2">
      <c r="A2878" s="800" t="s">
        <v>1986</v>
      </c>
      <c r="B2878" s="801">
        <v>31387009103</v>
      </c>
    </row>
    <row r="2879" spans="1:2">
      <c r="A2879" s="800" t="s">
        <v>1985</v>
      </c>
      <c r="B2879" s="801">
        <v>31387010000</v>
      </c>
    </row>
    <row r="2880" spans="1:2">
      <c r="A2880" s="800" t="s">
        <v>1984</v>
      </c>
      <c r="B2880" s="801">
        <v>31387010101</v>
      </c>
    </row>
    <row r="2881" spans="1:2">
      <c r="A2881" s="800" t="s">
        <v>1983</v>
      </c>
      <c r="B2881" s="801">
        <v>31387010102</v>
      </c>
    </row>
    <row r="2882" spans="1:2">
      <c r="A2882" s="800" t="s">
        <v>1982</v>
      </c>
      <c r="B2882" s="801">
        <v>31387010103</v>
      </c>
    </row>
    <row r="2883" spans="1:2">
      <c r="A2883" s="800" t="s">
        <v>1981</v>
      </c>
      <c r="B2883" s="801">
        <v>31387010104</v>
      </c>
    </row>
    <row r="2884" spans="1:2">
      <c r="A2884" s="800" t="s">
        <v>1980</v>
      </c>
      <c r="B2884" s="801">
        <v>31387010105</v>
      </c>
    </row>
    <row r="2885" spans="1:2">
      <c r="A2885" s="800" t="s">
        <v>1979</v>
      </c>
      <c r="B2885" s="801">
        <v>31387011000</v>
      </c>
    </row>
    <row r="2886" spans="1:2">
      <c r="A2886" s="800" t="s">
        <v>1978</v>
      </c>
      <c r="B2886" s="801">
        <v>31387011101</v>
      </c>
    </row>
    <row r="2887" spans="1:2">
      <c r="A2887" s="800" t="s">
        <v>1977</v>
      </c>
      <c r="B2887" s="801">
        <v>31387011102</v>
      </c>
    </row>
    <row r="2888" spans="1:2">
      <c r="A2888" s="800" t="s">
        <v>1976</v>
      </c>
      <c r="B2888" s="801">
        <v>31387011103</v>
      </c>
    </row>
    <row r="2889" spans="1:2">
      <c r="A2889" s="800" t="s">
        <v>1975</v>
      </c>
      <c r="B2889" s="801">
        <v>31387012000</v>
      </c>
    </row>
    <row r="2890" spans="1:2">
      <c r="A2890" s="800" t="s">
        <v>1974</v>
      </c>
      <c r="B2890" s="801">
        <v>31387012101</v>
      </c>
    </row>
    <row r="2891" spans="1:2">
      <c r="A2891" s="800" t="s">
        <v>1973</v>
      </c>
      <c r="B2891" s="801">
        <v>31387013000</v>
      </c>
    </row>
    <row r="2892" spans="1:2">
      <c r="A2892" s="800" t="s">
        <v>1972</v>
      </c>
      <c r="B2892" s="801">
        <v>31387013101</v>
      </c>
    </row>
    <row r="2893" spans="1:2">
      <c r="A2893" s="800" t="s">
        <v>1971</v>
      </c>
      <c r="B2893" s="801">
        <v>31387013102</v>
      </c>
    </row>
    <row r="2894" spans="1:2">
      <c r="A2894" s="800" t="s">
        <v>1970</v>
      </c>
      <c r="B2894" s="801">
        <v>31387013103</v>
      </c>
    </row>
    <row r="2895" spans="1:2">
      <c r="A2895" s="800" t="s">
        <v>1969</v>
      </c>
      <c r="B2895" s="801">
        <v>31387014000</v>
      </c>
    </row>
    <row r="2896" spans="1:2">
      <c r="A2896" s="800" t="s">
        <v>1968</v>
      </c>
      <c r="B2896" s="801">
        <v>31387014101</v>
      </c>
    </row>
    <row r="2897" spans="1:2">
      <c r="A2897" s="800" t="s">
        <v>1967</v>
      </c>
      <c r="B2897" s="801">
        <v>31387014102</v>
      </c>
    </row>
    <row r="2898" spans="1:2">
      <c r="A2898" s="800" t="s">
        <v>1966</v>
      </c>
      <c r="B2898" s="801">
        <v>31387015000</v>
      </c>
    </row>
    <row r="2899" spans="1:2">
      <c r="A2899" s="800" t="s">
        <v>1965</v>
      </c>
      <c r="B2899" s="801">
        <v>31387015101</v>
      </c>
    </row>
    <row r="2900" spans="1:2">
      <c r="A2900" s="800" t="s">
        <v>1964</v>
      </c>
      <c r="B2900" s="801">
        <v>31387015102</v>
      </c>
    </row>
    <row r="2901" spans="1:2">
      <c r="A2901" s="800" t="s">
        <v>1963</v>
      </c>
      <c r="B2901" s="801">
        <v>31388000000</v>
      </c>
    </row>
    <row r="2902" spans="1:2">
      <c r="A2902" s="800" t="s">
        <v>1962</v>
      </c>
      <c r="B2902" s="801">
        <v>31388001000</v>
      </c>
    </row>
    <row r="2903" spans="1:2">
      <c r="A2903" s="800" t="s">
        <v>1961</v>
      </c>
      <c r="B2903" s="801">
        <v>31388001101</v>
      </c>
    </row>
    <row r="2904" spans="1:2">
      <c r="A2904" s="800" t="s">
        <v>1960</v>
      </c>
      <c r="B2904" s="801">
        <v>31388002000</v>
      </c>
    </row>
    <row r="2905" spans="1:2">
      <c r="A2905" s="800" t="s">
        <v>1959</v>
      </c>
      <c r="B2905" s="801">
        <v>31388003000</v>
      </c>
    </row>
    <row r="2906" spans="1:2">
      <c r="A2906" s="800" t="s">
        <v>1958</v>
      </c>
      <c r="B2906" s="801">
        <v>31388004000</v>
      </c>
    </row>
    <row r="2907" spans="1:2">
      <c r="A2907" s="800" t="s">
        <v>1957</v>
      </c>
      <c r="B2907" s="801">
        <v>31388005000</v>
      </c>
    </row>
    <row r="2908" spans="1:2">
      <c r="A2908" s="800" t="s">
        <v>1956</v>
      </c>
      <c r="B2908" s="801">
        <v>31388006000</v>
      </c>
    </row>
    <row r="2909" spans="1:2">
      <c r="A2909" s="800" t="s">
        <v>1955</v>
      </c>
      <c r="B2909" s="801">
        <v>31388006101</v>
      </c>
    </row>
    <row r="2910" spans="1:2">
      <c r="A2910" s="800" t="s">
        <v>1954</v>
      </c>
      <c r="B2910" s="801">
        <v>31388006102</v>
      </c>
    </row>
    <row r="2911" spans="1:2">
      <c r="A2911" s="800" t="s">
        <v>1953</v>
      </c>
      <c r="B2911" s="801">
        <v>31388007000</v>
      </c>
    </row>
    <row r="2912" spans="1:2">
      <c r="A2912" s="800" t="s">
        <v>1952</v>
      </c>
      <c r="B2912" s="801">
        <v>31388007101</v>
      </c>
    </row>
    <row r="2913" spans="1:2">
      <c r="A2913" s="800" t="s">
        <v>1951</v>
      </c>
      <c r="B2913" s="801">
        <v>31388007102</v>
      </c>
    </row>
    <row r="2914" spans="1:2">
      <c r="A2914" s="800" t="s">
        <v>1950</v>
      </c>
      <c r="B2914" s="801">
        <v>31388008000</v>
      </c>
    </row>
    <row r="2915" spans="1:2">
      <c r="A2915" s="800" t="s">
        <v>1949</v>
      </c>
      <c r="B2915" s="801">
        <v>31388008101</v>
      </c>
    </row>
    <row r="2916" spans="1:2">
      <c r="A2916" s="800" t="s">
        <v>1948</v>
      </c>
      <c r="B2916" s="801">
        <v>31388008102</v>
      </c>
    </row>
    <row r="2917" spans="1:2">
      <c r="A2917" s="800" t="s">
        <v>1947</v>
      </c>
      <c r="B2917" s="801">
        <v>31388009000</v>
      </c>
    </row>
    <row r="2918" spans="1:2">
      <c r="A2918" s="800" t="s">
        <v>1946</v>
      </c>
      <c r="B2918" s="801">
        <v>31388009101</v>
      </c>
    </row>
    <row r="2919" spans="1:2">
      <c r="A2919" s="800" t="s">
        <v>1945</v>
      </c>
      <c r="B2919" s="801">
        <v>31388010000</v>
      </c>
    </row>
    <row r="2920" spans="1:2">
      <c r="A2920" s="800" t="s">
        <v>1944</v>
      </c>
      <c r="B2920" s="801">
        <v>31388010101</v>
      </c>
    </row>
    <row r="2921" spans="1:2">
      <c r="A2921" s="800" t="s">
        <v>1943</v>
      </c>
      <c r="B2921" s="801">
        <v>31388011000</v>
      </c>
    </row>
    <row r="2922" spans="1:2">
      <c r="A2922" s="800" t="s">
        <v>1942</v>
      </c>
      <c r="B2922" s="801">
        <v>31388011101</v>
      </c>
    </row>
    <row r="2923" spans="1:2">
      <c r="A2923" s="800" t="s">
        <v>1941</v>
      </c>
      <c r="B2923" s="801">
        <v>31388012000</v>
      </c>
    </row>
    <row r="2924" spans="1:2">
      <c r="A2924" s="800" t="s">
        <v>1940</v>
      </c>
      <c r="B2924" s="801">
        <v>31388012101</v>
      </c>
    </row>
    <row r="2925" spans="1:2">
      <c r="A2925" s="800" t="s">
        <v>1939</v>
      </c>
      <c r="B2925" s="801">
        <v>31388012102</v>
      </c>
    </row>
    <row r="2926" spans="1:2">
      <c r="A2926" s="800" t="s">
        <v>1938</v>
      </c>
      <c r="B2926" s="801">
        <v>31388012103</v>
      </c>
    </row>
    <row r="2927" spans="1:2">
      <c r="A2927" s="800" t="s">
        <v>1937</v>
      </c>
      <c r="B2927" s="801">
        <v>31388012104</v>
      </c>
    </row>
    <row r="2928" spans="1:2">
      <c r="A2928" s="800" t="s">
        <v>1936</v>
      </c>
      <c r="B2928" s="801">
        <v>31388012105</v>
      </c>
    </row>
    <row r="2929" spans="1:2">
      <c r="A2929" s="800" t="s">
        <v>1935</v>
      </c>
      <c r="B2929" s="801">
        <v>31388013000</v>
      </c>
    </row>
    <row r="2930" spans="1:2">
      <c r="A2930" s="800" t="s">
        <v>1934</v>
      </c>
      <c r="B2930" s="801">
        <v>31388014000</v>
      </c>
    </row>
    <row r="2931" spans="1:2">
      <c r="A2931" s="800" t="s">
        <v>1933</v>
      </c>
      <c r="B2931" s="801">
        <v>31388015000</v>
      </c>
    </row>
    <row r="2932" spans="1:2">
      <c r="A2932" s="800" t="s">
        <v>1932</v>
      </c>
      <c r="B2932" s="801">
        <v>31388016000</v>
      </c>
    </row>
    <row r="2933" spans="1:2">
      <c r="A2933" s="800" t="s">
        <v>1931</v>
      </c>
      <c r="B2933" s="801">
        <v>31388017000</v>
      </c>
    </row>
    <row r="2934" spans="1:2">
      <c r="A2934" s="800" t="s">
        <v>1930</v>
      </c>
      <c r="B2934" s="801">
        <v>31388017101</v>
      </c>
    </row>
    <row r="2935" spans="1:2">
      <c r="A2935" s="800" t="s">
        <v>1929</v>
      </c>
      <c r="B2935" s="801">
        <v>31388017102</v>
      </c>
    </row>
    <row r="2936" spans="1:2">
      <c r="A2936" s="800" t="s">
        <v>1928</v>
      </c>
      <c r="B2936" s="801">
        <v>31388018000</v>
      </c>
    </row>
    <row r="2937" spans="1:2">
      <c r="A2937" s="800" t="s">
        <v>1927</v>
      </c>
      <c r="B2937" s="801">
        <v>31388019000</v>
      </c>
    </row>
    <row r="2938" spans="1:2">
      <c r="A2938" s="800" t="s">
        <v>1926</v>
      </c>
      <c r="B2938" s="801">
        <v>31388019101</v>
      </c>
    </row>
    <row r="2939" spans="1:2">
      <c r="A2939" s="800" t="s">
        <v>1925</v>
      </c>
      <c r="B2939" s="801">
        <v>31388019102</v>
      </c>
    </row>
    <row r="2940" spans="1:2">
      <c r="A2940" s="800" t="s">
        <v>1924</v>
      </c>
      <c r="B2940" s="801">
        <v>31388019103</v>
      </c>
    </row>
    <row r="2941" spans="1:2">
      <c r="A2941" s="800" t="s">
        <v>1923</v>
      </c>
      <c r="B2941" s="801">
        <v>31388019104</v>
      </c>
    </row>
    <row r="2942" spans="1:2">
      <c r="A2942" s="800" t="s">
        <v>1922</v>
      </c>
      <c r="B2942" s="801">
        <v>31388020000</v>
      </c>
    </row>
    <row r="2943" spans="1:2">
      <c r="A2943" s="800" t="s">
        <v>1921</v>
      </c>
      <c r="B2943" s="801">
        <v>31388020101</v>
      </c>
    </row>
    <row r="2944" spans="1:2">
      <c r="A2944" s="800" t="s">
        <v>1920</v>
      </c>
      <c r="B2944" s="801">
        <v>31388020102</v>
      </c>
    </row>
    <row r="2945" spans="1:2">
      <c r="A2945" s="800" t="s">
        <v>1919</v>
      </c>
      <c r="B2945" s="801">
        <v>31388021000</v>
      </c>
    </row>
    <row r="2946" spans="1:2">
      <c r="A2946" s="800" t="s">
        <v>1918</v>
      </c>
      <c r="B2946" s="801">
        <v>31389000000</v>
      </c>
    </row>
    <row r="2947" spans="1:2">
      <c r="A2947" s="800" t="s">
        <v>1917</v>
      </c>
      <c r="B2947" s="801">
        <v>31389001000</v>
      </c>
    </row>
    <row r="2948" spans="1:2">
      <c r="A2948" s="800" t="s">
        <v>1916</v>
      </c>
      <c r="B2948" s="801">
        <v>31389001101</v>
      </c>
    </row>
    <row r="2949" spans="1:2">
      <c r="A2949" s="800" t="s">
        <v>1915</v>
      </c>
      <c r="B2949" s="801">
        <v>31389001102</v>
      </c>
    </row>
    <row r="2950" spans="1:2">
      <c r="A2950" s="800" t="s">
        <v>1914</v>
      </c>
      <c r="B2950" s="801">
        <v>31389002000</v>
      </c>
    </row>
    <row r="2951" spans="1:2">
      <c r="A2951" s="800" t="s">
        <v>1913</v>
      </c>
      <c r="B2951" s="801">
        <v>31389003000</v>
      </c>
    </row>
    <row r="2952" spans="1:2">
      <c r="A2952" s="800" t="s">
        <v>1912</v>
      </c>
      <c r="B2952" s="801">
        <v>31389004000</v>
      </c>
    </row>
    <row r="2953" spans="1:2">
      <c r="A2953" s="800" t="s">
        <v>1911</v>
      </c>
      <c r="B2953" s="801">
        <v>31389005000</v>
      </c>
    </row>
    <row r="2954" spans="1:2">
      <c r="A2954" s="800" t="s">
        <v>1910</v>
      </c>
      <c r="B2954" s="801">
        <v>31389006000</v>
      </c>
    </row>
    <row r="2955" spans="1:2">
      <c r="A2955" s="800" t="s">
        <v>1909</v>
      </c>
      <c r="B2955" s="801">
        <v>31389007000</v>
      </c>
    </row>
    <row r="2956" spans="1:2">
      <c r="A2956" s="800" t="s">
        <v>1908</v>
      </c>
      <c r="B2956" s="801">
        <v>31389008000</v>
      </c>
    </row>
    <row r="2957" spans="1:2">
      <c r="A2957" s="800" t="s">
        <v>1907</v>
      </c>
      <c r="B2957" s="801">
        <v>31389009000</v>
      </c>
    </row>
    <row r="2958" spans="1:2">
      <c r="A2958" s="800" t="s">
        <v>1906</v>
      </c>
      <c r="B2958" s="801">
        <v>31389010000</v>
      </c>
    </row>
    <row r="2959" spans="1:2">
      <c r="A2959" s="800" t="s">
        <v>1905</v>
      </c>
      <c r="B2959" s="801">
        <v>31389010101</v>
      </c>
    </row>
    <row r="2960" spans="1:2">
      <c r="A2960" s="800" t="s">
        <v>1904</v>
      </c>
      <c r="B2960" s="801">
        <v>31389011000</v>
      </c>
    </row>
    <row r="2961" spans="1:2">
      <c r="A2961" s="800" t="s">
        <v>1903</v>
      </c>
      <c r="B2961" s="801">
        <v>31389012000</v>
      </c>
    </row>
    <row r="2962" spans="1:2">
      <c r="A2962" s="800" t="s">
        <v>1902</v>
      </c>
      <c r="B2962" s="801">
        <v>31389013000</v>
      </c>
    </row>
    <row r="2963" spans="1:2">
      <c r="A2963" s="800" t="s">
        <v>1901</v>
      </c>
      <c r="B2963" s="801">
        <v>31389013101</v>
      </c>
    </row>
    <row r="2964" spans="1:2">
      <c r="A2964" s="800" t="s">
        <v>1900</v>
      </c>
      <c r="B2964" s="801">
        <v>31389013102</v>
      </c>
    </row>
    <row r="2965" spans="1:2">
      <c r="A2965" s="800" t="s">
        <v>1899</v>
      </c>
      <c r="B2965" s="801">
        <v>31389013103</v>
      </c>
    </row>
    <row r="2966" spans="1:2">
      <c r="A2966" s="800" t="s">
        <v>1898</v>
      </c>
      <c r="B2966" s="801">
        <v>31389014000</v>
      </c>
    </row>
    <row r="2967" spans="1:2">
      <c r="A2967" s="800" t="s">
        <v>1897</v>
      </c>
      <c r="B2967" s="801">
        <v>31389014101</v>
      </c>
    </row>
    <row r="2968" spans="1:2">
      <c r="A2968" s="800" t="s">
        <v>1896</v>
      </c>
      <c r="B2968" s="801">
        <v>31389014102</v>
      </c>
    </row>
    <row r="2969" spans="1:2">
      <c r="A2969" s="800" t="s">
        <v>1895</v>
      </c>
      <c r="B2969" s="801">
        <v>31389015000</v>
      </c>
    </row>
    <row r="2970" spans="1:2">
      <c r="A2970" s="800" t="s">
        <v>1894</v>
      </c>
      <c r="B2970" s="801">
        <v>31389015101</v>
      </c>
    </row>
    <row r="2971" spans="1:2">
      <c r="A2971" s="800" t="s">
        <v>1893</v>
      </c>
      <c r="B2971" s="801">
        <v>31389016000</v>
      </c>
    </row>
    <row r="2972" spans="1:2">
      <c r="A2972" s="800" t="s">
        <v>1892</v>
      </c>
      <c r="B2972" s="801">
        <v>31389016101</v>
      </c>
    </row>
    <row r="2973" spans="1:2">
      <c r="A2973" s="800" t="s">
        <v>1891</v>
      </c>
      <c r="B2973" s="801">
        <v>31389016102</v>
      </c>
    </row>
    <row r="2974" spans="1:2">
      <c r="A2974" s="800" t="s">
        <v>1890</v>
      </c>
      <c r="B2974" s="801">
        <v>31389017000</v>
      </c>
    </row>
    <row r="2975" spans="1:2">
      <c r="A2975" s="800" t="s">
        <v>1889</v>
      </c>
      <c r="B2975" s="801">
        <v>31389018000</v>
      </c>
    </row>
    <row r="2976" spans="1:2">
      <c r="A2976" s="800" t="s">
        <v>1888</v>
      </c>
      <c r="B2976" s="801">
        <v>31389019000</v>
      </c>
    </row>
    <row r="2977" spans="1:2">
      <c r="A2977" s="800" t="s">
        <v>1887</v>
      </c>
      <c r="B2977" s="801">
        <v>31389020000</v>
      </c>
    </row>
    <row r="2978" spans="1:2">
      <c r="A2978" s="800" t="s">
        <v>1886</v>
      </c>
      <c r="B2978" s="801">
        <v>31389020101</v>
      </c>
    </row>
    <row r="2979" spans="1:2">
      <c r="A2979" s="800" t="s">
        <v>1885</v>
      </c>
      <c r="B2979" s="801">
        <v>31389020102</v>
      </c>
    </row>
    <row r="2980" spans="1:2">
      <c r="A2980" s="800" t="s">
        <v>1884</v>
      </c>
      <c r="B2980" s="801">
        <v>31389020103</v>
      </c>
    </row>
    <row r="2981" spans="1:2">
      <c r="A2981" s="800" t="s">
        <v>1883</v>
      </c>
      <c r="B2981" s="801">
        <v>31389021000</v>
      </c>
    </row>
    <row r="2982" spans="1:2">
      <c r="A2982" s="800" t="s">
        <v>1882</v>
      </c>
      <c r="B2982" s="801">
        <v>31389022000</v>
      </c>
    </row>
    <row r="2983" spans="1:2">
      <c r="A2983" s="800" t="s">
        <v>1881</v>
      </c>
      <c r="B2983" s="801">
        <v>31389023000</v>
      </c>
    </row>
    <row r="2984" spans="1:2">
      <c r="A2984" s="800" t="s">
        <v>1880</v>
      </c>
      <c r="B2984" s="801">
        <v>31389024000</v>
      </c>
    </row>
    <row r="2985" spans="1:2">
      <c r="A2985" s="800" t="s">
        <v>1879</v>
      </c>
      <c r="B2985" s="801">
        <v>31389025000</v>
      </c>
    </row>
    <row r="2986" spans="1:2">
      <c r="A2986" s="800" t="s">
        <v>1878</v>
      </c>
      <c r="B2986" s="801">
        <v>31389026000</v>
      </c>
    </row>
    <row r="2987" spans="1:2">
      <c r="A2987" s="800" t="s">
        <v>1877</v>
      </c>
      <c r="B2987" s="801">
        <v>31389027000</v>
      </c>
    </row>
    <row r="2988" spans="1:2">
      <c r="A2988" s="800" t="s">
        <v>1876</v>
      </c>
      <c r="B2988" s="801">
        <v>31389028000</v>
      </c>
    </row>
    <row r="2989" spans="1:2">
      <c r="A2989" s="800" t="s">
        <v>1875</v>
      </c>
      <c r="B2989" s="801">
        <v>31389028101</v>
      </c>
    </row>
    <row r="2990" spans="1:2">
      <c r="A2990" s="800" t="s">
        <v>1874</v>
      </c>
      <c r="B2990" s="801">
        <v>31389028102</v>
      </c>
    </row>
    <row r="2991" spans="1:2">
      <c r="A2991" s="800" t="s">
        <v>1873</v>
      </c>
      <c r="B2991" s="801">
        <v>31389028103</v>
      </c>
    </row>
    <row r="2992" spans="1:2">
      <c r="A2992" s="800" t="s">
        <v>1872</v>
      </c>
      <c r="B2992" s="801">
        <v>31389029000</v>
      </c>
    </row>
    <row r="2993" spans="1:2">
      <c r="A2993" s="800" t="s">
        <v>1871</v>
      </c>
      <c r="B2993" s="801">
        <v>31389030000</v>
      </c>
    </row>
    <row r="2994" spans="1:2">
      <c r="A2994" s="800" t="s">
        <v>1870</v>
      </c>
      <c r="B2994" s="801">
        <v>31389030101</v>
      </c>
    </row>
    <row r="2995" spans="1:2">
      <c r="A2995" s="800" t="s">
        <v>1869</v>
      </c>
      <c r="B2995" s="801">
        <v>31389030102</v>
      </c>
    </row>
    <row r="2996" spans="1:2">
      <c r="A2996" s="800" t="s">
        <v>1868</v>
      </c>
      <c r="B2996" s="801">
        <v>31389031000</v>
      </c>
    </row>
    <row r="2997" spans="1:2">
      <c r="A2997" s="800" t="s">
        <v>1867</v>
      </c>
      <c r="B2997" s="801">
        <v>31389032000</v>
      </c>
    </row>
    <row r="2998" spans="1:2">
      <c r="A2998" s="800" t="s">
        <v>1866</v>
      </c>
      <c r="B2998" s="801">
        <v>31389033000</v>
      </c>
    </row>
    <row r="2999" spans="1:2">
      <c r="A2999" s="800" t="s">
        <v>1865</v>
      </c>
      <c r="B2999" s="801">
        <v>31389034000</v>
      </c>
    </row>
    <row r="3000" spans="1:2">
      <c r="A3000" s="800" t="s">
        <v>1864</v>
      </c>
      <c r="B3000" s="801">
        <v>31389035000</v>
      </c>
    </row>
    <row r="3001" spans="1:2">
      <c r="A3001" s="800" t="s">
        <v>1863</v>
      </c>
      <c r="B3001" s="801">
        <v>31389036000</v>
      </c>
    </row>
    <row r="3002" spans="1:2">
      <c r="A3002" s="800" t="s">
        <v>1862</v>
      </c>
      <c r="B3002" s="801">
        <v>31389037000</v>
      </c>
    </row>
    <row r="3003" spans="1:2">
      <c r="A3003" s="800" t="s">
        <v>1861</v>
      </c>
      <c r="B3003" s="801">
        <v>31389037101</v>
      </c>
    </row>
    <row r="3004" spans="1:2">
      <c r="A3004" s="800" t="s">
        <v>1860</v>
      </c>
      <c r="B3004" s="801">
        <v>31389038000</v>
      </c>
    </row>
    <row r="3005" spans="1:2">
      <c r="A3005" s="800" t="s">
        <v>1859</v>
      </c>
      <c r="B3005" s="801">
        <v>31389039000</v>
      </c>
    </row>
    <row r="3006" spans="1:2">
      <c r="A3006" s="800" t="s">
        <v>1858</v>
      </c>
      <c r="B3006" s="801">
        <v>31389040000</v>
      </c>
    </row>
    <row r="3007" spans="1:2">
      <c r="A3007" s="800" t="s">
        <v>1857</v>
      </c>
      <c r="B3007" s="801">
        <v>31389041000</v>
      </c>
    </row>
    <row r="3008" spans="1:2">
      <c r="A3008" s="800" t="s">
        <v>1856</v>
      </c>
      <c r="B3008" s="801">
        <v>31389042000</v>
      </c>
    </row>
    <row r="3009" spans="1:2">
      <c r="A3009" s="800" t="s">
        <v>1855</v>
      </c>
      <c r="B3009" s="801">
        <v>31389043000</v>
      </c>
    </row>
    <row r="3010" spans="1:2">
      <c r="A3010" s="800" t="s">
        <v>1854</v>
      </c>
      <c r="B3010" s="801">
        <v>31389044000</v>
      </c>
    </row>
    <row r="3011" spans="1:2">
      <c r="A3011" s="800" t="s">
        <v>1853</v>
      </c>
      <c r="B3011" s="801">
        <v>31389045000</v>
      </c>
    </row>
    <row r="3012" spans="1:2">
      <c r="A3012" s="800" t="s">
        <v>1852</v>
      </c>
      <c r="B3012" s="801">
        <v>31389046000</v>
      </c>
    </row>
    <row r="3013" spans="1:2">
      <c r="A3013" s="800" t="s">
        <v>1851</v>
      </c>
      <c r="B3013" s="801">
        <v>31389047000</v>
      </c>
    </row>
    <row r="3014" spans="1:2">
      <c r="A3014" s="800" t="s">
        <v>1850</v>
      </c>
      <c r="B3014" s="801">
        <v>31389047101</v>
      </c>
    </row>
    <row r="3015" spans="1:2">
      <c r="A3015" s="800" t="s">
        <v>1849</v>
      </c>
      <c r="B3015" s="801">
        <v>31389048000</v>
      </c>
    </row>
    <row r="3016" spans="1:2">
      <c r="A3016" s="800" t="s">
        <v>1848</v>
      </c>
      <c r="B3016" s="801">
        <v>31389048101</v>
      </c>
    </row>
    <row r="3017" spans="1:2">
      <c r="A3017" s="800" t="s">
        <v>1847</v>
      </c>
      <c r="B3017" s="801">
        <v>31389049000</v>
      </c>
    </row>
    <row r="3018" spans="1:2">
      <c r="A3018" s="800" t="s">
        <v>1846</v>
      </c>
      <c r="B3018" s="801">
        <v>31389050000</v>
      </c>
    </row>
    <row r="3019" spans="1:2">
      <c r="A3019" s="800" t="s">
        <v>1845</v>
      </c>
      <c r="B3019" s="801">
        <v>31390000000</v>
      </c>
    </row>
    <row r="3020" spans="1:2">
      <c r="A3020" s="800" t="s">
        <v>1844</v>
      </c>
      <c r="B3020" s="801">
        <v>31390001000</v>
      </c>
    </row>
    <row r="3021" spans="1:2">
      <c r="A3021" s="800" t="s">
        <v>1843</v>
      </c>
      <c r="B3021" s="801">
        <v>31390001101</v>
      </c>
    </row>
    <row r="3022" spans="1:2">
      <c r="A3022" s="800" t="s">
        <v>1842</v>
      </c>
      <c r="B3022" s="801">
        <v>31390001102</v>
      </c>
    </row>
    <row r="3023" spans="1:2">
      <c r="A3023" s="800" t="s">
        <v>1841</v>
      </c>
      <c r="B3023" s="801">
        <v>31390002000</v>
      </c>
    </row>
    <row r="3024" spans="1:2">
      <c r="A3024" s="800" t="s">
        <v>1840</v>
      </c>
      <c r="B3024" s="801">
        <v>31390003000</v>
      </c>
    </row>
    <row r="3025" spans="1:2">
      <c r="A3025" s="800" t="s">
        <v>1839</v>
      </c>
      <c r="B3025" s="801">
        <v>31390003101</v>
      </c>
    </row>
    <row r="3026" spans="1:2">
      <c r="A3026" s="800" t="s">
        <v>1838</v>
      </c>
      <c r="B3026" s="801">
        <v>31390004000</v>
      </c>
    </row>
    <row r="3027" spans="1:2">
      <c r="A3027" s="800" t="s">
        <v>1837</v>
      </c>
      <c r="B3027" s="801">
        <v>31390005000</v>
      </c>
    </row>
    <row r="3028" spans="1:2">
      <c r="A3028" s="800" t="s">
        <v>1836</v>
      </c>
      <c r="B3028" s="801">
        <v>31390006000</v>
      </c>
    </row>
    <row r="3029" spans="1:2">
      <c r="A3029" s="800" t="s">
        <v>1835</v>
      </c>
      <c r="B3029" s="801">
        <v>31390006101</v>
      </c>
    </row>
    <row r="3030" spans="1:2">
      <c r="A3030" s="800" t="s">
        <v>1834</v>
      </c>
      <c r="B3030" s="801">
        <v>31390007000</v>
      </c>
    </row>
    <row r="3031" spans="1:2">
      <c r="A3031" s="800" t="s">
        <v>1833</v>
      </c>
      <c r="B3031" s="801">
        <v>31390008000</v>
      </c>
    </row>
    <row r="3032" spans="1:2">
      <c r="A3032" s="800" t="s">
        <v>1832</v>
      </c>
      <c r="B3032" s="801">
        <v>31390008101</v>
      </c>
    </row>
    <row r="3033" spans="1:2">
      <c r="A3033" s="800" t="s">
        <v>1831</v>
      </c>
      <c r="B3033" s="801">
        <v>31390009000</v>
      </c>
    </row>
    <row r="3034" spans="1:2">
      <c r="A3034" s="800" t="s">
        <v>1830</v>
      </c>
      <c r="B3034" s="801">
        <v>31390010000</v>
      </c>
    </row>
    <row r="3035" spans="1:2">
      <c r="A3035" s="800" t="s">
        <v>1829</v>
      </c>
      <c r="B3035" s="801">
        <v>31390011000</v>
      </c>
    </row>
    <row r="3036" spans="1:2">
      <c r="A3036" s="800" t="s">
        <v>1828</v>
      </c>
      <c r="B3036" s="801">
        <v>31390011101</v>
      </c>
    </row>
    <row r="3037" spans="1:2">
      <c r="A3037" s="800" t="s">
        <v>1827</v>
      </c>
      <c r="B3037" s="801">
        <v>31390011102</v>
      </c>
    </row>
    <row r="3038" spans="1:2">
      <c r="A3038" s="800" t="s">
        <v>1826</v>
      </c>
      <c r="B3038" s="801">
        <v>31390011103</v>
      </c>
    </row>
    <row r="3039" spans="1:2">
      <c r="A3039" s="800" t="s">
        <v>1825</v>
      </c>
      <c r="B3039" s="801">
        <v>31390012000</v>
      </c>
    </row>
    <row r="3040" spans="1:2">
      <c r="A3040" s="800" t="s">
        <v>1824</v>
      </c>
      <c r="B3040" s="801">
        <v>31390013000</v>
      </c>
    </row>
    <row r="3041" spans="1:2">
      <c r="A3041" s="800" t="s">
        <v>1823</v>
      </c>
      <c r="B3041" s="801">
        <v>31390014000</v>
      </c>
    </row>
    <row r="3042" spans="1:2">
      <c r="A3042" s="800" t="s">
        <v>1822</v>
      </c>
      <c r="B3042" s="801">
        <v>31390015000</v>
      </c>
    </row>
    <row r="3043" spans="1:2">
      <c r="A3043" s="800" t="s">
        <v>1821</v>
      </c>
      <c r="B3043" s="801">
        <v>31390016000</v>
      </c>
    </row>
    <row r="3044" spans="1:2">
      <c r="A3044" s="800" t="s">
        <v>1820</v>
      </c>
      <c r="B3044" s="801">
        <v>31390016101</v>
      </c>
    </row>
    <row r="3045" spans="1:2">
      <c r="A3045" s="800" t="s">
        <v>1819</v>
      </c>
      <c r="B3045" s="801">
        <v>31390017000</v>
      </c>
    </row>
    <row r="3046" spans="1:2">
      <c r="A3046" s="800" t="s">
        <v>1818</v>
      </c>
      <c r="B3046" s="801">
        <v>31390018000</v>
      </c>
    </row>
    <row r="3047" spans="1:2">
      <c r="A3047" s="800" t="s">
        <v>1817</v>
      </c>
      <c r="B3047" s="801">
        <v>31390019000</v>
      </c>
    </row>
    <row r="3048" spans="1:2">
      <c r="A3048" s="800" t="s">
        <v>1816</v>
      </c>
      <c r="B3048" s="801">
        <v>31390020000</v>
      </c>
    </row>
    <row r="3049" spans="1:2">
      <c r="A3049" s="800" t="s">
        <v>1815</v>
      </c>
      <c r="B3049" s="801">
        <v>31390020101</v>
      </c>
    </row>
    <row r="3050" spans="1:2">
      <c r="A3050" s="800" t="s">
        <v>1814</v>
      </c>
      <c r="B3050" s="801">
        <v>31390020102</v>
      </c>
    </row>
    <row r="3051" spans="1:2">
      <c r="A3051" s="800" t="s">
        <v>1813</v>
      </c>
      <c r="B3051" s="801">
        <v>31390021000</v>
      </c>
    </row>
    <row r="3052" spans="1:2">
      <c r="A3052" s="800" t="s">
        <v>1812</v>
      </c>
      <c r="B3052" s="801">
        <v>31390021101</v>
      </c>
    </row>
    <row r="3053" spans="1:2">
      <c r="A3053" s="800" t="s">
        <v>1811</v>
      </c>
      <c r="B3053" s="801">
        <v>31390022000</v>
      </c>
    </row>
    <row r="3054" spans="1:2">
      <c r="A3054" s="800" t="s">
        <v>1810</v>
      </c>
      <c r="B3054" s="801">
        <v>31390023000</v>
      </c>
    </row>
    <row r="3055" spans="1:2">
      <c r="A3055" s="800" t="s">
        <v>1809</v>
      </c>
      <c r="B3055" s="801">
        <v>31390023101</v>
      </c>
    </row>
    <row r="3056" spans="1:2">
      <c r="A3056" s="800" t="s">
        <v>1808</v>
      </c>
      <c r="B3056" s="801">
        <v>31390024000</v>
      </c>
    </row>
    <row r="3057" spans="1:2">
      <c r="A3057" s="800" t="s">
        <v>1807</v>
      </c>
      <c r="B3057" s="801">
        <v>31390025000</v>
      </c>
    </row>
    <row r="3058" spans="1:2">
      <c r="A3058" s="800" t="s">
        <v>1806</v>
      </c>
      <c r="B3058" s="801">
        <v>31390026000</v>
      </c>
    </row>
    <row r="3059" spans="1:2">
      <c r="A3059" s="800" t="s">
        <v>1805</v>
      </c>
      <c r="B3059" s="801">
        <v>31390027000</v>
      </c>
    </row>
    <row r="3060" spans="1:2">
      <c r="A3060" s="800" t="s">
        <v>1804</v>
      </c>
      <c r="B3060" s="801">
        <v>31390028000</v>
      </c>
    </row>
    <row r="3061" spans="1:2">
      <c r="A3061" s="800" t="s">
        <v>1803</v>
      </c>
      <c r="B3061" s="801">
        <v>31390029000</v>
      </c>
    </row>
    <row r="3062" spans="1:2">
      <c r="A3062" s="800" t="s">
        <v>1802</v>
      </c>
      <c r="B3062" s="801">
        <v>31390030000</v>
      </c>
    </row>
    <row r="3063" spans="1:2">
      <c r="A3063" s="800" t="s">
        <v>1801</v>
      </c>
      <c r="B3063" s="801">
        <v>31390031000</v>
      </c>
    </row>
    <row r="3064" spans="1:2">
      <c r="A3064" s="800" t="s">
        <v>1800</v>
      </c>
      <c r="B3064" s="801">
        <v>31390032000</v>
      </c>
    </row>
    <row r="3065" spans="1:2">
      <c r="A3065" s="800" t="s">
        <v>1799</v>
      </c>
      <c r="B3065" s="801">
        <v>31390033000</v>
      </c>
    </row>
    <row r="3066" spans="1:2">
      <c r="A3066" s="800" t="s">
        <v>1798</v>
      </c>
      <c r="B3066" s="801">
        <v>31390034000</v>
      </c>
    </row>
    <row r="3067" spans="1:2">
      <c r="A3067" s="800" t="s">
        <v>1797</v>
      </c>
      <c r="B3067" s="801">
        <v>31390034101</v>
      </c>
    </row>
    <row r="3068" spans="1:2">
      <c r="A3068" s="800" t="s">
        <v>1796</v>
      </c>
      <c r="B3068" s="801">
        <v>31390035000</v>
      </c>
    </row>
    <row r="3069" spans="1:2">
      <c r="A3069" s="800" t="s">
        <v>1795</v>
      </c>
      <c r="B3069" s="801">
        <v>31390036000</v>
      </c>
    </row>
    <row r="3070" spans="1:2">
      <c r="A3070" s="800" t="s">
        <v>1794</v>
      </c>
      <c r="B3070" s="801">
        <v>31390037000</v>
      </c>
    </row>
    <row r="3071" spans="1:2">
      <c r="A3071" s="800" t="s">
        <v>1793</v>
      </c>
      <c r="B3071" s="801">
        <v>31390038000</v>
      </c>
    </row>
    <row r="3072" spans="1:2">
      <c r="A3072" s="800" t="s">
        <v>1792</v>
      </c>
      <c r="B3072" s="801">
        <v>31390038101</v>
      </c>
    </row>
    <row r="3073" spans="1:2">
      <c r="A3073" s="800" t="s">
        <v>1791</v>
      </c>
      <c r="B3073" s="801">
        <v>31390038102</v>
      </c>
    </row>
    <row r="3074" spans="1:2">
      <c r="A3074" s="800" t="s">
        <v>1790</v>
      </c>
      <c r="B3074" s="801">
        <v>31390038103</v>
      </c>
    </row>
    <row r="3075" spans="1:2">
      <c r="A3075" s="800" t="s">
        <v>1789</v>
      </c>
      <c r="B3075" s="801">
        <v>31390039000</v>
      </c>
    </row>
    <row r="3076" spans="1:2">
      <c r="A3076" s="800" t="s">
        <v>1788</v>
      </c>
      <c r="B3076" s="801">
        <v>31390040000</v>
      </c>
    </row>
    <row r="3077" spans="1:2">
      <c r="A3077" s="800" t="s">
        <v>1787</v>
      </c>
      <c r="B3077" s="801">
        <v>31390040101</v>
      </c>
    </row>
    <row r="3078" spans="1:2">
      <c r="A3078" s="800" t="s">
        <v>1786</v>
      </c>
      <c r="B3078" s="801">
        <v>31390040102</v>
      </c>
    </row>
    <row r="3079" spans="1:2">
      <c r="A3079" s="800" t="s">
        <v>1785</v>
      </c>
      <c r="B3079" s="801">
        <v>31390040103</v>
      </c>
    </row>
    <row r="3080" spans="1:2">
      <c r="A3080" s="800" t="s">
        <v>1784</v>
      </c>
      <c r="B3080" s="801">
        <v>31390040104</v>
      </c>
    </row>
    <row r="3081" spans="1:2">
      <c r="A3081" s="800" t="s">
        <v>1783</v>
      </c>
      <c r="B3081" s="801">
        <v>31390041000</v>
      </c>
    </row>
    <row r="3082" spans="1:2">
      <c r="A3082" s="800" t="s">
        <v>1782</v>
      </c>
      <c r="B3082" s="801">
        <v>31390042000</v>
      </c>
    </row>
    <row r="3083" spans="1:2">
      <c r="A3083" s="800" t="s">
        <v>1781</v>
      </c>
      <c r="B3083" s="801">
        <v>31390042101</v>
      </c>
    </row>
    <row r="3084" spans="1:2">
      <c r="A3084" s="800" t="s">
        <v>1780</v>
      </c>
      <c r="B3084" s="801">
        <v>31390042102</v>
      </c>
    </row>
    <row r="3085" spans="1:2">
      <c r="A3085" s="800" t="s">
        <v>1779</v>
      </c>
      <c r="B3085" s="801">
        <v>31390042103</v>
      </c>
    </row>
    <row r="3086" spans="1:2">
      <c r="A3086" s="800" t="s">
        <v>1778</v>
      </c>
      <c r="B3086" s="801">
        <v>31390043000</v>
      </c>
    </row>
    <row r="3087" spans="1:2">
      <c r="A3087" s="800" t="s">
        <v>1777</v>
      </c>
      <c r="B3087" s="801">
        <v>31390043101</v>
      </c>
    </row>
    <row r="3088" spans="1:2">
      <c r="A3088" s="800" t="s">
        <v>1776</v>
      </c>
      <c r="B3088" s="801">
        <v>31390043102</v>
      </c>
    </row>
    <row r="3089" spans="1:2">
      <c r="A3089" s="800" t="s">
        <v>1775</v>
      </c>
      <c r="B3089" s="801">
        <v>31390043103</v>
      </c>
    </row>
    <row r="3090" spans="1:2">
      <c r="A3090" s="800" t="s">
        <v>1774</v>
      </c>
      <c r="B3090" s="801">
        <v>31390043104</v>
      </c>
    </row>
    <row r="3091" spans="1:2">
      <c r="A3091" s="800" t="s">
        <v>1773</v>
      </c>
      <c r="B3091" s="801">
        <v>31390044000</v>
      </c>
    </row>
    <row r="3092" spans="1:2">
      <c r="A3092" s="800" t="s">
        <v>1772</v>
      </c>
      <c r="B3092" s="801">
        <v>31390045000</v>
      </c>
    </row>
    <row r="3093" spans="1:2">
      <c r="A3093" s="800" t="s">
        <v>1771</v>
      </c>
      <c r="B3093" s="801">
        <v>31390045101</v>
      </c>
    </row>
    <row r="3094" spans="1:2">
      <c r="A3094" s="800" t="s">
        <v>1770</v>
      </c>
      <c r="B3094" s="801">
        <v>31390045102</v>
      </c>
    </row>
    <row r="3095" spans="1:2">
      <c r="A3095" s="800" t="s">
        <v>1769</v>
      </c>
      <c r="B3095" s="801">
        <v>31390046000</v>
      </c>
    </row>
    <row r="3096" spans="1:2">
      <c r="A3096" s="800" t="s">
        <v>1768</v>
      </c>
      <c r="B3096" s="801">
        <v>31390047000</v>
      </c>
    </row>
    <row r="3097" spans="1:2">
      <c r="A3097" s="800" t="s">
        <v>1767</v>
      </c>
      <c r="B3097" s="801">
        <v>31390048000</v>
      </c>
    </row>
    <row r="3098" spans="1:2">
      <c r="A3098" s="800" t="s">
        <v>1766</v>
      </c>
      <c r="B3098" s="801">
        <v>31390049000</v>
      </c>
    </row>
    <row r="3099" spans="1:2">
      <c r="A3099" s="800" t="s">
        <v>1765</v>
      </c>
      <c r="B3099" s="801">
        <v>31390050000</v>
      </c>
    </row>
    <row r="3100" spans="1:2">
      <c r="A3100" s="800" t="s">
        <v>1764</v>
      </c>
      <c r="B3100" s="801">
        <v>31390051000</v>
      </c>
    </row>
    <row r="3101" spans="1:2">
      <c r="A3101" s="800" t="s">
        <v>1763</v>
      </c>
      <c r="B3101" s="801">
        <v>31390052000</v>
      </c>
    </row>
    <row r="3102" spans="1:2">
      <c r="A3102" s="800" t="s">
        <v>1762</v>
      </c>
      <c r="B3102" s="801">
        <v>31390053000</v>
      </c>
    </row>
    <row r="3103" spans="1:2">
      <c r="A3103" s="800" t="s">
        <v>1761</v>
      </c>
      <c r="B3103" s="801">
        <v>31390053101</v>
      </c>
    </row>
    <row r="3104" spans="1:2">
      <c r="A3104" s="800" t="s">
        <v>1760</v>
      </c>
      <c r="B3104" s="801">
        <v>31390054000</v>
      </c>
    </row>
    <row r="3105" spans="1:2">
      <c r="A3105" s="800" t="s">
        <v>1759</v>
      </c>
      <c r="B3105" s="801">
        <v>31390055000</v>
      </c>
    </row>
    <row r="3106" spans="1:2">
      <c r="A3106" s="800" t="s">
        <v>1758</v>
      </c>
      <c r="B3106" s="801">
        <v>31390056000</v>
      </c>
    </row>
    <row r="3107" spans="1:2">
      <c r="A3107" s="800" t="s">
        <v>1757</v>
      </c>
      <c r="B3107" s="801">
        <v>31400000000</v>
      </c>
    </row>
    <row r="3108" spans="1:2">
      <c r="A3108" s="800" t="s">
        <v>1756</v>
      </c>
      <c r="B3108" s="801">
        <v>31401000000</v>
      </c>
    </row>
    <row r="3109" spans="1:2">
      <c r="A3109" s="800" t="s">
        <v>1755</v>
      </c>
      <c r="B3109" s="801">
        <v>31401001000</v>
      </c>
    </row>
    <row r="3110" spans="1:2">
      <c r="A3110" s="800" t="s">
        <v>1754</v>
      </c>
      <c r="B3110" s="801">
        <v>31401002000</v>
      </c>
    </row>
    <row r="3111" spans="1:2">
      <c r="A3111" s="800" t="s">
        <v>1753</v>
      </c>
      <c r="B3111" s="801">
        <v>31401003000</v>
      </c>
    </row>
    <row r="3112" spans="1:2">
      <c r="A3112" s="800" t="s">
        <v>1752</v>
      </c>
      <c r="B3112" s="801">
        <v>31401004000</v>
      </c>
    </row>
    <row r="3113" spans="1:2">
      <c r="A3113" s="800" t="s">
        <v>1751</v>
      </c>
      <c r="B3113" s="801">
        <v>31401005000</v>
      </c>
    </row>
    <row r="3114" spans="1:2">
      <c r="A3114" s="800" t="s">
        <v>1750</v>
      </c>
      <c r="B3114" s="801">
        <v>31401006000</v>
      </c>
    </row>
    <row r="3115" spans="1:2">
      <c r="A3115" s="800" t="s">
        <v>1749</v>
      </c>
      <c r="B3115" s="801">
        <v>31401007000</v>
      </c>
    </row>
    <row r="3116" spans="1:2">
      <c r="A3116" s="800" t="s">
        <v>1748</v>
      </c>
      <c r="B3116" s="801">
        <v>31401008000</v>
      </c>
    </row>
    <row r="3117" spans="1:2">
      <c r="A3117" s="800" t="s">
        <v>1747</v>
      </c>
      <c r="B3117" s="801">
        <v>31401009000</v>
      </c>
    </row>
    <row r="3118" spans="1:2">
      <c r="A3118" s="800" t="s">
        <v>1746</v>
      </c>
      <c r="B3118" s="801">
        <v>31401010000</v>
      </c>
    </row>
    <row r="3119" spans="1:2">
      <c r="A3119" s="800" t="s">
        <v>1745</v>
      </c>
      <c r="B3119" s="801">
        <v>31401011000</v>
      </c>
    </row>
    <row r="3120" spans="1:2">
      <c r="A3120" s="800" t="s">
        <v>1744</v>
      </c>
      <c r="B3120" s="801">
        <v>31401012000</v>
      </c>
    </row>
    <row r="3121" spans="1:2">
      <c r="A3121" s="800" t="s">
        <v>1743</v>
      </c>
      <c r="B3121" s="801">
        <v>31401013000</v>
      </c>
    </row>
    <row r="3122" spans="1:2">
      <c r="A3122" s="800" t="s">
        <v>1742</v>
      </c>
      <c r="B3122" s="801">
        <v>31401014000</v>
      </c>
    </row>
    <row r="3123" spans="1:2">
      <c r="A3123" s="800" t="s">
        <v>1741</v>
      </c>
      <c r="B3123" s="801">
        <v>31401015000</v>
      </c>
    </row>
    <row r="3124" spans="1:2">
      <c r="A3124" s="800" t="s">
        <v>1740</v>
      </c>
      <c r="B3124" s="801">
        <v>31401016000</v>
      </c>
    </row>
    <row r="3125" spans="1:2">
      <c r="A3125" s="800" t="s">
        <v>1739</v>
      </c>
      <c r="B3125" s="801">
        <v>31401017000</v>
      </c>
    </row>
    <row r="3126" spans="1:2">
      <c r="A3126" s="800" t="s">
        <v>1738</v>
      </c>
      <c r="B3126" s="801">
        <v>31401018000</v>
      </c>
    </row>
    <row r="3127" spans="1:2">
      <c r="A3127" s="800" t="s">
        <v>1737</v>
      </c>
      <c r="B3127" s="801">
        <v>31401019000</v>
      </c>
    </row>
    <row r="3128" spans="1:2">
      <c r="A3128" s="800" t="s">
        <v>1736</v>
      </c>
      <c r="B3128" s="801">
        <v>31401020000</v>
      </c>
    </row>
    <row r="3129" spans="1:2">
      <c r="A3129" s="800" t="s">
        <v>1735</v>
      </c>
      <c r="B3129" s="801">
        <v>31401021000</v>
      </c>
    </row>
    <row r="3130" spans="1:2">
      <c r="A3130" s="800" t="s">
        <v>1734</v>
      </c>
      <c r="B3130" s="801">
        <v>31401022000</v>
      </c>
    </row>
    <row r="3131" spans="1:2">
      <c r="A3131" s="800" t="s">
        <v>1733</v>
      </c>
      <c r="B3131" s="801">
        <v>31401023000</v>
      </c>
    </row>
    <row r="3132" spans="1:2">
      <c r="A3132" s="800" t="s">
        <v>1732</v>
      </c>
      <c r="B3132" s="801">
        <v>31401024000</v>
      </c>
    </row>
    <row r="3133" spans="1:2">
      <c r="A3133" s="800" t="s">
        <v>1731</v>
      </c>
      <c r="B3133" s="801">
        <v>31401025000</v>
      </c>
    </row>
    <row r="3134" spans="1:2">
      <c r="A3134" s="800" t="s">
        <v>1730</v>
      </c>
      <c r="B3134" s="801">
        <v>31401026000</v>
      </c>
    </row>
    <row r="3135" spans="1:2">
      <c r="A3135" s="800" t="s">
        <v>1729</v>
      </c>
      <c r="B3135" s="801">
        <v>31401027000</v>
      </c>
    </row>
    <row r="3136" spans="1:2">
      <c r="A3136" s="800" t="s">
        <v>1728</v>
      </c>
      <c r="B3136" s="801">
        <v>31401028000</v>
      </c>
    </row>
    <row r="3137" spans="1:2">
      <c r="A3137" s="800" t="s">
        <v>1727</v>
      </c>
      <c r="B3137" s="801">
        <v>31401029000</v>
      </c>
    </row>
    <row r="3138" spans="1:2">
      <c r="A3138" s="800" t="s">
        <v>1726</v>
      </c>
      <c r="B3138" s="801">
        <v>31401030000</v>
      </c>
    </row>
    <row r="3139" spans="1:2">
      <c r="A3139" s="800" t="s">
        <v>1725</v>
      </c>
      <c r="B3139" s="801">
        <v>31401031000</v>
      </c>
    </row>
    <row r="3140" spans="1:2">
      <c r="A3140" s="800" t="s">
        <v>1724</v>
      </c>
      <c r="B3140" s="801">
        <v>31401032000</v>
      </c>
    </row>
    <row r="3141" spans="1:2">
      <c r="A3141" s="800" t="s">
        <v>1723</v>
      </c>
      <c r="B3141" s="801">
        <v>31402000000</v>
      </c>
    </row>
    <row r="3142" spans="1:2">
      <c r="A3142" s="800" t="s">
        <v>1722</v>
      </c>
      <c r="B3142" s="801">
        <v>31402001000</v>
      </c>
    </row>
    <row r="3143" spans="1:2">
      <c r="A3143" s="800" t="s">
        <v>1721</v>
      </c>
      <c r="B3143" s="801">
        <v>31402002000</v>
      </c>
    </row>
    <row r="3144" spans="1:2">
      <c r="A3144" s="800" t="s">
        <v>1720</v>
      </c>
      <c r="B3144" s="801">
        <v>31402003000</v>
      </c>
    </row>
    <row r="3145" spans="1:2">
      <c r="A3145" s="800" t="s">
        <v>1719</v>
      </c>
      <c r="B3145" s="801">
        <v>31402004000</v>
      </c>
    </row>
    <row r="3146" spans="1:2">
      <c r="A3146" s="800" t="s">
        <v>1718</v>
      </c>
      <c r="B3146" s="801">
        <v>31402005000</v>
      </c>
    </row>
    <row r="3147" spans="1:2">
      <c r="A3147" s="800" t="s">
        <v>1717</v>
      </c>
      <c r="B3147" s="801">
        <v>31402006000</v>
      </c>
    </row>
    <row r="3148" spans="1:2">
      <c r="A3148" s="800" t="s">
        <v>1716</v>
      </c>
      <c r="B3148" s="801">
        <v>31402007000</v>
      </c>
    </row>
    <row r="3149" spans="1:2">
      <c r="A3149" s="800" t="s">
        <v>1715</v>
      </c>
      <c r="B3149" s="801">
        <v>31402007101</v>
      </c>
    </row>
    <row r="3150" spans="1:2">
      <c r="A3150" s="800" t="s">
        <v>1714</v>
      </c>
      <c r="B3150" s="801">
        <v>31402007102</v>
      </c>
    </row>
    <row r="3151" spans="1:2">
      <c r="A3151" s="800" t="s">
        <v>1713</v>
      </c>
      <c r="B3151" s="801">
        <v>31402007103</v>
      </c>
    </row>
    <row r="3152" spans="1:2">
      <c r="A3152" s="800" t="s">
        <v>1712</v>
      </c>
      <c r="B3152" s="801">
        <v>31402008000</v>
      </c>
    </row>
    <row r="3153" spans="1:2">
      <c r="A3153" s="800" t="s">
        <v>1711</v>
      </c>
      <c r="B3153" s="801">
        <v>31402009000</v>
      </c>
    </row>
    <row r="3154" spans="1:2">
      <c r="A3154" s="800" t="s">
        <v>1710</v>
      </c>
      <c r="B3154" s="801">
        <v>31402010000</v>
      </c>
    </row>
    <row r="3155" spans="1:2">
      <c r="A3155" s="800" t="s">
        <v>1709</v>
      </c>
      <c r="B3155" s="801">
        <v>31402010101</v>
      </c>
    </row>
    <row r="3156" spans="1:2">
      <c r="A3156" s="800" t="s">
        <v>1708</v>
      </c>
      <c r="B3156" s="801">
        <v>31402010102</v>
      </c>
    </row>
    <row r="3157" spans="1:2">
      <c r="A3157" s="800" t="s">
        <v>1707</v>
      </c>
      <c r="B3157" s="801">
        <v>31402011000</v>
      </c>
    </row>
    <row r="3158" spans="1:2">
      <c r="A3158" s="800" t="s">
        <v>1706</v>
      </c>
      <c r="B3158" s="801">
        <v>31402012000</v>
      </c>
    </row>
    <row r="3159" spans="1:2">
      <c r="A3159" s="800" t="s">
        <v>1705</v>
      </c>
      <c r="B3159" s="801">
        <v>31402013000</v>
      </c>
    </row>
    <row r="3160" spans="1:2">
      <c r="A3160" s="800" t="s">
        <v>1704</v>
      </c>
      <c r="B3160" s="801">
        <v>31402014000</v>
      </c>
    </row>
    <row r="3161" spans="1:2">
      <c r="A3161" s="800" t="s">
        <v>1703</v>
      </c>
      <c r="B3161" s="801">
        <v>31402015000</v>
      </c>
    </row>
    <row r="3162" spans="1:2">
      <c r="A3162" s="800" t="s">
        <v>1702</v>
      </c>
      <c r="B3162" s="801">
        <v>31402016000</v>
      </c>
    </row>
    <row r="3163" spans="1:2">
      <c r="A3163" s="800" t="s">
        <v>1701</v>
      </c>
      <c r="B3163" s="801">
        <v>31402017000</v>
      </c>
    </row>
    <row r="3164" spans="1:2">
      <c r="A3164" s="800" t="s">
        <v>1700</v>
      </c>
      <c r="B3164" s="801">
        <v>31402017101</v>
      </c>
    </row>
    <row r="3165" spans="1:2">
      <c r="A3165" s="800" t="s">
        <v>1699</v>
      </c>
      <c r="B3165" s="801">
        <v>31402017102</v>
      </c>
    </row>
    <row r="3166" spans="1:2">
      <c r="A3166" s="800" t="s">
        <v>1698</v>
      </c>
      <c r="B3166" s="801">
        <v>31402018000</v>
      </c>
    </row>
    <row r="3167" spans="1:2">
      <c r="A3167" s="800" t="s">
        <v>1697</v>
      </c>
      <c r="B3167" s="801">
        <v>31402019000</v>
      </c>
    </row>
    <row r="3168" spans="1:2">
      <c r="A3168" s="800" t="s">
        <v>1696</v>
      </c>
      <c r="B3168" s="801">
        <v>31402020000</v>
      </c>
    </row>
    <row r="3169" spans="1:2">
      <c r="A3169" s="800" t="s">
        <v>1695</v>
      </c>
      <c r="B3169" s="801">
        <v>31402021000</v>
      </c>
    </row>
    <row r="3170" spans="1:2">
      <c r="A3170" s="800" t="s">
        <v>1694</v>
      </c>
      <c r="B3170" s="801">
        <v>31402021101</v>
      </c>
    </row>
    <row r="3171" spans="1:2">
      <c r="A3171" s="800" t="s">
        <v>1693</v>
      </c>
      <c r="B3171" s="801">
        <v>31402021102</v>
      </c>
    </row>
    <row r="3172" spans="1:2">
      <c r="A3172" s="800" t="s">
        <v>1692</v>
      </c>
      <c r="B3172" s="801">
        <v>31402021103</v>
      </c>
    </row>
    <row r="3173" spans="1:2">
      <c r="A3173" s="800" t="s">
        <v>1691</v>
      </c>
      <c r="B3173" s="801">
        <v>31402022000</v>
      </c>
    </row>
    <row r="3174" spans="1:2">
      <c r="A3174" s="800" t="s">
        <v>1690</v>
      </c>
      <c r="B3174" s="801">
        <v>31402023000</v>
      </c>
    </row>
    <row r="3175" spans="1:2">
      <c r="A3175" s="800" t="s">
        <v>1689</v>
      </c>
      <c r="B3175" s="801">
        <v>31402024000</v>
      </c>
    </row>
    <row r="3176" spans="1:2">
      <c r="A3176" s="800" t="s">
        <v>1688</v>
      </c>
      <c r="B3176" s="801">
        <v>31402024101</v>
      </c>
    </row>
    <row r="3177" spans="1:2">
      <c r="A3177" s="800" t="s">
        <v>1687</v>
      </c>
      <c r="B3177" s="801">
        <v>31402024102</v>
      </c>
    </row>
    <row r="3178" spans="1:2">
      <c r="A3178" s="800" t="s">
        <v>1686</v>
      </c>
      <c r="B3178" s="801">
        <v>31402025000</v>
      </c>
    </row>
    <row r="3179" spans="1:2">
      <c r="A3179" s="800" t="s">
        <v>1685</v>
      </c>
      <c r="B3179" s="801">
        <v>31402026000</v>
      </c>
    </row>
    <row r="3180" spans="1:2">
      <c r="A3180" s="800" t="s">
        <v>1684</v>
      </c>
      <c r="B3180" s="801">
        <v>31402027000</v>
      </c>
    </row>
    <row r="3181" spans="1:2">
      <c r="A3181" s="800" t="s">
        <v>1683</v>
      </c>
      <c r="B3181" s="801">
        <v>31403000000</v>
      </c>
    </row>
    <row r="3182" spans="1:2">
      <c r="A3182" s="800" t="s">
        <v>1682</v>
      </c>
      <c r="B3182" s="801">
        <v>31403001000</v>
      </c>
    </row>
    <row r="3183" spans="1:2">
      <c r="A3183" s="800" t="s">
        <v>1681</v>
      </c>
      <c r="B3183" s="801">
        <v>31403002000</v>
      </c>
    </row>
    <row r="3184" spans="1:2">
      <c r="A3184" s="800" t="s">
        <v>1680</v>
      </c>
      <c r="B3184" s="801">
        <v>31403003000</v>
      </c>
    </row>
    <row r="3185" spans="1:2">
      <c r="A3185" s="800" t="s">
        <v>1679</v>
      </c>
      <c r="B3185" s="801">
        <v>31403004000</v>
      </c>
    </row>
    <row r="3186" spans="1:2">
      <c r="A3186" s="800" t="s">
        <v>1678</v>
      </c>
      <c r="B3186" s="801">
        <v>31403005000</v>
      </c>
    </row>
    <row r="3187" spans="1:2">
      <c r="A3187" s="800" t="s">
        <v>1677</v>
      </c>
      <c r="B3187" s="801">
        <v>31403006000</v>
      </c>
    </row>
    <row r="3188" spans="1:2">
      <c r="A3188" s="800" t="s">
        <v>1676</v>
      </c>
      <c r="B3188" s="801">
        <v>31403006101</v>
      </c>
    </row>
    <row r="3189" spans="1:2">
      <c r="A3189" s="800" t="s">
        <v>1675</v>
      </c>
      <c r="B3189" s="801">
        <v>31403007000</v>
      </c>
    </row>
    <row r="3190" spans="1:2">
      <c r="A3190" s="800" t="s">
        <v>1674</v>
      </c>
      <c r="B3190" s="801">
        <v>31403008000</v>
      </c>
    </row>
    <row r="3191" spans="1:2">
      <c r="A3191" s="800" t="s">
        <v>1673</v>
      </c>
      <c r="B3191" s="801">
        <v>31403009000</v>
      </c>
    </row>
    <row r="3192" spans="1:2">
      <c r="A3192" s="800" t="s">
        <v>1672</v>
      </c>
      <c r="B3192" s="801">
        <v>31403010000</v>
      </c>
    </row>
    <row r="3193" spans="1:2">
      <c r="A3193" s="800" t="s">
        <v>1671</v>
      </c>
      <c r="B3193" s="801">
        <v>31403011000</v>
      </c>
    </row>
    <row r="3194" spans="1:2">
      <c r="A3194" s="800" t="s">
        <v>1670</v>
      </c>
      <c r="B3194" s="801">
        <v>31403012000</v>
      </c>
    </row>
    <row r="3195" spans="1:2">
      <c r="A3195" s="800" t="s">
        <v>1669</v>
      </c>
      <c r="B3195" s="801">
        <v>31403013000</v>
      </c>
    </row>
    <row r="3196" spans="1:2">
      <c r="A3196" s="800" t="s">
        <v>1668</v>
      </c>
      <c r="B3196" s="801">
        <v>31403013101</v>
      </c>
    </row>
    <row r="3197" spans="1:2">
      <c r="A3197" s="800" t="s">
        <v>1667</v>
      </c>
      <c r="B3197" s="801">
        <v>31403013102</v>
      </c>
    </row>
    <row r="3198" spans="1:2">
      <c r="A3198" s="800" t="s">
        <v>1666</v>
      </c>
      <c r="B3198" s="801">
        <v>31403013103</v>
      </c>
    </row>
    <row r="3199" spans="1:2">
      <c r="A3199" s="800" t="s">
        <v>1665</v>
      </c>
      <c r="B3199" s="801">
        <v>31403013104</v>
      </c>
    </row>
    <row r="3200" spans="1:2">
      <c r="A3200" s="800" t="s">
        <v>1664</v>
      </c>
      <c r="B3200" s="801">
        <v>31403013105</v>
      </c>
    </row>
    <row r="3201" spans="1:2">
      <c r="A3201" s="800" t="s">
        <v>1663</v>
      </c>
      <c r="B3201" s="801">
        <v>31403013106</v>
      </c>
    </row>
    <row r="3202" spans="1:2">
      <c r="A3202" s="800" t="s">
        <v>1662</v>
      </c>
      <c r="B3202" s="801">
        <v>31403014000</v>
      </c>
    </row>
    <row r="3203" spans="1:2">
      <c r="A3203" s="800" t="s">
        <v>1661</v>
      </c>
      <c r="B3203" s="801">
        <v>31403014101</v>
      </c>
    </row>
    <row r="3204" spans="1:2">
      <c r="A3204" s="800" t="s">
        <v>1660</v>
      </c>
      <c r="B3204" s="801">
        <v>31403015000</v>
      </c>
    </row>
    <row r="3205" spans="1:2">
      <c r="A3205" s="800" t="s">
        <v>1659</v>
      </c>
      <c r="B3205" s="801">
        <v>31403015101</v>
      </c>
    </row>
    <row r="3206" spans="1:2">
      <c r="A3206" s="800" t="s">
        <v>1658</v>
      </c>
      <c r="B3206" s="801">
        <v>31403016000</v>
      </c>
    </row>
    <row r="3207" spans="1:2">
      <c r="A3207" s="800" t="s">
        <v>1657</v>
      </c>
      <c r="B3207" s="801">
        <v>31403016101</v>
      </c>
    </row>
    <row r="3208" spans="1:2">
      <c r="A3208" s="800" t="s">
        <v>1656</v>
      </c>
      <c r="B3208" s="801">
        <v>31403016102</v>
      </c>
    </row>
    <row r="3209" spans="1:2">
      <c r="A3209" s="800" t="s">
        <v>1655</v>
      </c>
      <c r="B3209" s="801">
        <v>31403017000</v>
      </c>
    </row>
    <row r="3210" spans="1:2">
      <c r="A3210" s="800" t="s">
        <v>1654</v>
      </c>
      <c r="B3210" s="801">
        <v>31403017101</v>
      </c>
    </row>
    <row r="3211" spans="1:2">
      <c r="A3211" s="800" t="s">
        <v>1653</v>
      </c>
      <c r="B3211" s="801">
        <v>31403017102</v>
      </c>
    </row>
    <row r="3212" spans="1:2">
      <c r="A3212" s="800" t="s">
        <v>1652</v>
      </c>
      <c r="B3212" s="801">
        <v>31403017103</v>
      </c>
    </row>
    <row r="3213" spans="1:2">
      <c r="A3213" s="800" t="s">
        <v>1651</v>
      </c>
      <c r="B3213" s="801">
        <v>31403017104</v>
      </c>
    </row>
    <row r="3214" spans="1:2">
      <c r="A3214" s="800" t="s">
        <v>1650</v>
      </c>
      <c r="B3214" s="801">
        <v>31403018000</v>
      </c>
    </row>
    <row r="3215" spans="1:2">
      <c r="A3215" s="800" t="s">
        <v>1649</v>
      </c>
      <c r="B3215" s="801">
        <v>31403018101</v>
      </c>
    </row>
    <row r="3216" spans="1:2">
      <c r="A3216" s="800" t="s">
        <v>1648</v>
      </c>
      <c r="B3216" s="801">
        <v>31403018102</v>
      </c>
    </row>
    <row r="3217" spans="1:2">
      <c r="A3217" s="800" t="s">
        <v>1647</v>
      </c>
      <c r="B3217" s="801">
        <v>31404000000</v>
      </c>
    </row>
    <row r="3218" spans="1:2">
      <c r="A3218" s="800" t="s">
        <v>1646</v>
      </c>
      <c r="B3218" s="801">
        <v>31404001000</v>
      </c>
    </row>
    <row r="3219" spans="1:2">
      <c r="A3219" s="800" t="s">
        <v>1645</v>
      </c>
      <c r="B3219" s="801">
        <v>31404001101</v>
      </c>
    </row>
    <row r="3220" spans="1:2">
      <c r="A3220" s="800" t="s">
        <v>1644</v>
      </c>
      <c r="B3220" s="801">
        <v>31404001102</v>
      </c>
    </row>
    <row r="3221" spans="1:2">
      <c r="A3221" s="800" t="s">
        <v>1643</v>
      </c>
      <c r="B3221" s="801">
        <v>31404002000</v>
      </c>
    </row>
    <row r="3222" spans="1:2">
      <c r="A3222" s="800" t="s">
        <v>1642</v>
      </c>
      <c r="B3222" s="801">
        <v>31404002101</v>
      </c>
    </row>
    <row r="3223" spans="1:2">
      <c r="A3223" s="800" t="s">
        <v>1641</v>
      </c>
      <c r="B3223" s="801">
        <v>31404003000</v>
      </c>
    </row>
    <row r="3224" spans="1:2">
      <c r="A3224" s="800" t="s">
        <v>1640</v>
      </c>
      <c r="B3224" s="801">
        <v>31404004000</v>
      </c>
    </row>
    <row r="3225" spans="1:2">
      <c r="A3225" s="800" t="s">
        <v>1639</v>
      </c>
      <c r="B3225" s="801">
        <v>31404004101</v>
      </c>
    </row>
    <row r="3226" spans="1:2">
      <c r="A3226" s="800" t="s">
        <v>1638</v>
      </c>
      <c r="B3226" s="801">
        <v>31404005000</v>
      </c>
    </row>
    <row r="3227" spans="1:2">
      <c r="A3227" s="800" t="s">
        <v>1637</v>
      </c>
      <c r="B3227" s="801">
        <v>31404006000</v>
      </c>
    </row>
    <row r="3228" spans="1:2">
      <c r="A3228" s="800" t="s">
        <v>1636</v>
      </c>
      <c r="B3228" s="801">
        <v>31404006101</v>
      </c>
    </row>
    <row r="3229" spans="1:2">
      <c r="A3229" s="800" t="s">
        <v>1635</v>
      </c>
      <c r="B3229" s="801">
        <v>31404007000</v>
      </c>
    </row>
    <row r="3230" spans="1:2">
      <c r="A3230" s="800" t="s">
        <v>1634</v>
      </c>
      <c r="B3230" s="801">
        <v>31404008000</v>
      </c>
    </row>
    <row r="3231" spans="1:2">
      <c r="A3231" s="800" t="s">
        <v>1633</v>
      </c>
      <c r="B3231" s="801">
        <v>31404009000</v>
      </c>
    </row>
    <row r="3232" spans="1:2">
      <c r="A3232" s="800" t="s">
        <v>1632</v>
      </c>
      <c r="B3232" s="801">
        <v>31404009101</v>
      </c>
    </row>
    <row r="3233" spans="1:2">
      <c r="A3233" s="800" t="s">
        <v>1631</v>
      </c>
      <c r="B3233" s="801">
        <v>31404010000</v>
      </c>
    </row>
    <row r="3234" spans="1:2">
      <c r="A3234" s="800" t="s">
        <v>1630</v>
      </c>
      <c r="B3234" s="801">
        <v>31404011000</v>
      </c>
    </row>
    <row r="3235" spans="1:2">
      <c r="A3235" s="800" t="s">
        <v>1629</v>
      </c>
      <c r="B3235" s="801">
        <v>31404012000</v>
      </c>
    </row>
    <row r="3236" spans="1:2">
      <c r="A3236" s="800" t="s">
        <v>1628</v>
      </c>
      <c r="B3236" s="801">
        <v>31404013000</v>
      </c>
    </row>
    <row r="3237" spans="1:2">
      <c r="A3237" s="800" t="s">
        <v>1627</v>
      </c>
      <c r="B3237" s="801">
        <v>31404014000</v>
      </c>
    </row>
    <row r="3238" spans="1:2">
      <c r="A3238" s="800" t="s">
        <v>1626</v>
      </c>
      <c r="B3238" s="801">
        <v>31404015000</v>
      </c>
    </row>
    <row r="3239" spans="1:2">
      <c r="A3239" s="800" t="s">
        <v>1625</v>
      </c>
      <c r="B3239" s="801">
        <v>31404016000</v>
      </c>
    </row>
    <row r="3240" spans="1:2">
      <c r="A3240" s="800" t="s">
        <v>1624</v>
      </c>
      <c r="B3240" s="801">
        <v>31404017000</v>
      </c>
    </row>
    <row r="3241" spans="1:2">
      <c r="A3241" s="800" t="s">
        <v>1623</v>
      </c>
      <c r="B3241" s="801">
        <v>31404017101</v>
      </c>
    </row>
    <row r="3242" spans="1:2">
      <c r="A3242" s="800" t="s">
        <v>1622</v>
      </c>
      <c r="B3242" s="801">
        <v>31404018000</v>
      </c>
    </row>
    <row r="3243" spans="1:2">
      <c r="A3243" s="800" t="s">
        <v>1621</v>
      </c>
      <c r="B3243" s="801">
        <v>31404019000</v>
      </c>
    </row>
    <row r="3244" spans="1:2">
      <c r="A3244" s="800" t="s">
        <v>1620</v>
      </c>
      <c r="B3244" s="801">
        <v>31404020000</v>
      </c>
    </row>
    <row r="3245" spans="1:2">
      <c r="A3245" s="800" t="s">
        <v>1619</v>
      </c>
      <c r="B3245" s="801">
        <v>31404021000</v>
      </c>
    </row>
    <row r="3246" spans="1:2">
      <c r="A3246" s="800" t="s">
        <v>1618</v>
      </c>
      <c r="B3246" s="801">
        <v>31404021101</v>
      </c>
    </row>
    <row r="3247" spans="1:2">
      <c r="A3247" s="800" t="s">
        <v>1617</v>
      </c>
      <c r="B3247" s="801">
        <v>31404021102</v>
      </c>
    </row>
    <row r="3248" spans="1:2">
      <c r="A3248" s="800" t="s">
        <v>1616</v>
      </c>
      <c r="B3248" s="801">
        <v>31404021103</v>
      </c>
    </row>
    <row r="3249" spans="1:2">
      <c r="A3249" s="800" t="s">
        <v>1615</v>
      </c>
      <c r="B3249" s="801">
        <v>31404022000</v>
      </c>
    </row>
    <row r="3250" spans="1:2">
      <c r="A3250" s="800" t="s">
        <v>1614</v>
      </c>
      <c r="B3250" s="801">
        <v>31404023000</v>
      </c>
    </row>
    <row r="3251" spans="1:2">
      <c r="A3251" s="800" t="s">
        <v>1613</v>
      </c>
      <c r="B3251" s="801">
        <v>31404023101</v>
      </c>
    </row>
    <row r="3252" spans="1:2">
      <c r="A3252" s="800" t="s">
        <v>1612</v>
      </c>
      <c r="B3252" s="801">
        <v>31404023102</v>
      </c>
    </row>
    <row r="3253" spans="1:2">
      <c r="A3253" s="800" t="s">
        <v>1611</v>
      </c>
      <c r="B3253" s="801">
        <v>31404023103</v>
      </c>
    </row>
    <row r="3254" spans="1:2">
      <c r="A3254" s="800" t="s">
        <v>1610</v>
      </c>
      <c r="B3254" s="801">
        <v>31404023104</v>
      </c>
    </row>
    <row r="3255" spans="1:2">
      <c r="A3255" s="800" t="s">
        <v>1609</v>
      </c>
      <c r="B3255" s="801">
        <v>31404024000</v>
      </c>
    </row>
    <row r="3256" spans="1:2">
      <c r="A3256" s="800" t="s">
        <v>1608</v>
      </c>
      <c r="B3256" s="801">
        <v>31404024101</v>
      </c>
    </row>
    <row r="3257" spans="1:2">
      <c r="A3257" s="800" t="s">
        <v>1607</v>
      </c>
      <c r="B3257" s="801">
        <v>31404024102</v>
      </c>
    </row>
    <row r="3258" spans="1:2">
      <c r="A3258" s="800" t="s">
        <v>1606</v>
      </c>
      <c r="B3258" s="801">
        <v>31404024103</v>
      </c>
    </row>
    <row r="3259" spans="1:2">
      <c r="A3259" s="800" t="s">
        <v>1605</v>
      </c>
      <c r="B3259" s="801">
        <v>31404025000</v>
      </c>
    </row>
    <row r="3260" spans="1:2">
      <c r="A3260" s="800" t="s">
        <v>1604</v>
      </c>
      <c r="B3260" s="801">
        <v>31404025101</v>
      </c>
    </row>
    <row r="3261" spans="1:2">
      <c r="A3261" s="800" t="s">
        <v>1603</v>
      </c>
      <c r="B3261" s="801">
        <v>31404025102</v>
      </c>
    </row>
    <row r="3262" spans="1:2">
      <c r="A3262" s="800" t="s">
        <v>1602</v>
      </c>
      <c r="B3262" s="801">
        <v>31404025103</v>
      </c>
    </row>
    <row r="3263" spans="1:2">
      <c r="A3263" s="800" t="s">
        <v>1601</v>
      </c>
      <c r="B3263" s="801">
        <v>31404025104</v>
      </c>
    </row>
    <row r="3264" spans="1:2">
      <c r="A3264" s="800" t="s">
        <v>1600</v>
      </c>
      <c r="B3264" s="801">
        <v>31404026000</v>
      </c>
    </row>
    <row r="3265" spans="1:2">
      <c r="A3265" s="800" t="s">
        <v>1599</v>
      </c>
      <c r="B3265" s="801">
        <v>31404026101</v>
      </c>
    </row>
    <row r="3266" spans="1:2">
      <c r="A3266" s="800" t="s">
        <v>1598</v>
      </c>
      <c r="B3266" s="801">
        <v>31404026102</v>
      </c>
    </row>
    <row r="3267" spans="1:2">
      <c r="A3267" s="800" t="s">
        <v>1597</v>
      </c>
      <c r="B3267" s="801">
        <v>31404027000</v>
      </c>
    </row>
    <row r="3268" spans="1:2">
      <c r="A3268" s="800" t="s">
        <v>1596</v>
      </c>
      <c r="B3268" s="801">
        <v>31404028000</v>
      </c>
    </row>
    <row r="3269" spans="1:2">
      <c r="A3269" s="800" t="s">
        <v>1595</v>
      </c>
      <c r="B3269" s="801">
        <v>31404029000</v>
      </c>
    </row>
    <row r="3270" spans="1:2">
      <c r="A3270" s="800" t="s">
        <v>1594</v>
      </c>
      <c r="B3270" s="801">
        <v>31404030000</v>
      </c>
    </row>
    <row r="3271" spans="1:2">
      <c r="A3271" s="800" t="s">
        <v>1593</v>
      </c>
      <c r="B3271" s="801">
        <v>31404031000</v>
      </c>
    </row>
    <row r="3272" spans="1:2">
      <c r="A3272" s="800" t="s">
        <v>1592</v>
      </c>
      <c r="B3272" s="801">
        <v>31404032000</v>
      </c>
    </row>
    <row r="3273" spans="1:2">
      <c r="A3273" s="800" t="s">
        <v>1591</v>
      </c>
      <c r="B3273" s="801">
        <v>31404032101</v>
      </c>
    </row>
    <row r="3274" spans="1:2">
      <c r="A3274" s="800" t="s">
        <v>1590</v>
      </c>
      <c r="B3274" s="801">
        <v>31404033000</v>
      </c>
    </row>
  </sheetData>
  <customSheetViews>
    <customSheetView guid="{6CFAA980-29D1-42A9-8342-BF14629EBE3B}" state="hidden">
      <selection activeCell="A2" sqref="A2:F2"/>
      <pageMargins left="0.7" right="0.7" top="0.75" bottom="0.75" header="0.3" footer="0.3"/>
      <pageSetup paperSize="9" orientation="portrait" r:id="rId1"/>
    </customSheetView>
  </customSheetViews>
  <phoneticPr fontId="8"/>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indexed="8"/>
    <pageSetUpPr fitToPage="1"/>
  </sheetPr>
  <dimension ref="A1:BB637"/>
  <sheetViews>
    <sheetView showGridLines="0" tabSelected="1" zoomScaleNormal="100" workbookViewId="0">
      <pane xSplit="1" ySplit="3" topLeftCell="B4" activePane="bottomRight" state="frozen"/>
      <selection pane="topRight" activeCell="B1" sqref="B1"/>
      <selection pane="bottomLeft" activeCell="A4" sqref="A4"/>
      <selection pane="bottomRight" activeCell="BD2" sqref="BD2"/>
    </sheetView>
  </sheetViews>
  <sheetFormatPr defaultRowHeight="13.5" customHeight="1"/>
  <cols>
    <col min="1" max="1" width="1.109375" customWidth="1"/>
    <col min="2" max="52" width="3.33203125" customWidth="1"/>
    <col min="53" max="53" width="5.6640625" style="2198" bestFit="1" customWidth="1"/>
    <col min="54" max="54" width="8.109375" style="956" bestFit="1" customWidth="1"/>
  </cols>
  <sheetData>
    <row r="1" spans="2:54" ht="11">
      <c r="B1" s="1524"/>
      <c r="C1" s="1524"/>
      <c r="D1" s="2424"/>
      <c r="E1" s="2425"/>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4"/>
      <c r="AM1" s="1524"/>
      <c r="AN1" s="1524"/>
      <c r="AO1" s="1524"/>
      <c r="AP1" s="1524"/>
      <c r="AQ1" s="1524"/>
      <c r="AR1" s="1524"/>
      <c r="AS1" s="1524"/>
      <c r="AT1" s="1524"/>
      <c r="AU1" s="1524"/>
      <c r="AV1" s="1524"/>
      <c r="AW1" s="2975"/>
      <c r="AX1" s="2975"/>
      <c r="AY1" s="2975"/>
      <c r="AZ1" s="2975"/>
      <c r="BA1" s="2200"/>
    </row>
    <row r="2" spans="2:54" ht="16.5" customHeight="1">
      <c r="B2" s="2433" t="s">
        <v>5541</v>
      </c>
      <c r="C2" s="2434"/>
      <c r="D2" s="2435"/>
      <c r="E2" s="2415" t="s">
        <v>5774</v>
      </c>
      <c r="F2" s="2416"/>
      <c r="G2" s="2417"/>
      <c r="H2" s="2415" t="s">
        <v>5775</v>
      </c>
      <c r="I2" s="2416"/>
      <c r="J2" s="2417"/>
      <c r="K2" s="2415" t="s">
        <v>5776</v>
      </c>
      <c r="L2" s="2416"/>
      <c r="M2" s="2417"/>
      <c r="N2" s="2415" t="s">
        <v>5777</v>
      </c>
      <c r="O2" s="2416"/>
      <c r="P2" s="2417"/>
      <c r="Q2" s="2415" t="s">
        <v>5778</v>
      </c>
      <c r="R2" s="2416"/>
      <c r="S2" s="2417"/>
      <c r="T2" s="2415" t="s">
        <v>5779</v>
      </c>
      <c r="U2" s="2416"/>
      <c r="V2" s="2417"/>
      <c r="W2" s="2415" t="s">
        <v>5780</v>
      </c>
      <c r="X2" s="2416"/>
      <c r="Y2" s="2417"/>
      <c r="Z2" s="2415" t="s">
        <v>5781</v>
      </c>
      <c r="AA2" s="2416"/>
      <c r="AB2" s="2417"/>
      <c r="AC2" s="2415" t="s">
        <v>5782</v>
      </c>
      <c r="AD2" s="2416"/>
      <c r="AE2" s="2417"/>
      <c r="AF2" s="2415" t="s">
        <v>5783</v>
      </c>
      <c r="AG2" s="2416"/>
      <c r="AH2" s="2417"/>
      <c r="AI2" s="2415" t="s">
        <v>5784</v>
      </c>
      <c r="AJ2" s="2416"/>
      <c r="AK2" s="2417"/>
      <c r="AL2" s="2415" t="s">
        <v>5785</v>
      </c>
      <c r="AM2" s="2416"/>
      <c r="AN2" s="2417"/>
      <c r="AO2" s="2415" t="s">
        <v>5786</v>
      </c>
      <c r="AP2" s="2416"/>
      <c r="AQ2" s="2417"/>
      <c r="AR2" s="2415" t="s">
        <v>5787</v>
      </c>
      <c r="AS2" s="2416"/>
      <c r="AT2" s="2417"/>
      <c r="AU2" s="2415" t="s">
        <v>5788</v>
      </c>
      <c r="AV2" s="2416"/>
      <c r="AW2" s="2417"/>
      <c r="AX2" s="2415" t="s">
        <v>5789</v>
      </c>
      <c r="AY2" s="2416"/>
      <c r="AZ2" s="2417"/>
      <c r="BA2" s="2201" t="s">
        <v>5810</v>
      </c>
      <c r="BB2" s="956" t="s">
        <v>5742</v>
      </c>
    </row>
    <row r="3" spans="2:54" ht="7.5" customHeight="1">
      <c r="B3" s="1525"/>
      <c r="C3" s="1525"/>
      <c r="D3" s="1525"/>
      <c r="E3" s="1525"/>
      <c r="F3" s="1525"/>
      <c r="G3" s="1525"/>
      <c r="H3" s="1525"/>
      <c r="I3" s="1525"/>
      <c r="J3" s="1525"/>
      <c r="K3" s="1525"/>
      <c r="L3" s="1525"/>
      <c r="M3" s="1525"/>
      <c r="N3" s="1525"/>
      <c r="O3" s="1525"/>
      <c r="P3" s="1525"/>
      <c r="Q3" s="1525"/>
      <c r="R3" s="1525"/>
      <c r="S3" s="1525"/>
      <c r="T3" s="1525"/>
      <c r="U3" s="1525"/>
      <c r="V3" s="1525"/>
      <c r="W3" s="1525"/>
      <c r="X3" s="1525"/>
      <c r="Y3" s="1525"/>
      <c r="Z3" s="1525"/>
      <c r="AA3" s="1525"/>
      <c r="AB3" s="1525"/>
      <c r="AC3" s="1525"/>
      <c r="AD3" s="1525"/>
      <c r="AE3" s="1525"/>
      <c r="AF3" s="1525"/>
      <c r="AG3" s="1525"/>
      <c r="AH3" s="1525"/>
      <c r="AI3" s="1525"/>
      <c r="AJ3" s="1525"/>
      <c r="AK3" s="1525"/>
      <c r="AL3" s="1525"/>
      <c r="AM3" s="1525"/>
      <c r="AN3" s="1525"/>
      <c r="AO3" s="1525"/>
      <c r="AP3" s="1525"/>
      <c r="AQ3" s="1525"/>
      <c r="AR3" s="1525"/>
      <c r="AS3" s="1525"/>
      <c r="AT3" s="1525"/>
      <c r="AU3" s="1525"/>
      <c r="AV3" s="1525"/>
      <c r="AW3" s="1525"/>
      <c r="AX3" s="1525"/>
      <c r="AY3" s="1525"/>
      <c r="AZ3" s="1525"/>
      <c r="BA3" s="2200"/>
      <c r="BB3" s="956" t="s">
        <v>5565</v>
      </c>
    </row>
    <row r="4" spans="2:54" ht="13.5" customHeight="1">
      <c r="BA4" s="2200"/>
      <c r="BB4" s="956" t="s">
        <v>5565</v>
      </c>
    </row>
    <row r="5" spans="2:54" ht="13.5" customHeight="1">
      <c r="B5" s="1526" t="s">
        <v>624</v>
      </c>
      <c r="C5" s="1527"/>
      <c r="D5" s="1527"/>
      <c r="E5" s="1527"/>
      <c r="F5" s="2436"/>
      <c r="G5" s="2454"/>
      <c r="H5" s="2454"/>
      <c r="I5" s="2454"/>
      <c r="J5" s="2454"/>
      <c r="K5" s="2454"/>
      <c r="L5" s="2454"/>
      <c r="M5" s="2454"/>
      <c r="N5" s="2454"/>
      <c r="O5" s="2454"/>
      <c r="P5" s="2454"/>
      <c r="Q5" s="2455"/>
      <c r="R5" s="2413" t="s">
        <v>625</v>
      </c>
      <c r="S5" s="2414"/>
      <c r="T5" s="2414"/>
      <c r="U5" s="2414"/>
      <c r="V5" s="2681"/>
      <c r="W5" s="2682"/>
      <c r="X5" s="2682"/>
      <c r="Y5" s="2682"/>
      <c r="Z5" s="2682"/>
      <c r="AA5" s="2451" t="s">
        <v>985</v>
      </c>
      <c r="AB5" s="2452"/>
      <c r="AC5" s="2453"/>
      <c r="AD5" s="2668"/>
      <c r="AE5" s="2669"/>
      <c r="AF5" s="2669"/>
      <c r="AG5" s="2669"/>
      <c r="AH5" s="2669"/>
      <c r="AI5" s="2669"/>
      <c r="AJ5" s="2670"/>
      <c r="AK5" s="2652"/>
      <c r="AL5" s="2653"/>
      <c r="AM5" s="1532" t="s">
        <v>626</v>
      </c>
      <c r="AN5" s="1532"/>
      <c r="AO5" s="1532"/>
      <c r="AP5" s="1533"/>
      <c r="AQ5" s="1532" t="s">
        <v>627</v>
      </c>
      <c r="AR5" s="1532"/>
      <c r="AS5" s="1532"/>
      <c r="AT5" s="1533"/>
      <c r="AU5" s="1532" t="s">
        <v>628</v>
      </c>
      <c r="AV5" s="1532"/>
      <c r="AW5" s="1532"/>
      <c r="AX5" s="1534" t="s">
        <v>629</v>
      </c>
      <c r="AY5" s="1532"/>
      <c r="AZ5" s="1535"/>
      <c r="BA5" s="2200"/>
      <c r="BB5" s="956" t="b">
        <v>1</v>
      </c>
    </row>
    <row r="6" spans="2:54" ht="13.5" customHeight="1">
      <c r="B6" s="1528" t="s">
        <v>630</v>
      </c>
      <c r="C6" s="1529"/>
      <c r="D6" s="1529"/>
      <c r="E6" s="1529"/>
      <c r="F6" s="2436"/>
      <c r="G6" s="2437"/>
      <c r="H6" s="2437"/>
      <c r="I6" s="2437"/>
      <c r="J6" s="2437"/>
      <c r="K6" s="2437"/>
      <c r="L6" s="2437"/>
      <c r="M6" s="2437"/>
      <c r="N6" s="2437"/>
      <c r="O6" s="2437"/>
      <c r="P6" s="2437"/>
      <c r="Q6" s="2438"/>
      <c r="R6" s="2713" t="s">
        <v>631</v>
      </c>
      <c r="S6" s="2713"/>
      <c r="T6" s="2713"/>
      <c r="U6" s="2713"/>
      <c r="V6" s="2694"/>
      <c r="W6" s="2695"/>
      <c r="X6" s="2695"/>
      <c r="Y6" s="2695"/>
      <c r="Z6" s="2695"/>
      <c r="AA6" s="2451" t="s">
        <v>986</v>
      </c>
      <c r="AB6" s="2452"/>
      <c r="AC6" s="2453"/>
      <c r="AD6" s="2691"/>
      <c r="AE6" s="2692"/>
      <c r="AF6" s="2692"/>
      <c r="AG6" s="2692"/>
      <c r="AH6" s="2692"/>
      <c r="AI6" s="2692"/>
      <c r="AJ6" s="2693"/>
      <c r="AK6" s="2683" t="s">
        <v>632</v>
      </c>
      <c r="AL6" s="2684"/>
      <c r="AM6" s="2687"/>
      <c r="AN6" s="2688"/>
      <c r="AO6" s="2688"/>
      <c r="AP6" s="2968" t="s">
        <v>634</v>
      </c>
      <c r="AQ6" s="2688"/>
      <c r="AR6" s="2688"/>
      <c r="AS6" s="2688"/>
      <c r="AT6" s="2968" t="s">
        <v>634</v>
      </c>
      <c r="AU6" s="2966">
        <f>COUNT(M10:AZ10,M12:AJ12)</f>
        <v>0</v>
      </c>
      <c r="AV6" s="2966"/>
      <c r="AW6" s="2966"/>
      <c r="AX6" s="2956">
        <f>COUNT(AK12:AZ12)</f>
        <v>0</v>
      </c>
      <c r="AY6" s="2957"/>
      <c r="AZ6" s="2958"/>
      <c r="BA6" s="2200"/>
      <c r="BB6" s="956" t="b">
        <v>1</v>
      </c>
    </row>
    <row r="7" spans="2:54" ht="13.5" customHeight="1">
      <c r="B7" s="1530" t="s">
        <v>637</v>
      </c>
      <c r="C7" s="1531"/>
      <c r="D7" s="1531"/>
      <c r="E7" s="1531"/>
      <c r="F7" s="2952"/>
      <c r="G7" s="2437"/>
      <c r="H7" s="2437"/>
      <c r="I7" s="2437"/>
      <c r="J7" s="2437"/>
      <c r="K7" s="2437"/>
      <c r="L7" s="2437"/>
      <c r="M7" s="2437"/>
      <c r="N7" s="2437"/>
      <c r="O7" s="2437"/>
      <c r="P7" s="2437"/>
      <c r="Q7" s="2438"/>
      <c r="R7" s="2413" t="s">
        <v>638</v>
      </c>
      <c r="S7" s="2414"/>
      <c r="T7" s="2414"/>
      <c r="U7" s="2414"/>
      <c r="V7" s="2694"/>
      <c r="W7" s="2695"/>
      <c r="X7" s="2695"/>
      <c r="Y7" s="2695"/>
      <c r="Z7" s="2695"/>
      <c r="AA7" s="2953" t="s">
        <v>987</v>
      </c>
      <c r="AB7" s="2954"/>
      <c r="AC7" s="2955"/>
      <c r="AD7" s="2678"/>
      <c r="AE7" s="2679"/>
      <c r="AF7" s="2679"/>
      <c r="AG7" s="2679"/>
      <c r="AH7" s="2679"/>
      <c r="AI7" s="2679"/>
      <c r="AJ7" s="2680"/>
      <c r="AK7" s="2685"/>
      <c r="AL7" s="2686"/>
      <c r="AM7" s="2689"/>
      <c r="AN7" s="2690"/>
      <c r="AO7" s="2690"/>
      <c r="AP7" s="2969"/>
      <c r="AQ7" s="2690"/>
      <c r="AR7" s="2690"/>
      <c r="AS7" s="2690"/>
      <c r="AT7" s="2969"/>
      <c r="AU7" s="2967"/>
      <c r="AV7" s="2967"/>
      <c r="AW7" s="2967"/>
      <c r="AX7" s="2959"/>
      <c r="AY7" s="2960"/>
      <c r="AZ7" s="2961"/>
      <c r="BA7" s="2200"/>
      <c r="BB7" s="956" t="b">
        <v>1</v>
      </c>
    </row>
    <row r="8" spans="2:54" ht="13.5" customHeight="1" thickBot="1">
      <c r="BA8" s="2200"/>
      <c r="BB8" s="956" t="b">
        <v>1</v>
      </c>
    </row>
    <row r="9" spans="2:54" ht="13.5" customHeight="1">
      <c r="B9" s="2517" t="s">
        <v>639</v>
      </c>
      <c r="C9" s="2518"/>
      <c r="D9" s="2519"/>
      <c r="E9" s="1536" t="s">
        <v>640</v>
      </c>
      <c r="F9" s="1536"/>
      <c r="G9" s="1537"/>
      <c r="H9" s="1538"/>
      <c r="I9" s="1536" t="s">
        <v>641</v>
      </c>
      <c r="J9" s="1536"/>
      <c r="K9" s="1537"/>
      <c r="L9" s="1539"/>
      <c r="M9" s="1540" t="s">
        <v>642</v>
      </c>
      <c r="N9" s="1541"/>
      <c r="O9" s="1542"/>
      <c r="P9" s="1543"/>
      <c r="Q9" s="1541" t="s">
        <v>643</v>
      </c>
      <c r="R9" s="1541"/>
      <c r="S9" s="1542"/>
      <c r="T9" s="1543"/>
      <c r="U9" s="1541" t="s">
        <v>635</v>
      </c>
      <c r="V9" s="1541"/>
      <c r="W9" s="1542"/>
      <c r="X9" s="1543"/>
      <c r="Y9" s="1541" t="s">
        <v>644</v>
      </c>
      <c r="Z9" s="1541"/>
      <c r="AA9" s="1542"/>
      <c r="AB9" s="1543"/>
      <c r="AC9" s="1541" t="s">
        <v>645</v>
      </c>
      <c r="AD9" s="1541"/>
      <c r="AE9" s="1542"/>
      <c r="AF9" s="1543"/>
      <c r="AG9" s="1541" t="s">
        <v>646</v>
      </c>
      <c r="AH9" s="1541"/>
      <c r="AI9" s="1542"/>
      <c r="AJ9" s="1543"/>
      <c r="AK9" s="1541" t="s">
        <v>647</v>
      </c>
      <c r="AL9" s="1541"/>
      <c r="AM9" s="1542"/>
      <c r="AN9" s="1543"/>
      <c r="AO9" s="1541" t="s">
        <v>648</v>
      </c>
      <c r="AP9" s="1541"/>
      <c r="AQ9" s="1542"/>
      <c r="AR9" s="1543"/>
      <c r="AS9" s="1541" t="s">
        <v>649</v>
      </c>
      <c r="AT9" s="1541"/>
      <c r="AU9" s="1542"/>
      <c r="AV9" s="1543"/>
      <c r="AW9" s="1541" t="s">
        <v>650</v>
      </c>
      <c r="AX9" s="1541"/>
      <c r="AY9" s="1542"/>
      <c r="AZ9" s="1543"/>
      <c r="BA9" s="2200"/>
      <c r="BB9" s="956" t="b">
        <v>1</v>
      </c>
    </row>
    <row r="10" spans="2:54" ht="13.5" customHeight="1">
      <c r="B10" s="2520"/>
      <c r="C10" s="2521"/>
      <c r="D10" s="2444"/>
      <c r="E10" s="2459">
        <f>SUM(M9:AZ12)</f>
        <v>0</v>
      </c>
      <c r="F10" s="2460"/>
      <c r="G10" s="2460"/>
      <c r="H10" s="2461"/>
      <c r="I10" s="2359">
        <f>MAX(M9:AZ12)</f>
        <v>0</v>
      </c>
      <c r="J10" s="2360"/>
      <c r="K10" s="2360"/>
      <c r="L10" s="2465"/>
      <c r="M10" s="2551"/>
      <c r="N10" s="2374"/>
      <c r="O10" s="2374"/>
      <c r="P10" s="2375"/>
      <c r="Q10" s="2373"/>
      <c r="R10" s="2374"/>
      <c r="S10" s="2374"/>
      <c r="T10" s="2375"/>
      <c r="U10" s="2373"/>
      <c r="V10" s="2374"/>
      <c r="W10" s="2374"/>
      <c r="X10" s="2375"/>
      <c r="Y10" s="2373"/>
      <c r="Z10" s="2374"/>
      <c r="AA10" s="2374"/>
      <c r="AB10" s="2375"/>
      <c r="AC10" s="2373"/>
      <c r="AD10" s="2374"/>
      <c r="AE10" s="2374"/>
      <c r="AF10" s="2375"/>
      <c r="AG10" s="2373"/>
      <c r="AH10" s="2374"/>
      <c r="AI10" s="2374"/>
      <c r="AJ10" s="2375"/>
      <c r="AK10" s="2373"/>
      <c r="AL10" s="2374"/>
      <c r="AM10" s="2374"/>
      <c r="AN10" s="2375"/>
      <c r="AO10" s="2373"/>
      <c r="AP10" s="2374"/>
      <c r="AQ10" s="2374"/>
      <c r="AR10" s="2375"/>
      <c r="AS10" s="2373"/>
      <c r="AT10" s="2374"/>
      <c r="AU10" s="2374"/>
      <c r="AV10" s="2375"/>
      <c r="AW10" s="2373"/>
      <c r="AX10" s="2374"/>
      <c r="AY10" s="2374"/>
      <c r="AZ10" s="2375"/>
      <c r="BA10" s="2200"/>
      <c r="BB10" s="956" t="b">
        <v>1</v>
      </c>
    </row>
    <row r="11" spans="2:54" ht="13.5" customHeight="1">
      <c r="B11" s="2520"/>
      <c r="C11" s="2521"/>
      <c r="D11" s="2444"/>
      <c r="E11" s="2459"/>
      <c r="F11" s="2460"/>
      <c r="G11" s="2460"/>
      <c r="H11" s="2461"/>
      <c r="I11" s="1541" t="s">
        <v>651</v>
      </c>
      <c r="J11" s="1541"/>
      <c r="K11" s="1542"/>
      <c r="L11" s="1544"/>
      <c r="M11" s="1540" t="s">
        <v>652</v>
      </c>
      <c r="N11" s="1541"/>
      <c r="O11" s="1542"/>
      <c r="P11" s="1543"/>
      <c r="Q11" s="1541" t="s">
        <v>653</v>
      </c>
      <c r="R11" s="1541"/>
      <c r="S11" s="1542"/>
      <c r="T11" s="1543"/>
      <c r="U11" s="1541" t="s">
        <v>654</v>
      </c>
      <c r="V11" s="1541"/>
      <c r="W11" s="1542"/>
      <c r="X11" s="1543"/>
      <c r="Y11" s="1541" t="s">
        <v>655</v>
      </c>
      <c r="Z11" s="1541"/>
      <c r="AA11" s="1542"/>
      <c r="AB11" s="1543"/>
      <c r="AC11" s="1541" t="s">
        <v>656</v>
      </c>
      <c r="AD11" s="1541"/>
      <c r="AE11" s="1542"/>
      <c r="AF11" s="1543"/>
      <c r="AG11" s="1541" t="s">
        <v>657</v>
      </c>
      <c r="AH11" s="1541"/>
      <c r="AI11" s="1542"/>
      <c r="AJ11" s="1543"/>
      <c r="AK11" s="1541" t="s">
        <v>658</v>
      </c>
      <c r="AL11" s="1541"/>
      <c r="AM11" s="1542"/>
      <c r="AN11" s="1543"/>
      <c r="AO11" s="1541" t="s">
        <v>659</v>
      </c>
      <c r="AP11" s="1541"/>
      <c r="AQ11" s="1542"/>
      <c r="AR11" s="1543"/>
      <c r="AS11" s="1541" t="s">
        <v>660</v>
      </c>
      <c r="AT11" s="1541"/>
      <c r="AU11" s="1542"/>
      <c r="AV11" s="1543"/>
      <c r="AW11" s="1541" t="s">
        <v>661</v>
      </c>
      <c r="AX11" s="1541"/>
      <c r="AY11" s="1542"/>
      <c r="AZ11" s="1543"/>
      <c r="BA11" s="2200"/>
      <c r="BB11" s="956" t="b">
        <v>1</v>
      </c>
    </row>
    <row r="12" spans="2:54" ht="13.5" customHeight="1" thickBot="1">
      <c r="B12" s="2522"/>
      <c r="C12" s="2523"/>
      <c r="D12" s="2524"/>
      <c r="E12" s="2462"/>
      <c r="F12" s="2463"/>
      <c r="G12" s="2463"/>
      <c r="H12" s="2464"/>
      <c r="I12" s="2545"/>
      <c r="J12" s="2546"/>
      <c r="K12" s="2546"/>
      <c r="L12" s="2547"/>
      <c r="M12" s="2551"/>
      <c r="N12" s="2374"/>
      <c r="O12" s="2374"/>
      <c r="P12" s="2375"/>
      <c r="Q12" s="2373"/>
      <c r="R12" s="2374"/>
      <c r="S12" s="2374"/>
      <c r="T12" s="2375"/>
      <c r="U12" s="2373"/>
      <c r="V12" s="2374"/>
      <c r="W12" s="2374"/>
      <c r="X12" s="2375"/>
      <c r="Y12" s="2373"/>
      <c r="Z12" s="2374"/>
      <c r="AA12" s="2374"/>
      <c r="AB12" s="2375"/>
      <c r="AC12" s="2373"/>
      <c r="AD12" s="2374"/>
      <c r="AE12" s="2374"/>
      <c r="AF12" s="2375"/>
      <c r="AG12" s="2373"/>
      <c r="AH12" s="2374"/>
      <c r="AI12" s="2374"/>
      <c r="AJ12" s="2375"/>
      <c r="AK12" s="2373"/>
      <c r="AL12" s="2374"/>
      <c r="AM12" s="2374"/>
      <c r="AN12" s="2375"/>
      <c r="AO12" s="2373"/>
      <c r="AP12" s="2374"/>
      <c r="AQ12" s="2374"/>
      <c r="AR12" s="2375"/>
      <c r="AS12" s="2373"/>
      <c r="AT12" s="2374"/>
      <c r="AU12" s="2374"/>
      <c r="AV12" s="2375"/>
      <c r="AW12" s="2373"/>
      <c r="AX12" s="2374"/>
      <c r="AY12" s="2374"/>
      <c r="AZ12" s="2375"/>
      <c r="BA12" s="2200"/>
      <c r="BB12" s="956" t="b">
        <v>1</v>
      </c>
    </row>
    <row r="13" spans="2:54" ht="13.5" customHeight="1">
      <c r="BA13" s="2200"/>
      <c r="BB13" s="956" t="b">
        <v>1</v>
      </c>
    </row>
    <row r="14" spans="2:54" ht="13.5" customHeight="1">
      <c r="C14" s="2550" t="s">
        <v>662</v>
      </c>
      <c r="D14" s="2550"/>
      <c r="E14" s="2550"/>
      <c r="F14" s="2550"/>
      <c r="G14" s="2550"/>
      <c r="H14" s="2550"/>
      <c r="I14" s="2550"/>
      <c r="J14" s="2550"/>
      <c r="BA14" s="2200"/>
      <c r="BB14" s="956" t="b">
        <v>0</v>
      </c>
    </row>
    <row r="15" spans="2:54" ht="13.5" customHeight="1">
      <c r="BA15" s="2200"/>
      <c r="BB15" s="956" t="b">
        <v>0</v>
      </c>
    </row>
    <row r="16" spans="2:54" ht="13.5" customHeight="1">
      <c r="B16" s="1523"/>
      <c r="C16" s="2089" t="s">
        <v>5692</v>
      </c>
      <c r="D16" s="2090"/>
      <c r="E16" s="2090"/>
      <c r="F16" s="2090"/>
      <c r="G16" s="2090"/>
      <c r="H16" s="2090"/>
      <c r="I16" s="2090"/>
      <c r="J16" s="2090"/>
      <c r="K16" s="2091"/>
      <c r="L16" s="2091"/>
      <c r="M16" s="2091"/>
      <c r="BA16" s="2200"/>
      <c r="BB16" s="956" t="b">
        <v>0</v>
      </c>
    </row>
    <row r="17" spans="2:54"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BA17" s="2200"/>
      <c r="BB17" s="475" t="b">
        <f ca="1">BB$77</f>
        <v>0</v>
      </c>
    </row>
    <row r="18" spans="2:54" ht="13.5" customHeight="1">
      <c r="B18" s="1545"/>
      <c r="C18" s="1546"/>
      <c r="D18" s="2552"/>
      <c r="E18" s="2553"/>
      <c r="F18" s="1547" t="s">
        <v>663</v>
      </c>
      <c r="G18" s="1547"/>
      <c r="H18" s="1547"/>
      <c r="I18" s="1547"/>
      <c r="J18" s="1547"/>
      <c r="K18" s="1547"/>
      <c r="L18" s="1547"/>
      <c r="M18" s="1547"/>
      <c r="N18" s="1547"/>
      <c r="O18" s="1547"/>
      <c r="P18" s="1548"/>
      <c r="Q18" s="1547"/>
      <c r="R18" s="1549" t="s">
        <v>664</v>
      </c>
      <c r="S18" s="1547"/>
      <c r="T18" s="1547"/>
      <c r="U18" s="1547"/>
      <c r="V18" s="1549" t="s">
        <v>5297</v>
      </c>
      <c r="W18" s="1547"/>
      <c r="X18" s="1547"/>
      <c r="Y18" s="1547"/>
      <c r="Z18" s="1548"/>
      <c r="AA18" s="1547"/>
      <c r="AB18" s="1550" t="s">
        <v>5298</v>
      </c>
      <c r="AC18" s="1550"/>
      <c r="AD18" s="1550"/>
      <c r="AE18" s="1550"/>
      <c r="AF18" s="1549" t="s">
        <v>666</v>
      </c>
      <c r="AG18" s="1547"/>
      <c r="AH18" s="1547"/>
      <c r="AI18" s="1548"/>
      <c r="AJ18" s="1549" t="s">
        <v>667</v>
      </c>
      <c r="AK18" s="1547"/>
      <c r="AL18" s="1547"/>
      <c r="AM18" s="1548"/>
      <c r="AN18" s="1549" t="s">
        <v>668</v>
      </c>
      <c r="AO18" s="1547"/>
      <c r="AP18" s="1547"/>
      <c r="AQ18" s="1547"/>
      <c r="AR18" s="1550" t="s">
        <v>669</v>
      </c>
      <c r="AS18" s="1549"/>
      <c r="AT18" s="1549"/>
      <c r="AU18" s="1547"/>
      <c r="AV18" s="1551" t="s">
        <v>670</v>
      </c>
      <c r="AW18" s="1552"/>
      <c r="AX18" s="1552"/>
      <c r="AY18" s="1553"/>
      <c r="AZ18" s="1554"/>
      <c r="BA18" s="2200"/>
      <c r="BB18" s="475" t="b">
        <f ca="1">SUM(V19:Y26)&lt;&gt;0</f>
        <v>0</v>
      </c>
    </row>
    <row r="19" spans="2:54" ht="13.5" customHeight="1">
      <c r="B19" s="2564" t="s">
        <v>5763</v>
      </c>
      <c r="C19" s="2565"/>
      <c r="D19" s="2443" t="s">
        <v>671</v>
      </c>
      <c r="E19" s="2444"/>
      <c r="F19" s="122" t="s">
        <v>1288</v>
      </c>
      <c r="G19" s="6"/>
      <c r="H19" s="6"/>
      <c r="I19" s="6"/>
      <c r="J19" s="6"/>
      <c r="K19" s="6"/>
      <c r="L19" s="6"/>
      <c r="M19" s="6"/>
      <c r="N19" s="6"/>
      <c r="O19" s="6"/>
      <c r="P19" s="6"/>
      <c r="Q19" s="7"/>
      <c r="R19" s="2251">
        <f>ROUNDDOWN(4960/17.2*1000,-1)</f>
        <v>288370</v>
      </c>
      <c r="S19" s="2252"/>
      <c r="T19" s="2252"/>
      <c r="U19" s="2253"/>
      <c r="V19" s="2439">
        <f ca="1">SUMIF(見積拾!C$7:D$27,F19,見積拾!T$7:T$27)</f>
        <v>0</v>
      </c>
      <c r="W19" s="2440"/>
      <c r="X19" s="2440"/>
      <c r="Y19" s="2440"/>
      <c r="Z19" s="2252" t="s">
        <v>672</v>
      </c>
      <c r="AA19" s="2253"/>
      <c r="AB19" s="2251">
        <f t="shared" ref="AB19:AB26" ca="1" si="0">INT(R19*V19)</f>
        <v>0</v>
      </c>
      <c r="AC19" s="2252"/>
      <c r="AD19" s="2252"/>
      <c r="AE19" s="2253"/>
      <c r="AF19" s="2503">
        <f ca="1">SUM(AB19:AE23)</f>
        <v>0</v>
      </c>
      <c r="AG19" s="2700"/>
      <c r="AH19" s="2700"/>
      <c r="AI19" s="2505"/>
      <c r="AJ19" s="2721" t="s">
        <v>35</v>
      </c>
      <c r="AK19" s="2722"/>
      <c r="AL19" s="2722"/>
      <c r="AM19" s="2723"/>
      <c r="AN19" s="760" t="s">
        <v>35</v>
      </c>
      <c r="AO19" s="761"/>
      <c r="AP19" s="964" t="s">
        <v>35</v>
      </c>
      <c r="AQ19" s="762"/>
      <c r="AR19" s="2636">
        <v>1</v>
      </c>
      <c r="AS19" s="2755"/>
      <c r="AT19" s="2755"/>
      <c r="AU19" s="2756"/>
      <c r="AV19" s="2749">
        <f ca="1">INT(AF19*AR19)</f>
        <v>0</v>
      </c>
      <c r="AW19" s="2750"/>
      <c r="AX19" s="2750"/>
      <c r="AY19" s="2750"/>
      <c r="AZ19" s="2751"/>
      <c r="BA19" s="2200"/>
      <c r="BB19" s="956" t="b">
        <f t="shared" ref="BB19:BB26" ca="1" si="1">V19&lt;&gt;0</f>
        <v>0</v>
      </c>
    </row>
    <row r="20" spans="2:54" ht="13.5" customHeight="1">
      <c r="B20" s="2566"/>
      <c r="C20" s="2565"/>
      <c r="D20" s="2445"/>
      <c r="E20" s="2500"/>
      <c r="F20" s="124" t="s">
        <v>1494</v>
      </c>
      <c r="G20" s="77"/>
      <c r="H20" s="77"/>
      <c r="I20" s="77"/>
      <c r="J20" s="77"/>
      <c r="K20" s="77"/>
      <c r="L20" s="77"/>
      <c r="M20" s="77"/>
      <c r="N20" s="77"/>
      <c r="O20" s="77"/>
      <c r="P20" s="77"/>
      <c r="Q20" s="78"/>
      <c r="R20" s="2209">
        <f>ROUNDDOWN(4280/13*1000,-1)</f>
        <v>329230</v>
      </c>
      <c r="S20" s="2210"/>
      <c r="T20" s="2210"/>
      <c r="U20" s="2211"/>
      <c r="V20" s="2441">
        <f ca="1">SUMIF(見積拾!C$7:D$27,F20,見積拾!T$7:T$27)</f>
        <v>0</v>
      </c>
      <c r="W20" s="2442"/>
      <c r="X20" s="2442"/>
      <c r="Y20" s="2442"/>
      <c r="Z20" s="2210" t="s">
        <v>672</v>
      </c>
      <c r="AA20" s="2211"/>
      <c r="AB20" s="2209">
        <f t="shared" ref="AB20" ca="1" si="2">INT(R20*V20)</f>
        <v>0</v>
      </c>
      <c r="AC20" s="2210"/>
      <c r="AD20" s="2210"/>
      <c r="AE20" s="2211"/>
      <c r="AF20" s="2448"/>
      <c r="AG20" s="2449"/>
      <c r="AH20" s="2449"/>
      <c r="AI20" s="2640"/>
      <c r="AJ20" s="2710" t="s">
        <v>35</v>
      </c>
      <c r="AK20" s="2711"/>
      <c r="AL20" s="2711"/>
      <c r="AM20" s="2712"/>
      <c r="AN20" s="756" t="s">
        <v>35</v>
      </c>
      <c r="AO20" s="757"/>
      <c r="AP20" s="758" t="s">
        <v>35</v>
      </c>
      <c r="AQ20" s="759"/>
      <c r="AR20" s="2459"/>
      <c r="AS20" s="2460"/>
      <c r="AT20" s="2460"/>
      <c r="AU20" s="2757"/>
      <c r="AV20" s="2752"/>
      <c r="AW20" s="2753"/>
      <c r="AX20" s="2753"/>
      <c r="AY20" s="2753"/>
      <c r="AZ20" s="2754"/>
      <c r="BA20" s="2200"/>
      <c r="BB20" s="956" t="b">
        <f t="shared" ca="1" si="1"/>
        <v>0</v>
      </c>
    </row>
    <row r="21" spans="2:54" ht="13.5" customHeight="1">
      <c r="B21" s="2566"/>
      <c r="C21" s="2565"/>
      <c r="D21" s="2445"/>
      <c r="E21" s="2500"/>
      <c r="F21" s="124" t="s">
        <v>1495</v>
      </c>
      <c r="G21" s="77"/>
      <c r="H21" s="77"/>
      <c r="I21" s="77"/>
      <c r="J21" s="77"/>
      <c r="K21" s="77"/>
      <c r="L21" s="77"/>
      <c r="M21" s="77"/>
      <c r="N21" s="77"/>
      <c r="O21" s="77"/>
      <c r="P21" s="77"/>
      <c r="Q21" s="78"/>
      <c r="R21" s="2209">
        <f>ROUNDDOWN(3920/10.9*1000,-1)</f>
        <v>359630</v>
      </c>
      <c r="S21" s="2210"/>
      <c r="T21" s="2210"/>
      <c r="U21" s="2211"/>
      <c r="V21" s="2441">
        <f ca="1">SUMIF(見積拾!C$7:D$27,F21,見積拾!T$7:T$27)</f>
        <v>0</v>
      </c>
      <c r="W21" s="2442"/>
      <c r="X21" s="2442"/>
      <c r="Y21" s="2442"/>
      <c r="Z21" s="2210" t="s">
        <v>672</v>
      </c>
      <c r="AA21" s="2211"/>
      <c r="AB21" s="2209">
        <f t="shared" ref="AB21:AB22" ca="1" si="3">INT(R21*V21)</f>
        <v>0</v>
      </c>
      <c r="AC21" s="2210"/>
      <c r="AD21" s="2210"/>
      <c r="AE21" s="2211"/>
      <c r="AF21" s="2448"/>
      <c r="AG21" s="2449"/>
      <c r="AH21" s="2449"/>
      <c r="AI21" s="2640"/>
      <c r="AJ21" s="2710" t="s">
        <v>35</v>
      </c>
      <c r="AK21" s="2711"/>
      <c r="AL21" s="2711"/>
      <c r="AM21" s="2712"/>
      <c r="AN21" s="756" t="s">
        <v>35</v>
      </c>
      <c r="AO21" s="757"/>
      <c r="AP21" s="758" t="s">
        <v>35</v>
      </c>
      <c r="AQ21" s="759"/>
      <c r="AR21" s="2459"/>
      <c r="AS21" s="2460"/>
      <c r="AT21" s="2460"/>
      <c r="AU21" s="2757"/>
      <c r="AV21" s="2752"/>
      <c r="AW21" s="2753"/>
      <c r="AX21" s="2753"/>
      <c r="AY21" s="2753"/>
      <c r="AZ21" s="2754"/>
      <c r="BA21" s="2200"/>
      <c r="BB21" s="956" t="b">
        <f t="shared" ca="1" si="1"/>
        <v>0</v>
      </c>
    </row>
    <row r="22" spans="2:54" ht="13.5" customHeight="1">
      <c r="B22" s="2566"/>
      <c r="C22" s="2565"/>
      <c r="D22" s="2445"/>
      <c r="E22" s="2500"/>
      <c r="F22" s="124" t="s">
        <v>1496</v>
      </c>
      <c r="G22" s="77"/>
      <c r="H22" s="77"/>
      <c r="I22" s="77"/>
      <c r="J22" s="77"/>
      <c r="K22" s="77"/>
      <c r="L22" s="77"/>
      <c r="M22" s="77"/>
      <c r="N22" s="77"/>
      <c r="O22" s="77"/>
      <c r="P22" s="77"/>
      <c r="Q22" s="78"/>
      <c r="R22" s="2209">
        <f>ROUNDDOWN(5440/18.6*1000,-1)</f>
        <v>292470</v>
      </c>
      <c r="S22" s="2210"/>
      <c r="T22" s="2210"/>
      <c r="U22" s="2211"/>
      <c r="V22" s="2441">
        <f ca="1">SUMIF(見積拾!C$7:D$27,F22,見積拾!T$7:T$27)</f>
        <v>0</v>
      </c>
      <c r="W22" s="2442"/>
      <c r="X22" s="2442"/>
      <c r="Y22" s="2442"/>
      <c r="Z22" s="2210" t="s">
        <v>672</v>
      </c>
      <c r="AA22" s="2211"/>
      <c r="AB22" s="2209">
        <f t="shared" ca="1" si="3"/>
        <v>0</v>
      </c>
      <c r="AC22" s="2210"/>
      <c r="AD22" s="2210"/>
      <c r="AE22" s="2211"/>
      <c r="AF22" s="2448"/>
      <c r="AG22" s="2449"/>
      <c r="AH22" s="2449"/>
      <c r="AI22" s="2640"/>
      <c r="AJ22" s="2710" t="s">
        <v>35</v>
      </c>
      <c r="AK22" s="2711"/>
      <c r="AL22" s="2711"/>
      <c r="AM22" s="2712"/>
      <c r="AN22" s="756" t="s">
        <v>35</v>
      </c>
      <c r="AO22" s="757"/>
      <c r="AP22" s="758" t="s">
        <v>35</v>
      </c>
      <c r="AQ22" s="759"/>
      <c r="AR22" s="2459"/>
      <c r="AS22" s="2460"/>
      <c r="AT22" s="2460"/>
      <c r="AU22" s="2757"/>
      <c r="AV22" s="2752"/>
      <c r="AW22" s="2753"/>
      <c r="AX22" s="2753"/>
      <c r="AY22" s="2753"/>
      <c r="AZ22" s="2754"/>
      <c r="BA22" s="2200"/>
      <c r="BB22" s="956" t="b">
        <f t="shared" ca="1" si="1"/>
        <v>0</v>
      </c>
    </row>
    <row r="23" spans="2:54" ht="13.5" customHeight="1">
      <c r="B23" s="2566"/>
      <c r="C23" s="2565"/>
      <c r="D23" s="2445"/>
      <c r="E23" s="2444"/>
      <c r="F23" s="127" t="s">
        <v>1497</v>
      </c>
      <c r="G23" s="79"/>
      <c r="H23" s="79"/>
      <c r="I23" s="79"/>
      <c r="J23" s="79"/>
      <c r="K23" s="79"/>
      <c r="L23" s="79"/>
      <c r="M23" s="79"/>
      <c r="N23" s="79"/>
      <c r="O23" s="79"/>
      <c r="P23" s="79"/>
      <c r="Q23" s="80"/>
      <c r="R23" s="2358">
        <f>ROUNDDOWN(4180/12.5*1000,-1)</f>
        <v>334400</v>
      </c>
      <c r="S23" s="2343"/>
      <c r="T23" s="2343"/>
      <c r="U23" s="2344"/>
      <c r="V23" s="2537">
        <f ca="1">SUMIF(見積拾!C$7:D$27,F23,見積拾!T$7:T$27)</f>
        <v>0</v>
      </c>
      <c r="W23" s="2538"/>
      <c r="X23" s="2538"/>
      <c r="Y23" s="2538"/>
      <c r="Z23" s="2343" t="s">
        <v>672</v>
      </c>
      <c r="AA23" s="2344"/>
      <c r="AB23" s="2358">
        <f t="shared" ca="1" si="0"/>
        <v>0</v>
      </c>
      <c r="AC23" s="2343"/>
      <c r="AD23" s="2343"/>
      <c r="AE23" s="2344"/>
      <c r="AF23" s="2506"/>
      <c r="AG23" s="2507"/>
      <c r="AH23" s="2507"/>
      <c r="AI23" s="2508"/>
      <c r="AJ23" s="2673" t="s">
        <v>35</v>
      </c>
      <c r="AK23" s="2341"/>
      <c r="AL23" s="2341"/>
      <c r="AM23" s="2674"/>
      <c r="AN23" s="763" t="s">
        <v>35</v>
      </c>
      <c r="AO23" s="764"/>
      <c r="AP23" s="765" t="s">
        <v>35</v>
      </c>
      <c r="AQ23" s="766"/>
      <c r="AR23" s="2638"/>
      <c r="AS23" s="2758"/>
      <c r="AT23" s="2758"/>
      <c r="AU23" s="2759"/>
      <c r="AV23" s="2773"/>
      <c r="AW23" s="2774"/>
      <c r="AX23" s="2774"/>
      <c r="AY23" s="2774"/>
      <c r="AZ23" s="2775"/>
      <c r="BA23" s="2200"/>
      <c r="BB23" s="956" t="b">
        <f t="shared" ca="1" si="1"/>
        <v>0</v>
      </c>
    </row>
    <row r="24" spans="2:54" ht="13.5" customHeight="1">
      <c r="B24" s="2566"/>
      <c r="C24" s="2565"/>
      <c r="D24" s="2445"/>
      <c r="E24" s="2444"/>
      <c r="F24" s="124" t="s">
        <v>5302</v>
      </c>
      <c r="G24" s="122"/>
      <c r="H24" s="6"/>
      <c r="I24" s="6"/>
      <c r="J24" s="1039"/>
      <c r="K24" s="1039"/>
      <c r="L24" s="1039"/>
      <c r="M24" s="1039"/>
      <c r="N24" s="1039"/>
      <c r="O24" s="1039"/>
      <c r="P24" s="1039"/>
      <c r="Q24" s="1040"/>
      <c r="R24" s="2251">
        <v>236450</v>
      </c>
      <c r="S24" s="2252"/>
      <c r="T24" s="2252"/>
      <c r="U24" s="2253"/>
      <c r="V24" s="2439">
        <f ca="1">SUMIF(見積拾!C$7:D$27,F24,見積拾!T$7:T$27)</f>
        <v>0</v>
      </c>
      <c r="W24" s="2440"/>
      <c r="X24" s="2440"/>
      <c r="Y24" s="2440"/>
      <c r="Z24" s="2252" t="s">
        <v>672</v>
      </c>
      <c r="AA24" s="2253"/>
      <c r="AB24" s="2251">
        <f t="shared" ca="1" si="0"/>
        <v>0</v>
      </c>
      <c r="AC24" s="2252"/>
      <c r="AD24" s="2252"/>
      <c r="AE24" s="2253"/>
      <c r="AF24" s="2764">
        <f ca="1">SUM(AB24:AE26)</f>
        <v>0</v>
      </c>
      <c r="AG24" s="2765"/>
      <c r="AH24" s="2765"/>
      <c r="AI24" s="2766"/>
      <c r="AJ24" s="2704"/>
      <c r="AK24" s="2705"/>
      <c r="AL24" s="2734" t="e">
        <f>VLOOKUP(AJ24,AJ27:AM32,3,0)</f>
        <v>#N/A</v>
      </c>
      <c r="AM24" s="2735"/>
      <c r="AN24" s="2743"/>
      <c r="AO24" s="2962"/>
      <c r="AP24" s="2714" t="e">
        <f>VLOOKUP(AN24,AN27:AQ29,3,0)</f>
        <v>#N/A</v>
      </c>
      <c r="AQ24" s="2661"/>
      <c r="AR24" s="2659">
        <f>IF(OR(AJ24="",AN24=""),0,ROUNDDOWN(AL24*AP24,2))</f>
        <v>0</v>
      </c>
      <c r="AS24" s="2660"/>
      <c r="AT24" s="2660"/>
      <c r="AU24" s="2661"/>
      <c r="AV24" s="2724">
        <f ca="1">INT(AF24*AR24)</f>
        <v>0</v>
      </c>
      <c r="AW24" s="2725"/>
      <c r="AX24" s="2725"/>
      <c r="AY24" s="2725"/>
      <c r="AZ24" s="2726"/>
      <c r="BA24" s="2200"/>
      <c r="BB24" s="956" t="b">
        <f t="shared" ca="1" si="1"/>
        <v>0</v>
      </c>
    </row>
    <row r="25" spans="2:54" ht="13.5" customHeight="1">
      <c r="B25" s="2566"/>
      <c r="C25" s="2565"/>
      <c r="D25" s="2445"/>
      <c r="E25" s="2444"/>
      <c r="F25" s="124" t="s">
        <v>5303</v>
      </c>
      <c r="G25" s="124"/>
      <c r="H25" s="77"/>
      <c r="I25" s="77"/>
      <c r="J25" s="804"/>
      <c r="K25" s="804"/>
      <c r="L25" s="804"/>
      <c r="M25" s="804"/>
      <c r="N25" s="804"/>
      <c r="O25" s="804"/>
      <c r="P25" s="804"/>
      <c r="Q25" s="805"/>
      <c r="R25" s="2209">
        <f>R24+18810</f>
        <v>255260</v>
      </c>
      <c r="S25" s="2210"/>
      <c r="T25" s="2210"/>
      <c r="U25" s="2211"/>
      <c r="V25" s="2441">
        <f ca="1">SUMIF(見積拾!C$7:D$27,F25,見積拾!T$7:T$27)</f>
        <v>0</v>
      </c>
      <c r="W25" s="2442"/>
      <c r="X25" s="2442"/>
      <c r="Y25" s="2442"/>
      <c r="Z25" s="2210" t="s">
        <v>672</v>
      </c>
      <c r="AA25" s="2211"/>
      <c r="AB25" s="2209">
        <f t="shared" ca="1" si="0"/>
        <v>0</v>
      </c>
      <c r="AC25" s="2210"/>
      <c r="AD25" s="2210"/>
      <c r="AE25" s="2211"/>
      <c r="AF25" s="2767"/>
      <c r="AG25" s="2768"/>
      <c r="AH25" s="2768"/>
      <c r="AI25" s="2769"/>
      <c r="AJ25" s="2706"/>
      <c r="AK25" s="2707"/>
      <c r="AL25" s="2736"/>
      <c r="AM25" s="2737"/>
      <c r="AN25" s="2963"/>
      <c r="AO25" s="2964"/>
      <c r="AP25" s="2715"/>
      <c r="AQ25" s="2664"/>
      <c r="AR25" s="2662"/>
      <c r="AS25" s="2663"/>
      <c r="AT25" s="2663"/>
      <c r="AU25" s="2664"/>
      <c r="AV25" s="2727"/>
      <c r="AW25" s="2728"/>
      <c r="AX25" s="2728"/>
      <c r="AY25" s="2728"/>
      <c r="AZ25" s="2729"/>
      <c r="BA25" s="2200"/>
      <c r="BB25" s="956" t="b">
        <f t="shared" ca="1" si="1"/>
        <v>0</v>
      </c>
    </row>
    <row r="26" spans="2:54" ht="13.5" customHeight="1">
      <c r="B26" s="2566"/>
      <c r="C26" s="2565"/>
      <c r="D26" s="2445"/>
      <c r="E26" s="2444"/>
      <c r="F26" s="127" t="s">
        <v>5304</v>
      </c>
      <c r="G26" s="127"/>
      <c r="H26" s="79"/>
      <c r="I26" s="79"/>
      <c r="J26" s="806"/>
      <c r="K26" s="806"/>
      <c r="L26" s="806"/>
      <c r="M26" s="806"/>
      <c r="N26" s="806"/>
      <c r="O26" s="806"/>
      <c r="P26" s="806"/>
      <c r="Q26" s="807"/>
      <c r="R26" s="2358">
        <f>R24+72000</f>
        <v>308450</v>
      </c>
      <c r="S26" s="2343"/>
      <c r="T26" s="2343"/>
      <c r="U26" s="2344"/>
      <c r="V26" s="2537">
        <f ca="1">SUMIF(見積拾!C$7:D$27,F26,見積拾!T$7:T$27)</f>
        <v>0</v>
      </c>
      <c r="W26" s="2538"/>
      <c r="X26" s="2538"/>
      <c r="Y26" s="2538"/>
      <c r="Z26" s="2343" t="s">
        <v>672</v>
      </c>
      <c r="AA26" s="2344"/>
      <c r="AB26" s="2358">
        <f t="shared" ca="1" si="0"/>
        <v>0</v>
      </c>
      <c r="AC26" s="2343"/>
      <c r="AD26" s="2343"/>
      <c r="AE26" s="2344"/>
      <c r="AF26" s="2770"/>
      <c r="AG26" s="2771"/>
      <c r="AH26" s="2771"/>
      <c r="AI26" s="2772"/>
      <c r="AJ26" s="2708"/>
      <c r="AK26" s="2709"/>
      <c r="AL26" s="2738"/>
      <c r="AM26" s="2739"/>
      <c r="AN26" s="2745"/>
      <c r="AO26" s="2965"/>
      <c r="AP26" s="2716"/>
      <c r="AQ26" s="2667"/>
      <c r="AR26" s="2665"/>
      <c r="AS26" s="2666"/>
      <c r="AT26" s="2666"/>
      <c r="AU26" s="2667"/>
      <c r="AV26" s="2730"/>
      <c r="AW26" s="2731"/>
      <c r="AX26" s="2731"/>
      <c r="AY26" s="2731"/>
      <c r="AZ26" s="2732"/>
      <c r="BA26" s="2200"/>
      <c r="BB26" s="956" t="b">
        <f t="shared" ca="1" si="1"/>
        <v>0</v>
      </c>
    </row>
    <row r="27" spans="2:54" ht="13.5" customHeight="1">
      <c r="B27" s="2566"/>
      <c r="C27" s="2565"/>
      <c r="D27" s="2445"/>
      <c r="E27" s="2444"/>
      <c r="F27" s="32"/>
      <c r="V27" s="11"/>
      <c r="W27" s="11"/>
      <c r="X27" s="11"/>
      <c r="Y27" s="11"/>
      <c r="AF27" s="12"/>
      <c r="AG27" s="12"/>
      <c r="AH27" s="12"/>
      <c r="AI27" s="12"/>
      <c r="AJ27" s="1033" t="s">
        <v>673</v>
      </c>
      <c r="AK27" s="1034"/>
      <c r="AL27" s="1035" t="e">
        <f>MAX(AL32,MIN(AL28,ROUNDDOWN(IF($E$10=0,0,IF($E$10&lt;AJ29,AL29+(AL28-AL29)/(AJ28-AJ29)*($E$10-AJ29),IF($E$10&gt;AJ31,AL31+(AL32-AL31)/(AJ32-AJ31)*($E$10-AJ31),IF($E$10&lt;AJ30,AL30+(AL29-AL30)/(AJ29-AJ30)*($E$10-AJ30),AL30+(AL30-AL31)/(AJ30-AJ31)*($E$10-AJ30))))),2)))</f>
        <v>#N/A</v>
      </c>
      <c r="AM27" s="1036"/>
      <c r="AN27" s="1037" t="e">
        <f>VLOOKUP($AD$7,主体明確補正,IF($AM$6="SRC",2,20),0)</f>
        <v>#N/A</v>
      </c>
      <c r="AO27" s="1034"/>
      <c r="AP27" s="1038" t="e">
        <f>VLOOKUP($AD$7,主体明確補正,IF($AM$6="SRC",3,21),0)</f>
        <v>#N/A</v>
      </c>
      <c r="AQ27" s="1036"/>
      <c r="AR27" s="18"/>
      <c r="AS27" s="18"/>
      <c r="AT27" s="18"/>
      <c r="AU27" s="18"/>
      <c r="AV27" s="18"/>
      <c r="AW27" s="18"/>
      <c r="AX27" s="18"/>
      <c r="AY27" s="18"/>
      <c r="AZ27" s="636"/>
      <c r="BA27" s="2200"/>
      <c r="BB27" s="956" t="b">
        <f t="shared" ref="BB27:BB33" ca="1" si="4">BB$18</f>
        <v>0</v>
      </c>
    </row>
    <row r="28" spans="2:54" ht="13.5" customHeight="1">
      <c r="B28" s="2566"/>
      <c r="C28" s="2565"/>
      <c r="D28" s="2445"/>
      <c r="E28" s="2444"/>
      <c r="F28" s="32"/>
      <c r="G28" s="2498" t="s">
        <v>5593</v>
      </c>
      <c r="H28" s="2499"/>
      <c r="I28" s="2499"/>
      <c r="J28" s="2499"/>
      <c r="K28" s="2499"/>
      <c r="L28" s="2499"/>
      <c r="M28" s="2499"/>
      <c r="N28" s="2701" t="s">
        <v>5731</v>
      </c>
      <c r="O28" s="2702"/>
      <c r="P28" s="2702"/>
      <c r="Q28" s="2702"/>
      <c r="R28" s="2702"/>
      <c r="S28" s="2702"/>
      <c r="T28" s="2702"/>
      <c r="U28" s="2702"/>
      <c r="V28" s="2702"/>
      <c r="W28" s="2702"/>
      <c r="X28" s="2702"/>
      <c r="Y28" s="2702"/>
      <c r="Z28" s="2702"/>
      <c r="AA28" s="2703"/>
      <c r="AB28" s="19"/>
      <c r="AI28" s="12"/>
      <c r="AJ28" s="20" t="e">
        <f>VLOOKUP($AD$7,主体明確補正,8,0)</f>
        <v>#N/A</v>
      </c>
      <c r="AK28" s="21"/>
      <c r="AL28" s="22" t="e">
        <f>VLOOKUP($AD$7,主体明確補正,9,0)</f>
        <v>#N/A</v>
      </c>
      <c r="AM28" s="23"/>
      <c r="AN28" s="24" t="e">
        <f>VLOOKUP($AD$7,主体明確補正,IF($AM$6="SRC",4,22),0)</f>
        <v>#N/A</v>
      </c>
      <c r="AO28" s="21"/>
      <c r="AP28" s="25" t="e">
        <f>VLOOKUP($AD$7,主体明確補正,IF($AM$6="SRC",5,23),0)</f>
        <v>#N/A</v>
      </c>
      <c r="AQ28" s="23"/>
      <c r="AR28" s="18"/>
      <c r="AS28" s="18"/>
      <c r="AT28" s="18"/>
      <c r="AU28" s="18"/>
      <c r="AV28" s="18"/>
      <c r="AW28" s="18"/>
      <c r="AX28" s="18"/>
      <c r="AY28" s="18"/>
      <c r="AZ28" s="636"/>
      <c r="BA28" s="2200"/>
      <c r="BB28" s="956" t="b">
        <f t="shared" ca="1" si="4"/>
        <v>0</v>
      </c>
    </row>
    <row r="29" spans="2:54" ht="13.5" customHeight="1">
      <c r="B29" s="2566"/>
      <c r="C29" s="2565"/>
      <c r="D29" s="2445"/>
      <c r="E29" s="2444"/>
      <c r="F29" s="32"/>
      <c r="V29" s="11"/>
      <c r="W29" s="11"/>
      <c r="X29" s="1032"/>
      <c r="Y29" s="19"/>
      <c r="Z29" s="19"/>
      <c r="AA29" s="19"/>
      <c r="AB29" s="19"/>
      <c r="AI29" s="12"/>
      <c r="AJ29" s="20" t="e">
        <f>VLOOKUP($AD$7,主体明確補正,10,0)</f>
        <v>#N/A</v>
      </c>
      <c r="AK29" s="21"/>
      <c r="AL29" s="22" t="e">
        <f>VLOOKUP($AD$7,主体明確補正,11,0)</f>
        <v>#N/A</v>
      </c>
      <c r="AM29" s="23"/>
      <c r="AN29" s="26" t="e">
        <f>VLOOKUP($AD$7,主体明確補正,IF($AM$6="SRC",6,24),0)</f>
        <v>#N/A</v>
      </c>
      <c r="AO29" s="27"/>
      <c r="AP29" s="28" t="e">
        <f>VLOOKUP($AD$7,主体明確補正,IF($AM$6="SRC",7,25),0)</f>
        <v>#N/A</v>
      </c>
      <c r="AQ29" s="29"/>
      <c r="AR29" s="18"/>
      <c r="AS29" s="18"/>
      <c r="AT29" s="18"/>
      <c r="AU29" s="18"/>
      <c r="AV29" s="18"/>
      <c r="AW29" s="18"/>
      <c r="AX29" s="18"/>
      <c r="AY29" s="18"/>
      <c r="AZ29" s="636"/>
      <c r="BA29" s="2200"/>
      <c r="BB29" s="956" t="b">
        <f t="shared" ca="1" si="4"/>
        <v>0</v>
      </c>
    </row>
    <row r="30" spans="2:54" ht="13.5" customHeight="1">
      <c r="B30" s="2566"/>
      <c r="C30" s="2565"/>
      <c r="D30" s="2445"/>
      <c r="E30" s="2444"/>
      <c r="F30" s="32"/>
      <c r="T30" s="11"/>
      <c r="U30" s="11"/>
      <c r="V30" s="11"/>
      <c r="W30" s="11"/>
      <c r="X30" s="11"/>
      <c r="Y30" s="11"/>
      <c r="AF30" s="12"/>
      <c r="AG30" s="12"/>
      <c r="AH30" s="12"/>
      <c r="AI30" s="12"/>
      <c r="AJ30" s="20" t="e">
        <f>VLOOKUP($AD$7,主体明確補正,12,0)</f>
        <v>#N/A</v>
      </c>
      <c r="AK30" s="21"/>
      <c r="AL30" s="22" t="e">
        <f>VLOOKUP($AD$7,主体明確補正,13,0)</f>
        <v>#N/A</v>
      </c>
      <c r="AM30" s="23"/>
      <c r="AN30" s="30"/>
      <c r="AO30" s="30"/>
      <c r="AP30" s="31"/>
      <c r="AQ30" s="31"/>
      <c r="AR30" s="31"/>
      <c r="AS30" s="31"/>
      <c r="AT30" s="31"/>
      <c r="AU30" s="31"/>
      <c r="AV30" s="18"/>
      <c r="AW30" s="18"/>
      <c r="AX30" s="18"/>
      <c r="AY30" s="18"/>
      <c r="AZ30" s="636"/>
      <c r="BA30" s="2200"/>
      <c r="BB30" s="956" t="b">
        <f t="shared" ca="1" si="4"/>
        <v>0</v>
      </c>
    </row>
    <row r="31" spans="2:54" ht="13.5" customHeight="1">
      <c r="B31" s="2566"/>
      <c r="C31" s="2565"/>
      <c r="D31" s="2445"/>
      <c r="E31" s="2444"/>
      <c r="F31" s="32"/>
      <c r="V31" s="11"/>
      <c r="W31" s="11"/>
      <c r="X31" s="11"/>
      <c r="Y31" s="11"/>
      <c r="AF31" s="12"/>
      <c r="AG31" s="12"/>
      <c r="AH31" s="12"/>
      <c r="AI31" s="12"/>
      <c r="AJ31" s="1088" t="e">
        <f>VLOOKUP($AD$7,主体明確補正,14,0)</f>
        <v>#N/A</v>
      </c>
      <c r="AK31" s="21"/>
      <c r="AL31" s="22" t="e">
        <f>VLOOKUP($AD$7,主体明確補正,15,0)</f>
        <v>#N/A</v>
      </c>
      <c r="AM31" s="23"/>
      <c r="AN31" s="30"/>
      <c r="AO31" s="30"/>
      <c r="AP31" s="31"/>
      <c r="AQ31" s="31"/>
      <c r="AR31" s="31"/>
      <c r="AS31" s="31"/>
      <c r="AT31" s="31"/>
      <c r="AU31" s="31"/>
      <c r="AV31" s="18"/>
      <c r="AW31" s="18"/>
      <c r="AX31" s="18"/>
      <c r="AY31" s="18"/>
      <c r="AZ31" s="636"/>
      <c r="BA31" s="2200"/>
      <c r="BB31" s="956" t="b">
        <f t="shared" ca="1" si="4"/>
        <v>0</v>
      </c>
    </row>
    <row r="32" spans="2:54" ht="13.5" customHeight="1">
      <c r="B32" s="2566"/>
      <c r="C32" s="2565"/>
      <c r="D32" s="2445"/>
      <c r="E32" s="2444"/>
      <c r="F32" s="32"/>
      <c r="R32" s="607"/>
      <c r="S32" s="607"/>
      <c r="T32" s="607"/>
      <c r="U32" s="607"/>
      <c r="V32" s="608"/>
      <c r="W32" s="608"/>
      <c r="X32" s="608"/>
      <c r="Y32" s="608"/>
      <c r="Z32" s="33"/>
      <c r="AA32" s="33"/>
      <c r="AB32" s="33"/>
      <c r="AC32" s="33"/>
      <c r="AD32" s="33"/>
      <c r="AE32" s="33"/>
      <c r="AF32" s="33"/>
      <c r="AG32" s="33"/>
      <c r="AH32" s="33"/>
      <c r="AI32" s="33"/>
      <c r="AJ32" s="1089" t="e">
        <f>VLOOKUP($AD$7,主体明確補正,16,0)</f>
        <v>#N/A</v>
      </c>
      <c r="AK32" s="1087"/>
      <c r="AL32" s="34" t="e">
        <f>VLOOKUP($AD$7,主体明確補正,17,0)</f>
        <v>#N/A</v>
      </c>
      <c r="AM32" s="29"/>
      <c r="AN32" s="30"/>
      <c r="AO32" s="30"/>
      <c r="AP32" s="31"/>
      <c r="AQ32" s="31"/>
      <c r="AR32" s="31"/>
      <c r="AS32" s="31"/>
      <c r="AT32" s="31"/>
      <c r="AU32" s="31"/>
      <c r="AV32" s="18"/>
      <c r="AW32" s="18"/>
      <c r="AX32" s="18"/>
      <c r="AY32" s="18"/>
      <c r="AZ32" s="636"/>
      <c r="BA32" s="2200"/>
      <c r="BB32" s="956" t="b">
        <f t="shared" ca="1" si="4"/>
        <v>0</v>
      </c>
    </row>
    <row r="33" spans="2:54" ht="13.5" customHeight="1">
      <c r="B33" s="2566"/>
      <c r="C33" s="2565"/>
      <c r="D33" s="2445"/>
      <c r="E33" s="2444"/>
      <c r="F33" s="32"/>
      <c r="R33" s="607"/>
      <c r="S33" s="607"/>
      <c r="T33" s="607"/>
      <c r="U33" s="607"/>
      <c r="V33" s="1041"/>
      <c r="W33" s="1041"/>
      <c r="X33" s="1041"/>
      <c r="Y33" s="1041"/>
      <c r="Z33" s="1041"/>
      <c r="AA33" s="1041"/>
      <c r="AB33" s="1041"/>
      <c r="AC33" s="1041"/>
      <c r="AD33" s="1041"/>
      <c r="AE33" s="1041"/>
      <c r="AF33" s="1041"/>
      <c r="AG33" s="1041"/>
      <c r="AH33" s="1041"/>
      <c r="AI33" s="1041"/>
      <c r="AJ33" s="1041"/>
      <c r="AK33" s="1041"/>
      <c r="AL33" s="31"/>
      <c r="AM33" s="31"/>
      <c r="AN33" s="30"/>
      <c r="AO33" s="30"/>
      <c r="AP33" s="31"/>
      <c r="AQ33" s="31"/>
      <c r="AR33" s="31"/>
      <c r="AS33" s="31"/>
      <c r="AT33" s="31"/>
      <c r="AU33" s="31"/>
      <c r="AV33" s="18"/>
      <c r="AW33" s="18"/>
      <c r="AX33" s="18"/>
      <c r="AY33" s="18"/>
      <c r="AZ33" s="636"/>
      <c r="BA33" s="2200"/>
      <c r="BB33" s="956" t="b">
        <f t="shared" ca="1" si="4"/>
        <v>0</v>
      </c>
    </row>
    <row r="34" spans="2:54" ht="13.5" customHeight="1">
      <c r="B34" s="2566"/>
      <c r="C34" s="2565"/>
      <c r="D34" s="2445"/>
      <c r="E34" s="2500"/>
      <c r="F34" s="32"/>
      <c r="R34" s="607"/>
      <c r="S34" s="607"/>
      <c r="T34" s="607"/>
      <c r="U34" s="607"/>
      <c r="V34" s="1041"/>
      <c r="W34" s="1041"/>
      <c r="X34" s="1041"/>
      <c r="Y34" s="1041"/>
      <c r="Z34" s="1041"/>
      <c r="AA34" s="1041"/>
      <c r="AB34" s="1041"/>
      <c r="AC34" s="1041"/>
      <c r="AD34" s="1041"/>
      <c r="AE34" s="1041"/>
      <c r="AF34" s="1041"/>
      <c r="AG34" s="1041"/>
      <c r="AH34" s="1041"/>
      <c r="AI34" s="1041"/>
      <c r="AJ34" s="1041"/>
      <c r="AK34" s="1041"/>
      <c r="AL34" s="31"/>
      <c r="AM34" s="31"/>
      <c r="AN34" s="30"/>
      <c r="AO34" s="30"/>
      <c r="AP34" s="31"/>
      <c r="AQ34" s="31"/>
      <c r="AR34" s="31"/>
      <c r="AS34" s="31"/>
      <c r="AT34" s="31"/>
      <c r="AU34" s="31"/>
      <c r="AV34" s="18"/>
      <c r="AW34" s="18"/>
      <c r="AX34" s="18"/>
      <c r="AY34" s="18"/>
      <c r="AZ34" s="636"/>
      <c r="BA34" s="2200"/>
      <c r="BB34" s="956" t="b">
        <v>0</v>
      </c>
    </row>
    <row r="35" spans="2:54" ht="13.5" customHeight="1">
      <c r="B35" s="2566"/>
      <c r="C35" s="2565"/>
      <c r="D35" s="2445"/>
      <c r="E35" s="2500"/>
      <c r="F35" s="925"/>
      <c r="G35" s="750"/>
      <c r="H35" s="750"/>
      <c r="I35" s="750"/>
      <c r="J35" s="750"/>
      <c r="K35" s="750"/>
      <c r="L35" s="750"/>
      <c r="M35" s="750"/>
      <c r="N35" s="750"/>
      <c r="O35" s="750"/>
      <c r="P35" s="750"/>
      <c r="Q35" s="750"/>
      <c r="R35" s="965"/>
      <c r="S35" s="965"/>
      <c r="T35" s="965"/>
      <c r="U35" s="965"/>
      <c r="V35" s="966"/>
      <c r="W35" s="966"/>
      <c r="X35" s="966"/>
      <c r="Y35" s="966"/>
      <c r="Z35" s="966"/>
      <c r="AA35" s="966"/>
      <c r="AB35" s="966"/>
      <c r="AC35" s="966"/>
      <c r="AD35" s="966"/>
      <c r="AE35" s="966"/>
      <c r="AF35" s="966"/>
      <c r="AG35" s="966"/>
      <c r="AH35" s="966"/>
      <c r="AI35" s="966"/>
      <c r="AJ35" s="966"/>
      <c r="AK35" s="966"/>
      <c r="AL35" s="967"/>
      <c r="AM35" s="967"/>
      <c r="AN35" s="968"/>
      <c r="AO35" s="968"/>
      <c r="AP35" s="967"/>
      <c r="AQ35" s="967"/>
      <c r="AR35" s="967"/>
      <c r="AS35" s="967"/>
      <c r="AT35" s="967"/>
      <c r="AU35" s="967"/>
      <c r="AV35" s="969"/>
      <c r="AW35" s="969"/>
      <c r="AX35" s="969"/>
      <c r="AY35" s="969"/>
      <c r="AZ35" s="970"/>
      <c r="BA35" s="2200"/>
      <c r="BB35" s="956" t="b">
        <v>0</v>
      </c>
    </row>
    <row r="36" spans="2:54" ht="13.5" customHeight="1">
      <c r="B36" s="2566"/>
      <c r="C36" s="2565"/>
      <c r="D36" s="2445"/>
      <c r="E36" s="2500"/>
      <c r="F36" s="2562" t="s">
        <v>5295</v>
      </c>
      <c r="G36" s="2563"/>
      <c r="H36" s="2563"/>
      <c r="I36" s="2563"/>
      <c r="J36" s="2563"/>
      <c r="K36" s="2563"/>
      <c r="L36" s="2563"/>
      <c r="M36" s="2563"/>
      <c r="N36" s="2563"/>
      <c r="O36" s="2563"/>
      <c r="P36" s="2563"/>
      <c r="Q36" s="2563"/>
      <c r="R36" s="2562" t="s">
        <v>5296</v>
      </c>
      <c r="S36" s="2563"/>
      <c r="T36" s="2563"/>
      <c r="U36" s="2563"/>
      <c r="V36" s="2698" t="s">
        <v>665</v>
      </c>
      <c r="W36" s="2699"/>
      <c r="X36" s="2699"/>
      <c r="Y36" s="2699"/>
      <c r="Z36" s="2699"/>
      <c r="AA36" s="2699"/>
      <c r="AB36" s="2698" t="s">
        <v>854</v>
      </c>
      <c r="AC36" s="2699"/>
      <c r="AD36" s="2699"/>
      <c r="AE36" s="2699"/>
      <c r="AF36" s="2671" t="s">
        <v>5301</v>
      </c>
      <c r="AG36" s="2672"/>
      <c r="AH36" s="2672"/>
      <c r="AI36" s="2672"/>
      <c r="AJ36" s="2698" t="s">
        <v>5299</v>
      </c>
      <c r="AK36" s="2699"/>
      <c r="AL36" s="2699"/>
      <c r="AM36" s="2699"/>
      <c r="AN36" s="2671" t="s">
        <v>5301</v>
      </c>
      <c r="AO36" s="2672"/>
      <c r="AP36" s="2672"/>
      <c r="AQ36" s="2672"/>
      <c r="AR36" s="2671" t="s">
        <v>5416</v>
      </c>
      <c r="AS36" s="2760"/>
      <c r="AT36" s="2760"/>
      <c r="AU36" s="2760"/>
      <c r="AV36" s="2562" t="s">
        <v>5300</v>
      </c>
      <c r="AW36" s="2563"/>
      <c r="AX36" s="2563"/>
      <c r="AY36" s="2563"/>
      <c r="AZ36" s="2563"/>
      <c r="BA36" s="2200"/>
      <c r="BB36" s="956" t="b">
        <f ca="1">SUM(V37:Y48)&lt;&gt;0</f>
        <v>0</v>
      </c>
    </row>
    <row r="37" spans="2:54" ht="13.5" customHeight="1">
      <c r="B37" s="2566"/>
      <c r="C37" s="2565"/>
      <c r="D37" s="2445"/>
      <c r="E37" s="2500"/>
      <c r="F37" s="122" t="s">
        <v>5420</v>
      </c>
      <c r="G37" s="6"/>
      <c r="H37" s="6"/>
      <c r="I37" s="6"/>
      <c r="J37" s="6"/>
      <c r="K37" s="6"/>
      <c r="L37" s="6"/>
      <c r="M37" s="6"/>
      <c r="N37" s="6"/>
      <c r="O37" s="6"/>
      <c r="P37" s="6"/>
      <c r="Q37" s="7"/>
      <c r="R37" s="2251">
        <v>940</v>
      </c>
      <c r="S37" s="2252"/>
      <c r="T37" s="2252"/>
      <c r="U37" s="2253"/>
      <c r="V37" s="2439">
        <f ca="1">SUMIF(見積拾!C$7:D$27,F37,見積拾!T$7:T$27)</f>
        <v>0</v>
      </c>
      <c r="W37" s="2440"/>
      <c r="X37" s="2440"/>
      <c r="Y37" s="2440"/>
      <c r="Z37" s="2252" t="s">
        <v>1532</v>
      </c>
      <c r="AA37" s="2253"/>
      <c r="AB37" s="2251">
        <f t="shared" ref="AB37:AB43" ca="1" si="5">INT(R37*V37)</f>
        <v>0</v>
      </c>
      <c r="AC37" s="2252"/>
      <c r="AD37" s="2252"/>
      <c r="AE37" s="2253"/>
      <c r="AF37" s="2733" t="s">
        <v>5301</v>
      </c>
      <c r="AG37" s="2733"/>
      <c r="AH37" s="2733"/>
      <c r="AI37" s="2733"/>
      <c r="AJ37" s="2675">
        <v>1.3</v>
      </c>
      <c r="AK37" s="2676"/>
      <c r="AL37" s="2676"/>
      <c r="AM37" s="2677"/>
      <c r="AN37" s="2733" t="s">
        <v>5301</v>
      </c>
      <c r="AO37" s="2733"/>
      <c r="AP37" s="2733"/>
      <c r="AQ37" s="2733"/>
      <c r="AR37" s="2235">
        <f ca="1">+INT(AJ37*AB37)</f>
        <v>0</v>
      </c>
      <c r="AS37" s="2236"/>
      <c r="AT37" s="2236"/>
      <c r="AU37" s="2237"/>
      <c r="AV37" s="2724">
        <f ca="1">SUM(AR37:AU48)</f>
        <v>0</v>
      </c>
      <c r="AW37" s="2725"/>
      <c r="AX37" s="2725"/>
      <c r="AY37" s="2725"/>
      <c r="AZ37" s="2726"/>
      <c r="BA37" s="2200"/>
      <c r="BB37" s="956" t="b">
        <f t="shared" ref="BB37:BB48" ca="1" si="6">V37&lt;&gt;0</f>
        <v>0</v>
      </c>
    </row>
    <row r="38" spans="2:54" ht="13.5" customHeight="1">
      <c r="B38" s="2566"/>
      <c r="C38" s="2565"/>
      <c r="D38" s="2445"/>
      <c r="E38" s="2500"/>
      <c r="F38" s="124" t="s">
        <v>5421</v>
      </c>
      <c r="G38" s="77"/>
      <c r="H38" s="77"/>
      <c r="I38" s="77"/>
      <c r="J38" s="77"/>
      <c r="K38" s="77"/>
      <c r="L38" s="77"/>
      <c r="M38" s="77"/>
      <c r="N38" s="77"/>
      <c r="O38" s="77"/>
      <c r="P38" s="77"/>
      <c r="Q38" s="78"/>
      <c r="R38" s="2209">
        <v>940</v>
      </c>
      <c r="S38" s="2210"/>
      <c r="T38" s="2210"/>
      <c r="U38" s="2211"/>
      <c r="V38" s="2441">
        <f ca="1">SUMIF(見積拾!C$7:D$27,F38,見積拾!T$7:T$27)</f>
        <v>0</v>
      </c>
      <c r="W38" s="2442"/>
      <c r="X38" s="2442"/>
      <c r="Y38" s="2442"/>
      <c r="Z38" s="2210" t="s">
        <v>1532</v>
      </c>
      <c r="AA38" s="2211"/>
      <c r="AB38" s="2209">
        <f t="shared" ref="AB38:AB39" ca="1" si="7">INT(R38*V38)</f>
        <v>0</v>
      </c>
      <c r="AC38" s="2210"/>
      <c r="AD38" s="2210"/>
      <c r="AE38" s="2211"/>
      <c r="AF38" s="2651" t="s">
        <v>5301</v>
      </c>
      <c r="AG38" s="2651"/>
      <c r="AH38" s="2651"/>
      <c r="AI38" s="2651"/>
      <c r="AJ38" s="2655">
        <v>1.1499999999999999</v>
      </c>
      <c r="AK38" s="2656"/>
      <c r="AL38" s="2656"/>
      <c r="AM38" s="2657"/>
      <c r="AN38" s="2651" t="s">
        <v>5301</v>
      </c>
      <c r="AO38" s="2651"/>
      <c r="AP38" s="2651"/>
      <c r="AQ38" s="2651"/>
      <c r="AR38" s="2238">
        <f t="shared" ref="AR38:AR48" ca="1" si="8">+INT(AJ38*AB38)</f>
        <v>0</v>
      </c>
      <c r="AS38" s="2239"/>
      <c r="AT38" s="2239"/>
      <c r="AU38" s="2240"/>
      <c r="AV38" s="2727"/>
      <c r="AW38" s="2728"/>
      <c r="AX38" s="2728"/>
      <c r="AY38" s="2728"/>
      <c r="AZ38" s="2729"/>
      <c r="BA38" s="2200"/>
      <c r="BB38" s="956" t="b">
        <f t="shared" ca="1" si="6"/>
        <v>0</v>
      </c>
    </row>
    <row r="39" spans="2:54" ht="13.5" customHeight="1">
      <c r="B39" s="2566"/>
      <c r="C39" s="2565"/>
      <c r="D39" s="2445"/>
      <c r="E39" s="2500"/>
      <c r="F39" s="124" t="s">
        <v>5422</v>
      </c>
      <c r="G39" s="77"/>
      <c r="H39" s="77"/>
      <c r="I39" s="77"/>
      <c r="J39" s="77"/>
      <c r="K39" s="77"/>
      <c r="L39" s="77"/>
      <c r="M39" s="77"/>
      <c r="N39" s="77"/>
      <c r="O39" s="77"/>
      <c r="P39" s="77"/>
      <c r="Q39" s="78"/>
      <c r="R39" s="2209">
        <v>940</v>
      </c>
      <c r="S39" s="2210"/>
      <c r="T39" s="2210"/>
      <c r="U39" s="2211"/>
      <c r="V39" s="2441">
        <f ca="1">SUMIF(見積拾!C$7:D$27,F39,見積拾!T$7:T$27)</f>
        <v>0</v>
      </c>
      <c r="W39" s="2442"/>
      <c r="X39" s="2442"/>
      <c r="Y39" s="2442"/>
      <c r="Z39" s="2210" t="s">
        <v>1532</v>
      </c>
      <c r="AA39" s="2211"/>
      <c r="AB39" s="2209">
        <f t="shared" ca="1" si="7"/>
        <v>0</v>
      </c>
      <c r="AC39" s="2210"/>
      <c r="AD39" s="2210"/>
      <c r="AE39" s="2211"/>
      <c r="AF39" s="2651" t="s">
        <v>5301</v>
      </c>
      <c r="AG39" s="2651"/>
      <c r="AH39" s="2651"/>
      <c r="AI39" s="2651"/>
      <c r="AJ39" s="2655">
        <v>1</v>
      </c>
      <c r="AK39" s="2656"/>
      <c r="AL39" s="2656"/>
      <c r="AM39" s="2657"/>
      <c r="AN39" s="2651" t="s">
        <v>5301</v>
      </c>
      <c r="AO39" s="2651"/>
      <c r="AP39" s="2651"/>
      <c r="AQ39" s="2651"/>
      <c r="AR39" s="2238">
        <f t="shared" ca="1" si="8"/>
        <v>0</v>
      </c>
      <c r="AS39" s="2239"/>
      <c r="AT39" s="2239"/>
      <c r="AU39" s="2240"/>
      <c r="AV39" s="2727"/>
      <c r="AW39" s="2728"/>
      <c r="AX39" s="2728"/>
      <c r="AY39" s="2728"/>
      <c r="AZ39" s="2729"/>
      <c r="BA39" s="2200"/>
      <c r="BB39" s="956" t="b">
        <f t="shared" ca="1" si="6"/>
        <v>0</v>
      </c>
    </row>
    <row r="40" spans="2:54" ht="13.5" customHeight="1">
      <c r="B40" s="2566"/>
      <c r="C40" s="2565"/>
      <c r="D40" s="2445"/>
      <c r="E40" s="2500"/>
      <c r="F40" s="124" t="s">
        <v>5423</v>
      </c>
      <c r="G40" s="77"/>
      <c r="H40" s="77"/>
      <c r="I40" s="77"/>
      <c r="J40" s="77"/>
      <c r="K40" s="77"/>
      <c r="L40" s="77"/>
      <c r="M40" s="77"/>
      <c r="N40" s="77"/>
      <c r="O40" s="77"/>
      <c r="P40" s="77"/>
      <c r="Q40" s="78"/>
      <c r="R40" s="2209">
        <v>2050</v>
      </c>
      <c r="S40" s="2210"/>
      <c r="T40" s="2210"/>
      <c r="U40" s="2211"/>
      <c r="V40" s="2441">
        <f ca="1">SUMIF(見積拾!C$7:D$27,F40,見積拾!T$7:T$27)</f>
        <v>0</v>
      </c>
      <c r="W40" s="2442"/>
      <c r="X40" s="2442"/>
      <c r="Y40" s="2442"/>
      <c r="Z40" s="2210" t="s">
        <v>1532</v>
      </c>
      <c r="AA40" s="2211"/>
      <c r="AB40" s="2209">
        <f t="shared" ca="1" si="5"/>
        <v>0</v>
      </c>
      <c r="AC40" s="2210"/>
      <c r="AD40" s="2210"/>
      <c r="AE40" s="2211"/>
      <c r="AF40" s="2651" t="s">
        <v>5301</v>
      </c>
      <c r="AG40" s="2651"/>
      <c r="AH40" s="2651"/>
      <c r="AI40" s="2651"/>
      <c r="AJ40" s="2655">
        <v>1.3</v>
      </c>
      <c r="AK40" s="2656"/>
      <c r="AL40" s="2656"/>
      <c r="AM40" s="2657"/>
      <c r="AN40" s="2651" t="s">
        <v>5301</v>
      </c>
      <c r="AO40" s="2651"/>
      <c r="AP40" s="2651"/>
      <c r="AQ40" s="2651"/>
      <c r="AR40" s="2238">
        <f t="shared" ca="1" si="8"/>
        <v>0</v>
      </c>
      <c r="AS40" s="2239"/>
      <c r="AT40" s="2239"/>
      <c r="AU40" s="2240"/>
      <c r="AV40" s="2727"/>
      <c r="AW40" s="2728"/>
      <c r="AX40" s="2728"/>
      <c r="AY40" s="2728"/>
      <c r="AZ40" s="2729"/>
      <c r="BA40" s="2200"/>
      <c r="BB40" s="956" t="b">
        <f t="shared" ca="1" si="6"/>
        <v>0</v>
      </c>
    </row>
    <row r="41" spans="2:54" ht="13.5" customHeight="1">
      <c r="B41" s="2566"/>
      <c r="C41" s="2565"/>
      <c r="D41" s="2445"/>
      <c r="E41" s="2500"/>
      <c r="F41" s="124" t="s">
        <v>5424</v>
      </c>
      <c r="G41" s="77"/>
      <c r="H41" s="77"/>
      <c r="I41" s="77"/>
      <c r="J41" s="77"/>
      <c r="K41" s="77"/>
      <c r="L41" s="77"/>
      <c r="M41" s="77"/>
      <c r="N41" s="77"/>
      <c r="O41" s="77"/>
      <c r="P41" s="77"/>
      <c r="Q41" s="78"/>
      <c r="R41" s="2209">
        <v>2050</v>
      </c>
      <c r="S41" s="2210"/>
      <c r="T41" s="2210"/>
      <c r="U41" s="2211"/>
      <c r="V41" s="2441">
        <f ca="1">SUMIF(見積拾!C$7:D$27,F41,見積拾!T$7:T$27)</f>
        <v>0</v>
      </c>
      <c r="W41" s="2442"/>
      <c r="X41" s="2442"/>
      <c r="Y41" s="2442"/>
      <c r="Z41" s="2210" t="s">
        <v>1532</v>
      </c>
      <c r="AA41" s="2211"/>
      <c r="AB41" s="2209">
        <f t="shared" ref="AB41:AB42" ca="1" si="9">INT(R41*V41)</f>
        <v>0</v>
      </c>
      <c r="AC41" s="2210"/>
      <c r="AD41" s="2210"/>
      <c r="AE41" s="2211"/>
      <c r="AF41" s="2651" t="s">
        <v>5301</v>
      </c>
      <c r="AG41" s="2651"/>
      <c r="AH41" s="2651"/>
      <c r="AI41" s="2651"/>
      <c r="AJ41" s="2655">
        <v>1.1499999999999999</v>
      </c>
      <c r="AK41" s="2656"/>
      <c r="AL41" s="2656"/>
      <c r="AM41" s="2657"/>
      <c r="AN41" s="2651" t="s">
        <v>5301</v>
      </c>
      <c r="AO41" s="2651"/>
      <c r="AP41" s="2651"/>
      <c r="AQ41" s="2651"/>
      <c r="AR41" s="2238">
        <f t="shared" ca="1" si="8"/>
        <v>0</v>
      </c>
      <c r="AS41" s="2239"/>
      <c r="AT41" s="2239"/>
      <c r="AU41" s="2240"/>
      <c r="AV41" s="2727"/>
      <c r="AW41" s="2728"/>
      <c r="AX41" s="2728"/>
      <c r="AY41" s="2728"/>
      <c r="AZ41" s="2729"/>
      <c r="BA41" s="2200"/>
      <c r="BB41" s="956" t="b">
        <f t="shared" ca="1" si="6"/>
        <v>0</v>
      </c>
    </row>
    <row r="42" spans="2:54" ht="13.5" customHeight="1">
      <c r="B42" s="2566"/>
      <c r="C42" s="2565"/>
      <c r="D42" s="2445"/>
      <c r="E42" s="2500"/>
      <c r="F42" s="124" t="s">
        <v>5425</v>
      </c>
      <c r="G42" s="77"/>
      <c r="H42" s="77"/>
      <c r="I42" s="77"/>
      <c r="J42" s="77"/>
      <c r="K42" s="77"/>
      <c r="L42" s="77"/>
      <c r="M42" s="77"/>
      <c r="N42" s="77"/>
      <c r="O42" s="77"/>
      <c r="P42" s="77"/>
      <c r="Q42" s="78"/>
      <c r="R42" s="2209">
        <v>2050</v>
      </c>
      <c r="S42" s="2210"/>
      <c r="T42" s="2210"/>
      <c r="U42" s="2211"/>
      <c r="V42" s="2441">
        <f ca="1">SUMIF(見積拾!C$7:D$27,F42,見積拾!T$7:T$27)</f>
        <v>0</v>
      </c>
      <c r="W42" s="2442"/>
      <c r="X42" s="2442"/>
      <c r="Y42" s="2442"/>
      <c r="Z42" s="2210" t="s">
        <v>1532</v>
      </c>
      <c r="AA42" s="2211"/>
      <c r="AB42" s="2209">
        <f t="shared" ca="1" si="9"/>
        <v>0</v>
      </c>
      <c r="AC42" s="2210"/>
      <c r="AD42" s="2210"/>
      <c r="AE42" s="2211"/>
      <c r="AF42" s="2651" t="s">
        <v>5301</v>
      </c>
      <c r="AG42" s="2651"/>
      <c r="AH42" s="2651"/>
      <c r="AI42" s="2651"/>
      <c r="AJ42" s="2655">
        <v>1</v>
      </c>
      <c r="AK42" s="2656"/>
      <c r="AL42" s="2656"/>
      <c r="AM42" s="2657"/>
      <c r="AN42" s="2651" t="s">
        <v>5301</v>
      </c>
      <c r="AO42" s="2651"/>
      <c r="AP42" s="2651"/>
      <c r="AQ42" s="2651"/>
      <c r="AR42" s="2238">
        <f t="shared" ca="1" si="8"/>
        <v>0</v>
      </c>
      <c r="AS42" s="2239"/>
      <c r="AT42" s="2239"/>
      <c r="AU42" s="2240"/>
      <c r="AV42" s="2727"/>
      <c r="AW42" s="2728"/>
      <c r="AX42" s="2728"/>
      <c r="AY42" s="2728"/>
      <c r="AZ42" s="2729"/>
      <c r="BA42" s="2200"/>
      <c r="BB42" s="956" t="b">
        <f t="shared" ca="1" si="6"/>
        <v>0</v>
      </c>
    </row>
    <row r="43" spans="2:54" ht="13.5" customHeight="1">
      <c r="B43" s="2566"/>
      <c r="C43" s="2565"/>
      <c r="D43" s="2445"/>
      <c r="E43" s="2444"/>
      <c r="F43" s="124" t="s">
        <v>5464</v>
      </c>
      <c r="G43" s="77"/>
      <c r="H43" s="77"/>
      <c r="I43" s="77"/>
      <c r="J43" s="77"/>
      <c r="K43" s="77"/>
      <c r="L43" s="77"/>
      <c r="M43" s="77"/>
      <c r="N43" s="77"/>
      <c r="O43" s="77"/>
      <c r="P43" s="77"/>
      <c r="Q43" s="78"/>
      <c r="R43" s="2209">
        <v>3570</v>
      </c>
      <c r="S43" s="2210"/>
      <c r="T43" s="2210"/>
      <c r="U43" s="2211"/>
      <c r="V43" s="2441">
        <f ca="1">SUMIF(見積拾!C$7:D$27,F43,見積拾!T$7:T$27)</f>
        <v>0</v>
      </c>
      <c r="W43" s="2442"/>
      <c r="X43" s="2442"/>
      <c r="Y43" s="2442"/>
      <c r="Z43" s="2210" t="s">
        <v>1532</v>
      </c>
      <c r="AA43" s="2211"/>
      <c r="AB43" s="2209">
        <f t="shared" ca="1" si="5"/>
        <v>0</v>
      </c>
      <c r="AC43" s="2210"/>
      <c r="AD43" s="2210"/>
      <c r="AE43" s="2211"/>
      <c r="AF43" s="2651" t="s">
        <v>5301</v>
      </c>
      <c r="AG43" s="2651"/>
      <c r="AH43" s="2651"/>
      <c r="AI43" s="2651"/>
      <c r="AJ43" s="2655">
        <v>1.3</v>
      </c>
      <c r="AK43" s="2656"/>
      <c r="AL43" s="2656"/>
      <c r="AM43" s="2657"/>
      <c r="AN43" s="2651" t="s">
        <v>5301</v>
      </c>
      <c r="AO43" s="2651"/>
      <c r="AP43" s="2651"/>
      <c r="AQ43" s="2651"/>
      <c r="AR43" s="2238">
        <f t="shared" ca="1" si="8"/>
        <v>0</v>
      </c>
      <c r="AS43" s="2239"/>
      <c r="AT43" s="2239"/>
      <c r="AU43" s="2240"/>
      <c r="AV43" s="2727"/>
      <c r="AW43" s="2728"/>
      <c r="AX43" s="2728"/>
      <c r="AY43" s="2728"/>
      <c r="AZ43" s="2729"/>
      <c r="BA43" s="2200"/>
      <c r="BB43" s="956" t="b">
        <f t="shared" ca="1" si="6"/>
        <v>0</v>
      </c>
    </row>
    <row r="44" spans="2:54" ht="13.5" customHeight="1">
      <c r="B44" s="2566"/>
      <c r="C44" s="2565"/>
      <c r="D44" s="2445"/>
      <c r="E44" s="2500"/>
      <c r="F44" s="124" t="s">
        <v>5308</v>
      </c>
      <c r="G44" s="77"/>
      <c r="H44" s="77"/>
      <c r="I44" s="77"/>
      <c r="J44" s="77"/>
      <c r="K44" s="77"/>
      <c r="L44" s="77"/>
      <c r="M44" s="77"/>
      <c r="N44" s="77"/>
      <c r="O44" s="77"/>
      <c r="P44" s="77"/>
      <c r="Q44" s="78"/>
      <c r="R44" s="2209">
        <v>3570</v>
      </c>
      <c r="S44" s="2210"/>
      <c r="T44" s="2210"/>
      <c r="U44" s="2211"/>
      <c r="V44" s="2441">
        <f ca="1">SUMIF(見積拾!C$7:D$27,F44,見積拾!T$7:T$27)</f>
        <v>0</v>
      </c>
      <c r="W44" s="2442"/>
      <c r="X44" s="2442"/>
      <c r="Y44" s="2442"/>
      <c r="Z44" s="2210" t="s">
        <v>1532</v>
      </c>
      <c r="AA44" s="2211"/>
      <c r="AB44" s="2209">
        <f t="shared" ref="AB44:AB45" ca="1" si="10">INT(R44*V44)</f>
        <v>0</v>
      </c>
      <c r="AC44" s="2210"/>
      <c r="AD44" s="2210"/>
      <c r="AE44" s="2211"/>
      <c r="AF44" s="2651" t="s">
        <v>5301</v>
      </c>
      <c r="AG44" s="2651"/>
      <c r="AH44" s="2651"/>
      <c r="AI44" s="2651"/>
      <c r="AJ44" s="2655">
        <v>1.1499999999999999</v>
      </c>
      <c r="AK44" s="2656"/>
      <c r="AL44" s="2656"/>
      <c r="AM44" s="2657"/>
      <c r="AN44" s="2651" t="s">
        <v>5301</v>
      </c>
      <c r="AO44" s="2651"/>
      <c r="AP44" s="2651"/>
      <c r="AQ44" s="2651"/>
      <c r="AR44" s="2238">
        <f t="shared" ca="1" si="8"/>
        <v>0</v>
      </c>
      <c r="AS44" s="2239"/>
      <c r="AT44" s="2239"/>
      <c r="AU44" s="2240"/>
      <c r="AV44" s="2727"/>
      <c r="AW44" s="2728"/>
      <c r="AX44" s="2728"/>
      <c r="AY44" s="2728"/>
      <c r="AZ44" s="2729"/>
      <c r="BA44" s="2200"/>
      <c r="BB44" s="956" t="b">
        <f t="shared" ca="1" si="6"/>
        <v>0</v>
      </c>
    </row>
    <row r="45" spans="2:54" ht="13.5" customHeight="1">
      <c r="B45" s="2566"/>
      <c r="C45" s="2565"/>
      <c r="D45" s="2445"/>
      <c r="E45" s="2500"/>
      <c r="F45" s="124" t="s">
        <v>5309</v>
      </c>
      <c r="G45" s="77"/>
      <c r="H45" s="77"/>
      <c r="I45" s="77"/>
      <c r="J45" s="77"/>
      <c r="K45" s="77"/>
      <c r="L45" s="77"/>
      <c r="M45" s="77"/>
      <c r="N45" s="77"/>
      <c r="O45" s="77"/>
      <c r="P45" s="77"/>
      <c r="Q45" s="78"/>
      <c r="R45" s="2209">
        <v>3570</v>
      </c>
      <c r="S45" s="2210"/>
      <c r="T45" s="2210"/>
      <c r="U45" s="2211"/>
      <c r="V45" s="2441">
        <f ca="1">SUMIF(見積拾!C$7:D$27,F45,見積拾!T$7:T$27)</f>
        <v>0</v>
      </c>
      <c r="W45" s="2442"/>
      <c r="X45" s="2442"/>
      <c r="Y45" s="2442"/>
      <c r="Z45" s="2210" t="s">
        <v>1532</v>
      </c>
      <c r="AA45" s="2211"/>
      <c r="AB45" s="2209">
        <f t="shared" ca="1" si="10"/>
        <v>0</v>
      </c>
      <c r="AC45" s="2210"/>
      <c r="AD45" s="2210"/>
      <c r="AE45" s="2211"/>
      <c r="AF45" s="2651" t="s">
        <v>5301</v>
      </c>
      <c r="AG45" s="2651"/>
      <c r="AH45" s="2651"/>
      <c r="AI45" s="2651"/>
      <c r="AJ45" s="2655">
        <v>1</v>
      </c>
      <c r="AK45" s="2656"/>
      <c r="AL45" s="2656"/>
      <c r="AM45" s="2657"/>
      <c r="AN45" s="2651" t="s">
        <v>5301</v>
      </c>
      <c r="AO45" s="2651"/>
      <c r="AP45" s="2651"/>
      <c r="AQ45" s="2651"/>
      <c r="AR45" s="2238">
        <f t="shared" ca="1" si="8"/>
        <v>0</v>
      </c>
      <c r="AS45" s="2239"/>
      <c r="AT45" s="2239"/>
      <c r="AU45" s="2240"/>
      <c r="AV45" s="2727"/>
      <c r="AW45" s="2728"/>
      <c r="AX45" s="2728"/>
      <c r="AY45" s="2728"/>
      <c r="AZ45" s="2729"/>
      <c r="BA45" s="2200"/>
      <c r="BB45" s="956" t="b">
        <f t="shared" ca="1" si="6"/>
        <v>0</v>
      </c>
    </row>
    <row r="46" spans="2:54" ht="13.5" customHeight="1">
      <c r="B46" s="2566"/>
      <c r="C46" s="2565"/>
      <c r="D46" s="2445"/>
      <c r="E46" s="2444"/>
      <c r="F46" s="124" t="s">
        <v>5305</v>
      </c>
      <c r="G46" s="77"/>
      <c r="H46" s="77"/>
      <c r="I46" s="77"/>
      <c r="J46" s="77"/>
      <c r="K46" s="77"/>
      <c r="L46" s="77"/>
      <c r="M46" s="77"/>
      <c r="N46" s="77"/>
      <c r="O46" s="77"/>
      <c r="P46" s="77"/>
      <c r="Q46" s="78"/>
      <c r="R46" s="2278">
        <v>14000</v>
      </c>
      <c r="S46" s="2279"/>
      <c r="T46" s="2279"/>
      <c r="U46" s="2280"/>
      <c r="V46" s="2441">
        <f ca="1">SUMIF(見積拾!C$7:D$27,F46,見積拾!T$7:T$27)</f>
        <v>0</v>
      </c>
      <c r="W46" s="2442"/>
      <c r="X46" s="2442"/>
      <c r="Y46" s="2442"/>
      <c r="Z46" s="2210" t="s">
        <v>1532</v>
      </c>
      <c r="AA46" s="2211"/>
      <c r="AB46" s="2209">
        <f ca="1">INT(R46*V46)</f>
        <v>0</v>
      </c>
      <c r="AC46" s="2210"/>
      <c r="AD46" s="2210"/>
      <c r="AE46" s="2211"/>
      <c r="AF46" s="2651" t="s">
        <v>5301</v>
      </c>
      <c r="AG46" s="2651"/>
      <c r="AH46" s="2651"/>
      <c r="AI46" s="2651"/>
      <c r="AJ46" s="2655">
        <v>1.3</v>
      </c>
      <c r="AK46" s="2656"/>
      <c r="AL46" s="2656"/>
      <c r="AM46" s="2657"/>
      <c r="AN46" s="2651" t="s">
        <v>5301</v>
      </c>
      <c r="AO46" s="2651"/>
      <c r="AP46" s="2651"/>
      <c r="AQ46" s="2651"/>
      <c r="AR46" s="2238">
        <f t="shared" ca="1" si="8"/>
        <v>0</v>
      </c>
      <c r="AS46" s="2239"/>
      <c r="AT46" s="2239"/>
      <c r="AU46" s="2240"/>
      <c r="AV46" s="2727"/>
      <c r="AW46" s="2728"/>
      <c r="AX46" s="2728"/>
      <c r="AY46" s="2728"/>
      <c r="AZ46" s="2729"/>
      <c r="BA46" s="2200"/>
      <c r="BB46" s="956" t="b">
        <f t="shared" ca="1" si="6"/>
        <v>0</v>
      </c>
    </row>
    <row r="47" spans="2:54" ht="13.5" customHeight="1">
      <c r="B47" s="2566"/>
      <c r="C47" s="2565"/>
      <c r="D47" s="2445"/>
      <c r="E47" s="2500"/>
      <c r="F47" s="124" t="s">
        <v>5306</v>
      </c>
      <c r="G47" s="77"/>
      <c r="H47" s="77"/>
      <c r="I47" s="77"/>
      <c r="J47" s="77"/>
      <c r="K47" s="77"/>
      <c r="L47" s="77"/>
      <c r="M47" s="77"/>
      <c r="N47" s="77"/>
      <c r="O47" s="77"/>
      <c r="P47" s="77"/>
      <c r="Q47" s="78"/>
      <c r="R47" s="2278">
        <v>14000</v>
      </c>
      <c r="S47" s="2279"/>
      <c r="T47" s="2279"/>
      <c r="U47" s="2280"/>
      <c r="V47" s="2441">
        <f ca="1">SUMIF(見積拾!C$7:D$27,F47,見積拾!T$7:T$27)</f>
        <v>0</v>
      </c>
      <c r="W47" s="2442"/>
      <c r="X47" s="2442"/>
      <c r="Y47" s="2442"/>
      <c r="Z47" s="2210" t="s">
        <v>1532</v>
      </c>
      <c r="AA47" s="2211"/>
      <c r="AB47" s="2209">
        <f ca="1">INT(R47*V47)</f>
        <v>0</v>
      </c>
      <c r="AC47" s="2210"/>
      <c r="AD47" s="2210"/>
      <c r="AE47" s="2211"/>
      <c r="AF47" s="2651" t="s">
        <v>5301</v>
      </c>
      <c r="AG47" s="2651"/>
      <c r="AH47" s="2651"/>
      <c r="AI47" s="2651"/>
      <c r="AJ47" s="2655">
        <v>1.1499999999999999</v>
      </c>
      <c r="AK47" s="2656"/>
      <c r="AL47" s="2656"/>
      <c r="AM47" s="2657"/>
      <c r="AN47" s="2651" t="s">
        <v>5301</v>
      </c>
      <c r="AO47" s="2651"/>
      <c r="AP47" s="2651"/>
      <c r="AQ47" s="2651"/>
      <c r="AR47" s="2238">
        <f t="shared" ca="1" si="8"/>
        <v>0</v>
      </c>
      <c r="AS47" s="2239"/>
      <c r="AT47" s="2239"/>
      <c r="AU47" s="2240"/>
      <c r="AV47" s="2727"/>
      <c r="AW47" s="2728"/>
      <c r="AX47" s="2728"/>
      <c r="AY47" s="2728"/>
      <c r="AZ47" s="2729"/>
      <c r="BA47" s="2200"/>
      <c r="BB47" s="956" t="b">
        <f t="shared" ca="1" si="6"/>
        <v>0</v>
      </c>
    </row>
    <row r="48" spans="2:54" ht="13.5" customHeight="1">
      <c r="B48" s="2566"/>
      <c r="C48" s="2565"/>
      <c r="D48" s="2445"/>
      <c r="E48" s="2500"/>
      <c r="F48" s="127" t="s">
        <v>5307</v>
      </c>
      <c r="G48" s="79"/>
      <c r="H48" s="79"/>
      <c r="I48" s="79"/>
      <c r="J48" s="79"/>
      <c r="K48" s="79"/>
      <c r="L48" s="79"/>
      <c r="M48" s="79"/>
      <c r="N48" s="79"/>
      <c r="O48" s="79"/>
      <c r="P48" s="79"/>
      <c r="Q48" s="80"/>
      <c r="R48" s="2289">
        <v>14000</v>
      </c>
      <c r="S48" s="2290"/>
      <c r="T48" s="2290"/>
      <c r="U48" s="2291"/>
      <c r="V48" s="2537">
        <f ca="1">SUMIF(見積拾!C$7:D$27,F48,見積拾!T$7:T$27)</f>
        <v>0</v>
      </c>
      <c r="W48" s="2538"/>
      <c r="X48" s="2538"/>
      <c r="Y48" s="2538"/>
      <c r="Z48" s="2343" t="s">
        <v>1532</v>
      </c>
      <c r="AA48" s="2344"/>
      <c r="AB48" s="2358">
        <f ca="1">INT(R48*V48)</f>
        <v>0</v>
      </c>
      <c r="AC48" s="2343"/>
      <c r="AD48" s="2343"/>
      <c r="AE48" s="2344"/>
      <c r="AF48" s="2658" t="s">
        <v>5301</v>
      </c>
      <c r="AG48" s="2658"/>
      <c r="AH48" s="2658"/>
      <c r="AI48" s="2658"/>
      <c r="AJ48" s="2740">
        <v>1</v>
      </c>
      <c r="AK48" s="2741"/>
      <c r="AL48" s="2741"/>
      <c r="AM48" s="2742"/>
      <c r="AN48" s="2658" t="s">
        <v>5301</v>
      </c>
      <c r="AO48" s="2658"/>
      <c r="AP48" s="2658"/>
      <c r="AQ48" s="2658"/>
      <c r="AR48" s="2364">
        <f t="shared" ca="1" si="8"/>
        <v>0</v>
      </c>
      <c r="AS48" s="2365"/>
      <c r="AT48" s="2365"/>
      <c r="AU48" s="2366"/>
      <c r="AV48" s="2730"/>
      <c r="AW48" s="2731"/>
      <c r="AX48" s="2731"/>
      <c r="AY48" s="2731"/>
      <c r="AZ48" s="2732"/>
      <c r="BA48" s="2200"/>
      <c r="BB48" s="956" t="b">
        <f t="shared" ca="1" si="6"/>
        <v>0</v>
      </c>
    </row>
    <row r="49" spans="2:54" ht="13.5" customHeight="1">
      <c r="B49" s="2566"/>
      <c r="C49" s="2565"/>
      <c r="D49" s="2446"/>
      <c r="E49" s="2447"/>
      <c r="F49" s="987"/>
      <c r="G49" s="988"/>
      <c r="H49" s="988"/>
      <c r="I49" s="988"/>
      <c r="J49" s="988"/>
      <c r="K49" s="988"/>
      <c r="L49" s="988"/>
      <c r="M49" s="988"/>
      <c r="N49" s="988"/>
      <c r="O49" s="988"/>
      <c r="P49" s="988"/>
      <c r="Q49" s="988"/>
      <c r="R49" s="2136"/>
      <c r="S49" s="2136"/>
      <c r="T49" s="2136"/>
      <c r="U49" s="2136"/>
      <c r="V49" s="2137"/>
      <c r="W49" s="2137"/>
      <c r="X49" s="2137"/>
      <c r="Y49" s="2137"/>
      <c r="Z49" s="2136"/>
      <c r="AA49" s="2136"/>
      <c r="AB49" s="2136"/>
      <c r="AC49" s="2136"/>
      <c r="AD49" s="2136"/>
      <c r="AE49" s="2136"/>
      <c r="AF49" s="2138"/>
      <c r="AG49" s="2138"/>
      <c r="AH49" s="2138"/>
      <c r="AI49" s="2138"/>
      <c r="AJ49" s="2139"/>
      <c r="AK49" s="2139"/>
      <c r="AL49" s="2140"/>
      <c r="AM49" s="2140"/>
      <c r="AN49" s="2139"/>
      <c r="AO49" s="2139"/>
      <c r="AP49" s="2140"/>
      <c r="AQ49" s="2140"/>
      <c r="AR49" s="2140"/>
      <c r="AS49" s="2140"/>
      <c r="AT49" s="2140"/>
      <c r="AU49" s="2140"/>
      <c r="AV49" s="2141"/>
      <c r="AW49" s="2141"/>
      <c r="AX49" s="2141"/>
      <c r="AY49" s="2141"/>
      <c r="AZ49" s="2142"/>
      <c r="BA49" s="2200"/>
      <c r="BB49" s="956" t="b">
        <f ca="1">BB$36</f>
        <v>0</v>
      </c>
    </row>
    <row r="50" spans="2:54" ht="13.5" customHeight="1">
      <c r="B50" s="2566"/>
      <c r="C50" s="2565"/>
      <c r="D50" s="2554"/>
      <c r="E50" s="2555"/>
      <c r="F50" s="1557" t="s">
        <v>663</v>
      </c>
      <c r="G50" s="1558"/>
      <c r="H50" s="1558"/>
      <c r="I50" s="1558"/>
      <c r="J50" s="1558"/>
      <c r="K50" s="1558"/>
      <c r="L50" s="1558"/>
      <c r="M50" s="1558"/>
      <c r="N50" s="1558"/>
      <c r="O50" s="1558"/>
      <c r="P50" s="1559"/>
      <c r="Q50" s="1558"/>
      <c r="R50" s="1560" t="s">
        <v>664</v>
      </c>
      <c r="S50" s="1558"/>
      <c r="T50" s="1558"/>
      <c r="U50" s="1558"/>
      <c r="V50" s="1560" t="s">
        <v>665</v>
      </c>
      <c r="W50" s="1558"/>
      <c r="X50" s="1558"/>
      <c r="Y50" s="1558"/>
      <c r="Z50" s="1559"/>
      <c r="AA50" s="1558"/>
      <c r="AB50" s="1561" t="s">
        <v>36</v>
      </c>
      <c r="AC50" s="1561"/>
      <c r="AD50" s="1561"/>
      <c r="AE50" s="1561"/>
      <c r="AF50" s="1560" t="s">
        <v>666</v>
      </c>
      <c r="AG50" s="1558"/>
      <c r="AH50" s="1558"/>
      <c r="AI50" s="1562"/>
      <c r="AJ50" s="1558" t="s">
        <v>37</v>
      </c>
      <c r="AK50" s="1558"/>
      <c r="AL50" s="1558"/>
      <c r="AM50" s="1562"/>
      <c r="AN50" s="1563" t="s">
        <v>668</v>
      </c>
      <c r="AO50" s="1557"/>
      <c r="AP50" s="1557"/>
      <c r="AQ50" s="1557"/>
      <c r="AR50" s="1564" t="s">
        <v>669</v>
      </c>
      <c r="AS50" s="1560"/>
      <c r="AT50" s="1560"/>
      <c r="AU50" s="1558"/>
      <c r="AV50" s="1565" t="s">
        <v>674</v>
      </c>
      <c r="AW50" s="1566"/>
      <c r="AX50" s="1566"/>
      <c r="AY50" s="1567"/>
      <c r="AZ50" s="1568"/>
      <c r="BA50" s="2200"/>
      <c r="BB50" s="1016" t="b">
        <f ca="1">SUM(V51:Y52)&lt;&gt;0</f>
        <v>0</v>
      </c>
    </row>
    <row r="51" spans="2:54" ht="13.5" customHeight="1">
      <c r="B51" s="2566"/>
      <c r="C51" s="2565"/>
      <c r="D51" s="2443" t="s">
        <v>675</v>
      </c>
      <c r="E51" s="2444"/>
      <c r="F51" s="973" t="s">
        <v>694</v>
      </c>
      <c r="G51" s="6"/>
      <c r="H51" s="6"/>
      <c r="I51" s="6"/>
      <c r="J51" s="6"/>
      <c r="K51" s="6"/>
      <c r="L51" s="6"/>
      <c r="M51" s="6"/>
      <c r="N51" s="6"/>
      <c r="O51" s="6"/>
      <c r="P51" s="6"/>
      <c r="Q51" s="7"/>
      <c r="R51" s="2251">
        <v>279690</v>
      </c>
      <c r="S51" s="2252"/>
      <c r="T51" s="2252"/>
      <c r="U51" s="2253"/>
      <c r="V51" s="2439">
        <f ca="1">SUMIF(見積拾!C$7:D$27,F51,見積拾!T$7:T$27)</f>
        <v>0</v>
      </c>
      <c r="W51" s="2440"/>
      <c r="X51" s="2440"/>
      <c r="Y51" s="2440"/>
      <c r="Z51" s="2252" t="s">
        <v>672</v>
      </c>
      <c r="AA51" s="2253"/>
      <c r="AB51" s="2251">
        <f ca="1">INT(R51*V51)</f>
        <v>0</v>
      </c>
      <c r="AC51" s="2252"/>
      <c r="AD51" s="2252"/>
      <c r="AE51" s="2253"/>
      <c r="AF51" s="2503">
        <f ca="1">SUM(AB51:AE52)</f>
        <v>0</v>
      </c>
      <c r="AG51" s="2700"/>
      <c r="AH51" s="2700"/>
      <c r="AI51" s="2505"/>
      <c r="AJ51" s="974"/>
      <c r="AK51" s="922"/>
      <c r="AL51" s="975"/>
      <c r="AM51" s="976"/>
      <c r="AN51" s="2743"/>
      <c r="AO51" s="2744"/>
      <c r="AP51" s="2717" t="e">
        <f>VLOOKUP(AN51,AN53:AQ55,3,0)</f>
        <v>#N/A</v>
      </c>
      <c r="AQ51" s="2718"/>
      <c r="AR51" s="2636" t="e">
        <f>AP51</f>
        <v>#N/A</v>
      </c>
      <c r="AS51" s="2755"/>
      <c r="AT51" s="2755"/>
      <c r="AU51" s="2756"/>
      <c r="AV51" s="2749">
        <f ca="1">IF(AF51&lt;&gt;0,INT(AF51*AR51),0)</f>
        <v>0</v>
      </c>
      <c r="AW51" s="2750"/>
      <c r="AX51" s="2750"/>
      <c r="AY51" s="2750"/>
      <c r="AZ51" s="2751"/>
      <c r="BA51" s="2200"/>
      <c r="BB51" s="1016" t="b">
        <f ca="1">V51&lt;&gt;0</f>
        <v>0</v>
      </c>
    </row>
    <row r="52" spans="2:54" ht="13.5" customHeight="1">
      <c r="B52" s="2566"/>
      <c r="C52" s="2565"/>
      <c r="D52" s="2445"/>
      <c r="E52" s="2444"/>
      <c r="F52" s="125" t="s">
        <v>677</v>
      </c>
      <c r="G52" s="959"/>
      <c r="H52" s="959"/>
      <c r="I52" s="959"/>
      <c r="J52" s="959"/>
      <c r="K52" s="959"/>
      <c r="L52" s="959"/>
      <c r="M52" s="959"/>
      <c r="N52" s="959"/>
      <c r="O52" s="959"/>
      <c r="P52" s="959"/>
      <c r="Q52" s="960"/>
      <c r="R52" s="2229">
        <f>R51+81500</f>
        <v>361190</v>
      </c>
      <c r="S52" s="2230"/>
      <c r="T52" s="2230"/>
      <c r="U52" s="2231"/>
      <c r="V52" s="2649">
        <f ca="1">SUMIF(見積拾!C$7:D$27,F52,見積拾!T$7:T$27)</f>
        <v>0</v>
      </c>
      <c r="W52" s="2650"/>
      <c r="X52" s="2650"/>
      <c r="Y52" s="2650"/>
      <c r="Z52" s="2230" t="s">
        <v>672</v>
      </c>
      <c r="AA52" s="2231"/>
      <c r="AB52" s="2229">
        <f ca="1">INT(R52*V52)</f>
        <v>0</v>
      </c>
      <c r="AC52" s="2230"/>
      <c r="AD52" s="2230"/>
      <c r="AE52" s="2231"/>
      <c r="AF52" s="2448"/>
      <c r="AG52" s="2449"/>
      <c r="AH52" s="2449"/>
      <c r="AI52" s="2640"/>
      <c r="AJ52" s="189"/>
      <c r="AK52" s="9"/>
      <c r="AL52" s="2"/>
      <c r="AM52" s="961"/>
      <c r="AN52" s="2745"/>
      <c r="AO52" s="2746"/>
      <c r="AP52" s="2719"/>
      <c r="AQ52" s="2720"/>
      <c r="AR52" s="2638"/>
      <c r="AS52" s="2758"/>
      <c r="AT52" s="2758"/>
      <c r="AU52" s="2759"/>
      <c r="AV52" s="2752"/>
      <c r="AW52" s="2753"/>
      <c r="AX52" s="2753"/>
      <c r="AY52" s="2753"/>
      <c r="AZ52" s="2754"/>
      <c r="BA52" s="2200"/>
      <c r="BB52" s="1016" t="b">
        <f ca="1">V52&lt;&gt;0</f>
        <v>0</v>
      </c>
    </row>
    <row r="53" spans="2:54" ht="13.5" customHeight="1">
      <c r="B53" s="2566"/>
      <c r="C53" s="2565"/>
      <c r="D53" s="2445"/>
      <c r="E53" s="2444"/>
      <c r="F53" s="792"/>
      <c r="G53" s="952"/>
      <c r="H53" s="952"/>
      <c r="I53" s="952"/>
      <c r="J53" s="952"/>
      <c r="K53" s="952"/>
      <c r="L53" s="952"/>
      <c r="M53" s="952"/>
      <c r="N53" s="952"/>
      <c r="O53" s="952"/>
      <c r="P53" s="952"/>
      <c r="Q53" s="952"/>
      <c r="R53" s="952"/>
      <c r="S53" s="952"/>
      <c r="T53" s="952"/>
      <c r="U53" s="952"/>
      <c r="V53" s="977"/>
      <c r="W53" s="977"/>
      <c r="X53" s="977"/>
      <c r="Y53" s="977"/>
      <c r="Z53" s="952"/>
      <c r="AA53" s="952"/>
      <c r="AB53" s="952"/>
      <c r="AC53" s="952"/>
      <c r="AD53" s="952"/>
      <c r="AE53" s="952"/>
      <c r="AF53" s="978"/>
      <c r="AG53" s="978"/>
      <c r="AH53" s="978"/>
      <c r="AI53" s="978"/>
      <c r="AJ53" s="979"/>
      <c r="AK53" s="979"/>
      <c r="AL53" s="980"/>
      <c r="AM53" s="980"/>
      <c r="AN53" s="981" t="e">
        <f>VLOOKUP($AD$7,主体明確補正,36,0)</f>
        <v>#N/A</v>
      </c>
      <c r="AO53" s="982"/>
      <c r="AP53" s="2747" t="e">
        <f>VLOOKUP($AD$7,主体明確補正,37,0)</f>
        <v>#N/A</v>
      </c>
      <c r="AQ53" s="2748"/>
      <c r="AR53" s="37"/>
      <c r="AS53" s="37"/>
      <c r="AT53" s="31"/>
      <c r="AU53" s="31"/>
      <c r="AV53" s="983"/>
      <c r="AW53" s="983"/>
      <c r="AX53" s="983"/>
      <c r="AY53" s="983"/>
      <c r="AZ53" s="984"/>
      <c r="BA53" s="2200"/>
      <c r="BB53" s="1016" t="b">
        <f ca="1">BB$50</f>
        <v>0</v>
      </c>
    </row>
    <row r="54" spans="2:54" ht="13.5" customHeight="1">
      <c r="B54" s="2566"/>
      <c r="C54" s="2565"/>
      <c r="D54" s="2445"/>
      <c r="E54" s="2444"/>
      <c r="F54" s="32"/>
      <c r="V54" s="11"/>
      <c r="W54" s="11"/>
      <c r="X54" s="11"/>
      <c r="Y54" s="11"/>
      <c r="AF54" s="12"/>
      <c r="AG54" s="12"/>
      <c r="AH54" s="12"/>
      <c r="AI54" s="12"/>
      <c r="AJ54" s="38"/>
      <c r="AK54" s="38"/>
      <c r="AL54" s="39"/>
      <c r="AM54" s="39"/>
      <c r="AN54" s="981" t="e">
        <f>VLOOKUP($AD$7,主体明確補正,38,0)</f>
        <v>#N/A</v>
      </c>
      <c r="AO54" s="982"/>
      <c r="AP54" s="2747" t="e">
        <f>VLOOKUP($AD$7,主体明確補正,39,0)</f>
        <v>#N/A</v>
      </c>
      <c r="AQ54" s="2748"/>
      <c r="AR54" s="31"/>
      <c r="AS54" s="31"/>
      <c r="AT54" s="31"/>
      <c r="AU54" s="31"/>
      <c r="AV54" s="18"/>
      <c r="AW54" s="18"/>
      <c r="AX54" s="18"/>
      <c r="AY54" s="18"/>
      <c r="AZ54" s="636"/>
      <c r="BA54" s="2200"/>
      <c r="BB54" s="1016" t="b">
        <f ca="1">BB$50</f>
        <v>0</v>
      </c>
    </row>
    <row r="55" spans="2:54" ht="13.5" customHeight="1">
      <c r="B55" s="2566"/>
      <c r="C55" s="2565"/>
      <c r="D55" s="2445"/>
      <c r="E55" s="2444"/>
      <c r="F55" s="32"/>
      <c r="V55" s="11"/>
      <c r="W55" s="11"/>
      <c r="X55" s="11"/>
      <c r="Y55" s="11"/>
      <c r="AF55" s="12"/>
      <c r="AG55" s="12"/>
      <c r="AH55" s="12"/>
      <c r="AI55" s="12"/>
      <c r="AJ55" s="38"/>
      <c r="AK55" s="38"/>
      <c r="AL55" s="39"/>
      <c r="AM55" s="39"/>
      <c r="AN55" s="981" t="e">
        <f>VLOOKUP($AD$7,主体明確補正,40,0)</f>
        <v>#N/A</v>
      </c>
      <c r="AO55" s="982"/>
      <c r="AP55" s="2747" t="e">
        <f>VLOOKUP($AD$7,主体明確補正,41,0)</f>
        <v>#N/A</v>
      </c>
      <c r="AQ55" s="2748"/>
      <c r="AR55" s="31"/>
      <c r="AS55" s="31"/>
      <c r="AT55" s="31"/>
      <c r="AU55" s="31"/>
      <c r="AV55" s="18"/>
      <c r="AW55" s="18"/>
      <c r="AX55" s="18"/>
      <c r="AY55" s="18"/>
      <c r="AZ55" s="636"/>
      <c r="BA55" s="2200"/>
      <c r="BB55" s="1016" t="b">
        <f ca="1">BB$50</f>
        <v>0</v>
      </c>
    </row>
    <row r="56" spans="2:54" ht="13.5" customHeight="1">
      <c r="B56" s="2566"/>
      <c r="C56" s="2565"/>
      <c r="D56" s="2445"/>
      <c r="E56" s="2444"/>
      <c r="F56" s="925"/>
      <c r="G56" s="750"/>
      <c r="H56" s="750"/>
      <c r="I56" s="750"/>
      <c r="J56" s="750"/>
      <c r="K56" s="750"/>
      <c r="L56" s="750"/>
      <c r="M56" s="750"/>
      <c r="N56" s="750"/>
      <c r="O56" s="750"/>
      <c r="P56" s="750"/>
      <c r="Q56" s="750"/>
      <c r="R56" s="750"/>
      <c r="S56" s="750"/>
      <c r="T56" s="750"/>
      <c r="U56" s="750"/>
      <c r="V56" s="971"/>
      <c r="W56" s="971"/>
      <c r="X56" s="971"/>
      <c r="Y56" s="971"/>
      <c r="Z56" s="750"/>
      <c r="AA56" s="750"/>
      <c r="AB56" s="750"/>
      <c r="AC56" s="750"/>
      <c r="AD56" s="750"/>
      <c r="AE56" s="750"/>
      <c r="AF56" s="972"/>
      <c r="AG56" s="972"/>
      <c r="AH56" s="972"/>
      <c r="AI56" s="972"/>
      <c r="AJ56" s="968"/>
      <c r="AK56" s="968"/>
      <c r="AL56" s="967"/>
      <c r="AM56" s="967"/>
      <c r="AN56" s="968"/>
      <c r="AO56" s="968"/>
      <c r="AP56" s="967"/>
      <c r="AQ56" s="967"/>
      <c r="AR56" s="967"/>
      <c r="AS56" s="967"/>
      <c r="AT56" s="967"/>
      <c r="AU56" s="967"/>
      <c r="AV56" s="969"/>
      <c r="AW56" s="969"/>
      <c r="AX56" s="969"/>
      <c r="AY56" s="969"/>
      <c r="AZ56" s="970"/>
      <c r="BA56" s="2200"/>
      <c r="BB56" s="1016" t="b">
        <f ca="1">BB$50</f>
        <v>0</v>
      </c>
    </row>
    <row r="57" spans="2:54" ht="13.5" customHeight="1">
      <c r="B57" s="2566"/>
      <c r="C57" s="2565"/>
      <c r="D57" s="2554"/>
      <c r="E57" s="2555"/>
      <c r="F57" s="1593" t="s">
        <v>663</v>
      </c>
      <c r="G57" s="1593"/>
      <c r="H57" s="1593"/>
      <c r="I57" s="1593"/>
      <c r="J57" s="1593"/>
      <c r="K57" s="1593"/>
      <c r="L57" s="1593"/>
      <c r="M57" s="1593"/>
      <c r="N57" s="1593"/>
      <c r="O57" s="1593"/>
      <c r="P57" s="1595"/>
      <c r="Q57" s="1593"/>
      <c r="R57" s="1594" t="s">
        <v>664</v>
      </c>
      <c r="S57" s="1593"/>
      <c r="T57" s="1593"/>
      <c r="U57" s="1593"/>
      <c r="V57" s="1594" t="s">
        <v>665</v>
      </c>
      <c r="W57" s="1593"/>
      <c r="X57" s="1593"/>
      <c r="Y57" s="1593"/>
      <c r="Z57" s="1595"/>
      <c r="AA57" s="1595"/>
      <c r="AB57" s="2134" t="s">
        <v>678</v>
      </c>
      <c r="AC57" s="2134"/>
      <c r="AD57" s="2134"/>
      <c r="AE57" s="2134"/>
      <c r="AF57" s="1594" t="s">
        <v>666</v>
      </c>
      <c r="AG57" s="1593"/>
      <c r="AH57" s="1593"/>
      <c r="AI57" s="1595"/>
      <c r="AJ57" s="1594" t="s">
        <v>668</v>
      </c>
      <c r="AK57" s="1593"/>
      <c r="AL57" s="1593"/>
      <c r="AM57" s="1593"/>
      <c r="AN57" s="2134" t="s">
        <v>679</v>
      </c>
      <c r="AO57" s="1594"/>
      <c r="AP57" s="1594"/>
      <c r="AQ57" s="1595"/>
      <c r="AR57" s="2134" t="s">
        <v>669</v>
      </c>
      <c r="AS57" s="1594"/>
      <c r="AT57" s="1594"/>
      <c r="AU57" s="1593"/>
      <c r="AV57" s="2135" t="s">
        <v>680</v>
      </c>
      <c r="AW57" s="2113"/>
      <c r="AX57" s="2113"/>
      <c r="AY57" s="2114"/>
      <c r="AZ57" s="1572"/>
      <c r="BA57" s="2200"/>
      <c r="BB57" s="956" t="b">
        <f ca="1">SUM(V58:Y67)&lt;&gt;0</f>
        <v>0</v>
      </c>
    </row>
    <row r="58" spans="2:54" ht="13.5" customHeight="1">
      <c r="B58" s="2566"/>
      <c r="C58" s="2565"/>
      <c r="D58" s="2443" t="s">
        <v>1277</v>
      </c>
      <c r="E58" s="2500"/>
      <c r="F58" s="957" t="s">
        <v>1428</v>
      </c>
      <c r="G58" s="138"/>
      <c r="H58" s="138"/>
      <c r="I58" s="138"/>
      <c r="J58" s="138"/>
      <c r="K58" s="138"/>
      <c r="L58" s="138"/>
      <c r="M58" s="138"/>
      <c r="N58" s="138"/>
      <c r="O58" s="138"/>
      <c r="P58" s="138"/>
      <c r="Q58" s="2109"/>
      <c r="R58" s="2212">
        <v>264670</v>
      </c>
      <c r="S58" s="2213"/>
      <c r="T58" s="2213"/>
      <c r="U58" s="2214"/>
      <c r="V58" s="2541">
        <f ca="1">SUMIF(見積拾!C$7:D$27,F58,見積拾!T$7:T$27)</f>
        <v>0</v>
      </c>
      <c r="W58" s="2542"/>
      <c r="X58" s="2542"/>
      <c r="Y58" s="2542"/>
      <c r="Z58" s="2213" t="s">
        <v>672</v>
      </c>
      <c r="AA58" s="2214"/>
      <c r="AB58" s="2212">
        <f t="shared" ref="AB58:AB67" ca="1" si="11">INT(R58*V58)</f>
        <v>0</v>
      </c>
      <c r="AC58" s="2213"/>
      <c r="AD58" s="2213"/>
      <c r="AE58" s="2214"/>
      <c r="AF58" s="2448">
        <f ca="1">SUM(AB58:AE67)</f>
        <v>0</v>
      </c>
      <c r="AG58" s="2449"/>
      <c r="AH58" s="2449"/>
      <c r="AI58" s="2640"/>
      <c r="AJ58" s="2696"/>
      <c r="AK58" s="2697"/>
      <c r="AL58" s="2785" t="e">
        <f>VLOOKUP(AJ58,AJ68:AM70,3,0)</f>
        <v>#N/A</v>
      </c>
      <c r="AM58" s="2786"/>
      <c r="AN58" s="32"/>
      <c r="AQ58" s="637"/>
      <c r="AR58" s="2459">
        <f ca="1">IF(AF58=0,0,AL58)</f>
        <v>0</v>
      </c>
      <c r="AS58" s="2460"/>
      <c r="AT58" s="2460"/>
      <c r="AU58" s="2460"/>
      <c r="AV58" s="2752">
        <f ca="1">INT(AF58*AR58)</f>
        <v>0</v>
      </c>
      <c r="AW58" s="2753"/>
      <c r="AX58" s="2753"/>
      <c r="AY58" s="2753"/>
      <c r="AZ58" s="2751"/>
      <c r="BA58" s="2200"/>
      <c r="BB58" s="956" t="b">
        <f t="shared" ref="BB58:BB67" ca="1" si="12">V58&lt;&gt;0</f>
        <v>0</v>
      </c>
    </row>
    <row r="59" spans="2:54" ht="13.5" customHeight="1">
      <c r="B59" s="2566"/>
      <c r="C59" s="2565"/>
      <c r="D59" s="2445"/>
      <c r="E59" s="2500"/>
      <c r="F59" s="124" t="s">
        <v>1429</v>
      </c>
      <c r="G59" s="77"/>
      <c r="H59" s="77"/>
      <c r="I59" s="77"/>
      <c r="J59" s="77"/>
      <c r="K59" s="77"/>
      <c r="L59" s="77"/>
      <c r="M59" s="77"/>
      <c r="N59" s="77"/>
      <c r="O59" s="77"/>
      <c r="P59" s="77"/>
      <c r="Q59" s="78"/>
      <c r="R59" s="2209">
        <v>193920</v>
      </c>
      <c r="S59" s="2210"/>
      <c r="T59" s="2210"/>
      <c r="U59" s="2211"/>
      <c r="V59" s="2441">
        <f ca="1">SUMIF(見積拾!C$7:D$27,F59,見積拾!T$7:T$27)</f>
        <v>0</v>
      </c>
      <c r="W59" s="2442"/>
      <c r="X59" s="2442"/>
      <c r="Y59" s="2442"/>
      <c r="Z59" s="2210" t="s">
        <v>672</v>
      </c>
      <c r="AA59" s="2211"/>
      <c r="AB59" s="2209">
        <f t="shared" ref="AB59:AB60" ca="1" si="13">INT(R59*V59)</f>
        <v>0</v>
      </c>
      <c r="AC59" s="2210"/>
      <c r="AD59" s="2210"/>
      <c r="AE59" s="2211"/>
      <c r="AF59" s="2448"/>
      <c r="AG59" s="2449"/>
      <c r="AH59" s="2449"/>
      <c r="AI59" s="2640"/>
      <c r="AJ59" s="2696"/>
      <c r="AK59" s="2697"/>
      <c r="AL59" s="2785"/>
      <c r="AM59" s="2786"/>
      <c r="AN59" s="32"/>
      <c r="AQ59" s="637"/>
      <c r="AR59" s="2459"/>
      <c r="AS59" s="2460"/>
      <c r="AT59" s="2460"/>
      <c r="AU59" s="2460"/>
      <c r="AV59" s="2752"/>
      <c r="AW59" s="2753"/>
      <c r="AX59" s="2753"/>
      <c r="AY59" s="2753"/>
      <c r="AZ59" s="2754"/>
      <c r="BA59" s="2200"/>
      <c r="BB59" s="956" t="b">
        <f t="shared" ca="1" si="12"/>
        <v>0</v>
      </c>
    </row>
    <row r="60" spans="2:54" ht="13.5" customHeight="1">
      <c r="B60" s="2566"/>
      <c r="C60" s="2565"/>
      <c r="D60" s="2445"/>
      <c r="E60" s="2500"/>
      <c r="F60" s="124" t="s">
        <v>1430</v>
      </c>
      <c r="G60" s="77"/>
      <c r="H60" s="77"/>
      <c r="I60" s="77"/>
      <c r="J60" s="77"/>
      <c r="K60" s="77"/>
      <c r="L60" s="77"/>
      <c r="M60" s="77"/>
      <c r="N60" s="77"/>
      <c r="O60" s="77"/>
      <c r="P60" s="77"/>
      <c r="Q60" s="78"/>
      <c r="R60" s="2209">
        <v>144580</v>
      </c>
      <c r="S60" s="2210"/>
      <c r="T60" s="2210"/>
      <c r="U60" s="2211"/>
      <c r="V60" s="2441">
        <f ca="1">SUMIF(見積拾!C$7:D$27,F60,見積拾!T$7:T$27)</f>
        <v>0</v>
      </c>
      <c r="W60" s="2442"/>
      <c r="X60" s="2442"/>
      <c r="Y60" s="2442"/>
      <c r="Z60" s="2210" t="s">
        <v>672</v>
      </c>
      <c r="AA60" s="2211"/>
      <c r="AB60" s="2209">
        <f t="shared" ca="1" si="13"/>
        <v>0</v>
      </c>
      <c r="AC60" s="2210"/>
      <c r="AD60" s="2210"/>
      <c r="AE60" s="2211"/>
      <c r="AF60" s="2448"/>
      <c r="AG60" s="2449"/>
      <c r="AH60" s="2449"/>
      <c r="AI60" s="2640"/>
      <c r="AJ60" s="2696"/>
      <c r="AK60" s="2697"/>
      <c r="AL60" s="2785"/>
      <c r="AM60" s="2786"/>
      <c r="AN60" s="32"/>
      <c r="AQ60" s="637"/>
      <c r="AR60" s="2459"/>
      <c r="AS60" s="2460"/>
      <c r="AT60" s="2460"/>
      <c r="AU60" s="2460"/>
      <c r="AV60" s="2752"/>
      <c r="AW60" s="2753"/>
      <c r="AX60" s="2753"/>
      <c r="AY60" s="2753"/>
      <c r="AZ60" s="2754"/>
      <c r="BA60" s="2200"/>
      <c r="BB60" s="956" t="b">
        <f t="shared" ca="1" si="12"/>
        <v>0</v>
      </c>
    </row>
    <row r="61" spans="2:54" ht="13.5" customHeight="1">
      <c r="B61" s="2566"/>
      <c r="C61" s="2565"/>
      <c r="D61" s="2445"/>
      <c r="E61" s="2500"/>
      <c r="F61" s="124" t="s">
        <v>1431</v>
      </c>
      <c r="G61" s="77"/>
      <c r="H61" s="77"/>
      <c r="I61" s="77"/>
      <c r="J61" s="77"/>
      <c r="K61" s="77"/>
      <c r="L61" s="77"/>
      <c r="M61" s="77"/>
      <c r="N61" s="77"/>
      <c r="O61" s="77"/>
      <c r="P61" s="77"/>
      <c r="Q61" s="78"/>
      <c r="R61" s="2209">
        <v>60380</v>
      </c>
      <c r="S61" s="2210"/>
      <c r="T61" s="2210"/>
      <c r="U61" s="2211"/>
      <c r="V61" s="2203">
        <f ca="1">SUMIF(見積拾!C$7:D$27,F61,見積拾!T$7:T$27)</f>
        <v>0</v>
      </c>
      <c r="W61" s="2204"/>
      <c r="X61" s="2204"/>
      <c r="Y61" s="2204"/>
      <c r="Z61" s="2210" t="s">
        <v>1012</v>
      </c>
      <c r="AA61" s="2211"/>
      <c r="AB61" s="2209">
        <f t="shared" ca="1" si="11"/>
        <v>0</v>
      </c>
      <c r="AC61" s="2210"/>
      <c r="AD61" s="2210"/>
      <c r="AE61" s="2211"/>
      <c r="AF61" s="2448"/>
      <c r="AG61" s="2449"/>
      <c r="AH61" s="2449"/>
      <c r="AI61" s="2640"/>
      <c r="AJ61" s="2696"/>
      <c r="AK61" s="2697"/>
      <c r="AL61" s="2785"/>
      <c r="AM61" s="2786"/>
      <c r="AN61" s="32"/>
      <c r="AQ61" s="637"/>
      <c r="AR61" s="2459"/>
      <c r="AS61" s="2460"/>
      <c r="AT61" s="2460"/>
      <c r="AU61" s="2460"/>
      <c r="AV61" s="2752"/>
      <c r="AW61" s="2753"/>
      <c r="AX61" s="2753"/>
      <c r="AY61" s="2753"/>
      <c r="AZ61" s="2754"/>
      <c r="BA61" s="2200"/>
      <c r="BB61" s="956" t="b">
        <f t="shared" ca="1" si="12"/>
        <v>0</v>
      </c>
    </row>
    <row r="62" spans="2:54" ht="13.5" customHeight="1">
      <c r="B62" s="2566"/>
      <c r="C62" s="2565"/>
      <c r="D62" s="2445"/>
      <c r="E62" s="2500"/>
      <c r="F62" s="124" t="s">
        <v>1432</v>
      </c>
      <c r="G62" s="77"/>
      <c r="H62" s="77"/>
      <c r="I62" s="77"/>
      <c r="J62" s="77"/>
      <c r="K62" s="77"/>
      <c r="L62" s="77"/>
      <c r="M62" s="77"/>
      <c r="N62" s="77"/>
      <c r="O62" s="77"/>
      <c r="P62" s="77"/>
      <c r="Q62" s="78"/>
      <c r="R62" s="2209">
        <v>48220</v>
      </c>
      <c r="S62" s="2210"/>
      <c r="T62" s="2210"/>
      <c r="U62" s="2211"/>
      <c r="V62" s="2203">
        <f ca="1">SUMIF(見積拾!C$7:D$27,F62,見積拾!T$7:T$27)</f>
        <v>0</v>
      </c>
      <c r="W62" s="2204"/>
      <c r="X62" s="2204"/>
      <c r="Y62" s="2204"/>
      <c r="Z62" s="2210" t="s">
        <v>1012</v>
      </c>
      <c r="AA62" s="2211"/>
      <c r="AB62" s="2209">
        <f t="shared" ref="AB62:AB63" ca="1" si="14">INT(R62*V62)</f>
        <v>0</v>
      </c>
      <c r="AC62" s="2210"/>
      <c r="AD62" s="2210"/>
      <c r="AE62" s="2211"/>
      <c r="AF62" s="2448"/>
      <c r="AG62" s="2449"/>
      <c r="AH62" s="2449"/>
      <c r="AI62" s="2640"/>
      <c r="AJ62" s="2696"/>
      <c r="AK62" s="2697"/>
      <c r="AL62" s="2785"/>
      <c r="AM62" s="2786"/>
      <c r="AN62" s="32"/>
      <c r="AQ62" s="637"/>
      <c r="AR62" s="2459"/>
      <c r="AS62" s="2460"/>
      <c r="AT62" s="2460"/>
      <c r="AU62" s="2460"/>
      <c r="AV62" s="2752"/>
      <c r="AW62" s="2753"/>
      <c r="AX62" s="2753"/>
      <c r="AY62" s="2753"/>
      <c r="AZ62" s="2754"/>
      <c r="BA62" s="2200"/>
      <c r="BB62" s="956" t="b">
        <f t="shared" ca="1" si="12"/>
        <v>0</v>
      </c>
    </row>
    <row r="63" spans="2:54" ht="13.5" customHeight="1">
      <c r="B63" s="2566"/>
      <c r="C63" s="2565"/>
      <c r="D63" s="2445"/>
      <c r="E63" s="2500"/>
      <c r="F63" s="124" t="s">
        <v>1433</v>
      </c>
      <c r="G63" s="77"/>
      <c r="H63" s="77"/>
      <c r="I63" s="77"/>
      <c r="J63" s="77"/>
      <c r="K63" s="77"/>
      <c r="L63" s="77"/>
      <c r="M63" s="77"/>
      <c r="N63" s="77"/>
      <c r="O63" s="77"/>
      <c r="P63" s="77"/>
      <c r="Q63" s="78"/>
      <c r="R63" s="2209">
        <v>43970</v>
      </c>
      <c r="S63" s="2210"/>
      <c r="T63" s="2210"/>
      <c r="U63" s="2211"/>
      <c r="V63" s="2203">
        <f ca="1">SUMIF(見積拾!C$7:D$27,F63,見積拾!T$7:T$27)</f>
        <v>0</v>
      </c>
      <c r="W63" s="2204"/>
      <c r="X63" s="2204"/>
      <c r="Y63" s="2204"/>
      <c r="Z63" s="2210" t="s">
        <v>1012</v>
      </c>
      <c r="AA63" s="2211"/>
      <c r="AB63" s="2209">
        <f t="shared" ca="1" si="14"/>
        <v>0</v>
      </c>
      <c r="AC63" s="2210"/>
      <c r="AD63" s="2210"/>
      <c r="AE63" s="2211"/>
      <c r="AF63" s="2448"/>
      <c r="AG63" s="2449"/>
      <c r="AH63" s="2449"/>
      <c r="AI63" s="2640"/>
      <c r="AJ63" s="2696"/>
      <c r="AK63" s="2697"/>
      <c r="AL63" s="2785"/>
      <c r="AM63" s="2786"/>
      <c r="AN63" s="32"/>
      <c r="AQ63" s="637"/>
      <c r="AR63" s="2459"/>
      <c r="AS63" s="2460"/>
      <c r="AT63" s="2460"/>
      <c r="AU63" s="2460"/>
      <c r="AV63" s="2752"/>
      <c r="AW63" s="2753"/>
      <c r="AX63" s="2753"/>
      <c r="AY63" s="2753"/>
      <c r="AZ63" s="2754"/>
      <c r="BA63" s="2200"/>
      <c r="BB63" s="956" t="b">
        <f t="shared" ca="1" si="12"/>
        <v>0</v>
      </c>
    </row>
    <row r="64" spans="2:54" ht="13.5" customHeight="1">
      <c r="B64" s="2566"/>
      <c r="C64" s="2565"/>
      <c r="D64" s="2445"/>
      <c r="E64" s="2500"/>
      <c r="F64" s="124" t="s">
        <v>1013</v>
      </c>
      <c r="G64" s="77"/>
      <c r="H64" s="77"/>
      <c r="I64" s="77"/>
      <c r="J64" s="77"/>
      <c r="K64" s="77"/>
      <c r="L64" s="77"/>
      <c r="M64" s="77"/>
      <c r="N64" s="77"/>
      <c r="O64" s="77"/>
      <c r="P64" s="77"/>
      <c r="Q64" s="78"/>
      <c r="R64" s="2209">
        <v>20270</v>
      </c>
      <c r="S64" s="2210"/>
      <c r="T64" s="2210"/>
      <c r="U64" s="2211"/>
      <c r="V64" s="2203">
        <f ca="1">SUMIF(見積拾!C$7:D$27,F64,見積拾!T$7:T$27)</f>
        <v>0</v>
      </c>
      <c r="W64" s="2204"/>
      <c r="X64" s="2204"/>
      <c r="Y64" s="2204"/>
      <c r="Z64" s="2210" t="s">
        <v>1012</v>
      </c>
      <c r="AA64" s="2211"/>
      <c r="AB64" s="2209">
        <f t="shared" ca="1" si="11"/>
        <v>0</v>
      </c>
      <c r="AC64" s="2210"/>
      <c r="AD64" s="2210"/>
      <c r="AE64" s="2211"/>
      <c r="AF64" s="2448"/>
      <c r="AG64" s="2449"/>
      <c r="AH64" s="2449"/>
      <c r="AI64" s="2640"/>
      <c r="AJ64" s="2696"/>
      <c r="AK64" s="2697"/>
      <c r="AL64" s="2785"/>
      <c r="AM64" s="2786"/>
      <c r="AN64" s="32"/>
      <c r="AQ64" s="637"/>
      <c r="AR64" s="2459"/>
      <c r="AS64" s="2460"/>
      <c r="AT64" s="2460"/>
      <c r="AU64" s="2460"/>
      <c r="AV64" s="2752"/>
      <c r="AW64" s="2753"/>
      <c r="AX64" s="2753"/>
      <c r="AY64" s="2753"/>
      <c r="AZ64" s="2754"/>
      <c r="BA64" s="2200"/>
      <c r="BB64" s="956" t="b">
        <f t="shared" ca="1" si="12"/>
        <v>0</v>
      </c>
    </row>
    <row r="65" spans="2:54" ht="13.5" customHeight="1">
      <c r="B65" s="2566"/>
      <c r="C65" s="2565"/>
      <c r="D65" s="2445"/>
      <c r="E65" s="2500"/>
      <c r="F65" s="124" t="s">
        <v>1014</v>
      </c>
      <c r="G65" s="77"/>
      <c r="H65" s="77"/>
      <c r="I65" s="77"/>
      <c r="J65" s="77"/>
      <c r="K65" s="77"/>
      <c r="L65" s="77"/>
      <c r="M65" s="77"/>
      <c r="N65" s="77"/>
      <c r="O65" s="77"/>
      <c r="P65" s="77"/>
      <c r="Q65" s="78"/>
      <c r="R65" s="2209">
        <v>20650</v>
      </c>
      <c r="S65" s="2210"/>
      <c r="T65" s="2210"/>
      <c r="U65" s="2211"/>
      <c r="V65" s="2203">
        <f ca="1">SUMIF(見積拾!C$7:D$27,F65,見積拾!T$7:T$27)</f>
        <v>0</v>
      </c>
      <c r="W65" s="2204"/>
      <c r="X65" s="2204"/>
      <c r="Y65" s="2204"/>
      <c r="Z65" s="2210" t="s">
        <v>1012</v>
      </c>
      <c r="AA65" s="2211"/>
      <c r="AB65" s="2209">
        <f t="shared" ca="1" si="11"/>
        <v>0</v>
      </c>
      <c r="AC65" s="2210"/>
      <c r="AD65" s="2210"/>
      <c r="AE65" s="2211"/>
      <c r="AF65" s="2448"/>
      <c r="AG65" s="2449"/>
      <c r="AH65" s="2449"/>
      <c r="AI65" s="2640"/>
      <c r="AJ65" s="2696"/>
      <c r="AK65" s="2697"/>
      <c r="AL65" s="2785"/>
      <c r="AM65" s="2786"/>
      <c r="AN65" s="32"/>
      <c r="AQ65" s="637"/>
      <c r="AR65" s="2459"/>
      <c r="AS65" s="2460"/>
      <c r="AT65" s="2460"/>
      <c r="AU65" s="2460"/>
      <c r="AV65" s="2752"/>
      <c r="AW65" s="2753"/>
      <c r="AX65" s="2753"/>
      <c r="AY65" s="2753"/>
      <c r="AZ65" s="2754"/>
      <c r="BA65" s="2200"/>
      <c r="BB65" s="956" t="b">
        <f t="shared" ca="1" si="12"/>
        <v>0</v>
      </c>
    </row>
    <row r="66" spans="2:54" ht="13.5" customHeight="1">
      <c r="B66" s="2566"/>
      <c r="C66" s="2565"/>
      <c r="D66" s="2445"/>
      <c r="E66" s="2500"/>
      <c r="F66" s="124" t="s">
        <v>1015</v>
      </c>
      <c r="G66" s="77"/>
      <c r="H66" s="77"/>
      <c r="I66" s="77"/>
      <c r="J66" s="77"/>
      <c r="K66" s="77"/>
      <c r="L66" s="77"/>
      <c r="M66" s="77"/>
      <c r="N66" s="77"/>
      <c r="O66" s="77"/>
      <c r="P66" s="77"/>
      <c r="Q66" s="78"/>
      <c r="R66" s="2209">
        <v>49520</v>
      </c>
      <c r="S66" s="2210"/>
      <c r="T66" s="2210"/>
      <c r="U66" s="2211"/>
      <c r="V66" s="2203">
        <f ca="1">SUMIF(見積拾!C$7:D$27,F66,見積拾!T$7:T$27)</f>
        <v>0</v>
      </c>
      <c r="W66" s="2204"/>
      <c r="X66" s="2204"/>
      <c r="Y66" s="2204"/>
      <c r="Z66" s="2210" t="s">
        <v>1012</v>
      </c>
      <c r="AA66" s="2211"/>
      <c r="AB66" s="2209">
        <f t="shared" ca="1" si="11"/>
        <v>0</v>
      </c>
      <c r="AC66" s="2210"/>
      <c r="AD66" s="2210"/>
      <c r="AE66" s="2211"/>
      <c r="AF66" s="2448"/>
      <c r="AG66" s="2449"/>
      <c r="AH66" s="2449"/>
      <c r="AI66" s="2640"/>
      <c r="AJ66" s="2696"/>
      <c r="AK66" s="2697"/>
      <c r="AL66" s="2785"/>
      <c r="AM66" s="2786"/>
      <c r="AN66" s="32"/>
      <c r="AQ66" s="637"/>
      <c r="AR66" s="2459"/>
      <c r="AS66" s="2460"/>
      <c r="AT66" s="2460"/>
      <c r="AU66" s="2460"/>
      <c r="AV66" s="2752"/>
      <c r="AW66" s="2753"/>
      <c r="AX66" s="2753"/>
      <c r="AY66" s="2753"/>
      <c r="AZ66" s="2754"/>
      <c r="BA66" s="2200"/>
      <c r="BB66" s="956" t="b">
        <f t="shared" ca="1" si="12"/>
        <v>0</v>
      </c>
    </row>
    <row r="67" spans="2:54" ht="13.5" customHeight="1">
      <c r="B67" s="2566"/>
      <c r="C67" s="2565"/>
      <c r="D67" s="2445"/>
      <c r="E67" s="2500"/>
      <c r="F67" s="124" t="s">
        <v>1016</v>
      </c>
      <c r="G67" s="77"/>
      <c r="H67" s="77"/>
      <c r="I67" s="77"/>
      <c r="J67" s="77"/>
      <c r="K67" s="77"/>
      <c r="L67" s="503"/>
      <c r="M67" s="77"/>
      <c r="N67" s="77"/>
      <c r="O67" s="77"/>
      <c r="P67" s="77"/>
      <c r="Q67" s="78"/>
      <c r="R67" s="2209">
        <v>850</v>
      </c>
      <c r="S67" s="2210"/>
      <c r="T67" s="2210"/>
      <c r="U67" s="2211"/>
      <c r="V67" s="2203">
        <f ca="1">SUMIF(見積拾!C$7:D$27,F67,見積拾!T$7:T$27)</f>
        <v>0</v>
      </c>
      <c r="W67" s="2204"/>
      <c r="X67" s="2204"/>
      <c r="Y67" s="2204"/>
      <c r="Z67" s="2210" t="s">
        <v>724</v>
      </c>
      <c r="AA67" s="2211"/>
      <c r="AB67" s="2209">
        <f t="shared" ca="1" si="11"/>
        <v>0</v>
      </c>
      <c r="AC67" s="2210"/>
      <c r="AD67" s="2210"/>
      <c r="AE67" s="2211"/>
      <c r="AF67" s="2448"/>
      <c r="AG67" s="2449"/>
      <c r="AH67" s="2449"/>
      <c r="AI67" s="2640"/>
      <c r="AJ67" s="2696"/>
      <c r="AK67" s="2697"/>
      <c r="AL67" s="2785"/>
      <c r="AM67" s="2786"/>
      <c r="AN67" s="32"/>
      <c r="AQ67" s="637"/>
      <c r="AR67" s="2459"/>
      <c r="AS67" s="2460"/>
      <c r="AT67" s="2460"/>
      <c r="AU67" s="2460"/>
      <c r="AV67" s="2752"/>
      <c r="AW67" s="2753"/>
      <c r="AX67" s="2753"/>
      <c r="AY67" s="2753"/>
      <c r="AZ67" s="2754"/>
      <c r="BA67" s="2200"/>
      <c r="BB67" s="956" t="b">
        <f t="shared" ca="1" si="12"/>
        <v>0</v>
      </c>
    </row>
    <row r="68" spans="2:54" ht="13.5" customHeight="1">
      <c r="B68" s="2566"/>
      <c r="C68" s="2565"/>
      <c r="D68" s="2445"/>
      <c r="E68" s="2500"/>
      <c r="F68" s="792"/>
      <c r="G68" s="952"/>
      <c r="H68" s="952"/>
      <c r="I68" s="952"/>
      <c r="J68" s="95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2"/>
      <c r="AI68" s="952"/>
      <c r="AJ68" s="15" t="e">
        <f>VLOOKUP($AD$7,主体明確補正,IF($AM$6="SRC",2,26),0)</f>
        <v>#N/A</v>
      </c>
      <c r="AK68" s="16"/>
      <c r="AL68" s="17" t="e">
        <f>VLOOKUP($AD$7,主体明確補正,IF($AM$6="SRC",3,27),0)</f>
        <v>#N/A</v>
      </c>
      <c r="AM68" s="14"/>
      <c r="AN68" s="952"/>
      <c r="AO68" s="952"/>
      <c r="AP68" s="952"/>
      <c r="AQ68" s="952"/>
      <c r="AR68" s="952"/>
      <c r="AS68" s="952"/>
      <c r="AT68" s="952"/>
      <c r="AU68" s="952"/>
      <c r="AV68" s="952"/>
      <c r="AW68" s="952"/>
      <c r="AX68" s="952"/>
      <c r="AY68" s="952"/>
      <c r="AZ68" s="793"/>
      <c r="BA68" s="2200"/>
      <c r="BB68" s="956" t="b">
        <f ca="1">BB$57</f>
        <v>0</v>
      </c>
    </row>
    <row r="69" spans="2:54" ht="13.5" customHeight="1">
      <c r="B69" s="2566"/>
      <c r="C69" s="2565"/>
      <c r="D69" s="2445"/>
      <c r="E69" s="2500"/>
      <c r="F69" s="32"/>
      <c r="AJ69" s="24" t="e">
        <f>VLOOKUP($AD$7,主体明確補正,IF($AM$6="SRC",4,28),0)</f>
        <v>#N/A</v>
      </c>
      <c r="AK69" s="21"/>
      <c r="AL69" s="25" t="e">
        <f>VLOOKUP($AD$7,主体明確補正,IF($AM$6="SRC",5,29),0)</f>
        <v>#N/A</v>
      </c>
      <c r="AM69" s="23"/>
      <c r="AZ69" s="637"/>
      <c r="BA69" s="2200"/>
      <c r="BB69" s="956" t="b">
        <f ca="1">BB$57</f>
        <v>0</v>
      </c>
    </row>
    <row r="70" spans="2:54" ht="13.5" customHeight="1">
      <c r="B70" s="2566"/>
      <c r="C70" s="2565"/>
      <c r="D70" s="2445"/>
      <c r="E70" s="2500"/>
      <c r="F70" s="32"/>
      <c r="AJ70" s="26" t="e">
        <f>VLOOKUP($AD$7,主体明確補正,IF($AM$6="SRC",6,30),0)</f>
        <v>#N/A</v>
      </c>
      <c r="AK70" s="27"/>
      <c r="AL70" s="28" t="e">
        <f>VLOOKUP($AD$7,主体明確補正,IF($AM$6="SRC",7,31),0)</f>
        <v>#N/A</v>
      </c>
      <c r="AM70" s="29"/>
      <c r="AZ70" s="637"/>
      <c r="BA70" s="2200"/>
      <c r="BB70" s="956" t="b">
        <f ca="1">BB$57</f>
        <v>0</v>
      </c>
    </row>
    <row r="71" spans="2:54" ht="13.5" customHeight="1">
      <c r="B71" s="2566"/>
      <c r="C71" s="2565"/>
      <c r="D71" s="2501"/>
      <c r="E71" s="2502"/>
      <c r="F71" s="925"/>
      <c r="G71" s="750"/>
      <c r="H71" s="750"/>
      <c r="I71" s="750"/>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0"/>
      <c r="AH71" s="750"/>
      <c r="AI71" s="750"/>
      <c r="AJ71" s="985"/>
      <c r="AK71" s="985"/>
      <c r="AL71" s="986"/>
      <c r="AM71" s="986"/>
      <c r="AN71" s="750"/>
      <c r="AO71" s="750"/>
      <c r="AP71" s="750"/>
      <c r="AQ71" s="750"/>
      <c r="AR71" s="750"/>
      <c r="AS71" s="750"/>
      <c r="AT71" s="750"/>
      <c r="AU71" s="750"/>
      <c r="AV71" s="750"/>
      <c r="AW71" s="750"/>
      <c r="AX71" s="750"/>
      <c r="AY71" s="750"/>
      <c r="AZ71" s="751"/>
      <c r="BA71" s="2200"/>
      <c r="BB71" s="956" t="b">
        <f ca="1">BB$57</f>
        <v>0</v>
      </c>
    </row>
    <row r="72" spans="2:54" ht="13.5" customHeight="1">
      <c r="B72" s="2566"/>
      <c r="C72" s="2565"/>
      <c r="D72" s="2548"/>
      <c r="E72" s="2549"/>
      <c r="F72" s="1557" t="s">
        <v>663</v>
      </c>
      <c r="G72" s="1557"/>
      <c r="H72" s="1557"/>
      <c r="I72" s="1557"/>
      <c r="J72" s="1557"/>
      <c r="K72" s="1557"/>
      <c r="L72" s="1557"/>
      <c r="M72" s="1557"/>
      <c r="N72" s="1557"/>
      <c r="O72" s="1557"/>
      <c r="P72" s="1562"/>
      <c r="Q72" s="1557"/>
      <c r="R72" s="1563" t="s">
        <v>664</v>
      </c>
      <c r="S72" s="1557"/>
      <c r="T72" s="1557"/>
      <c r="U72" s="1557"/>
      <c r="V72" s="1563" t="s">
        <v>665</v>
      </c>
      <c r="W72" s="1557"/>
      <c r="X72" s="1557"/>
      <c r="Y72" s="1557"/>
      <c r="Z72" s="1562"/>
      <c r="AA72" s="1562"/>
      <c r="AB72" s="1561" t="s">
        <v>678</v>
      </c>
      <c r="AC72" s="1561"/>
      <c r="AD72" s="1561"/>
      <c r="AE72" s="1561"/>
      <c r="AF72" s="1563" t="s">
        <v>666</v>
      </c>
      <c r="AG72" s="1557"/>
      <c r="AH72" s="1557"/>
      <c r="AI72" s="1562"/>
      <c r="AJ72" s="1563" t="s">
        <v>1273</v>
      </c>
      <c r="AK72" s="1557"/>
      <c r="AL72" s="1557"/>
      <c r="AM72" s="1562"/>
      <c r="AN72" s="1563" t="s">
        <v>1274</v>
      </c>
      <c r="AO72" s="1557"/>
      <c r="AP72" s="1557"/>
      <c r="AQ72" s="1562"/>
      <c r="AR72" s="1561" t="s">
        <v>669</v>
      </c>
      <c r="AS72" s="1563"/>
      <c r="AT72" s="1563"/>
      <c r="AU72" s="1557"/>
      <c r="AV72" s="1569" t="s">
        <v>1272</v>
      </c>
      <c r="AW72" s="1570"/>
      <c r="AX72" s="1570"/>
      <c r="AY72" s="1571"/>
      <c r="AZ72" s="1572"/>
      <c r="BA72" s="2200"/>
      <c r="BB72" s="956" t="b">
        <f ca="1">+$V$73&lt;&gt;0</f>
        <v>0</v>
      </c>
    </row>
    <row r="73" spans="2:54" ht="13.5" customHeight="1">
      <c r="B73" s="2566"/>
      <c r="C73" s="2565"/>
      <c r="D73" s="2443" t="s">
        <v>1276</v>
      </c>
      <c r="E73" s="2500"/>
      <c r="F73" s="987" t="s">
        <v>1010</v>
      </c>
      <c r="G73" s="988"/>
      <c r="H73" s="988"/>
      <c r="I73" s="988"/>
      <c r="J73" s="988"/>
      <c r="K73" s="988"/>
      <c r="L73" s="988"/>
      <c r="M73" s="988"/>
      <c r="N73" s="988"/>
      <c r="O73" s="988"/>
      <c r="P73" s="988"/>
      <c r="Q73" s="989"/>
      <c r="R73" s="2485">
        <v>13180</v>
      </c>
      <c r="S73" s="2486"/>
      <c r="T73" s="2486"/>
      <c r="U73" s="2487"/>
      <c r="V73" s="2543">
        <f ca="1">SUMIF(見積拾!C$7:D$27,F73,見積拾!T$7:T$27)</f>
        <v>0</v>
      </c>
      <c r="W73" s="2544"/>
      <c r="X73" s="2544"/>
      <c r="Y73" s="2544"/>
      <c r="Z73" s="2486" t="s">
        <v>1017</v>
      </c>
      <c r="AA73" s="2487"/>
      <c r="AB73" s="2485">
        <f t="shared" ref="AB73" ca="1" si="15">INT(R73*V73)</f>
        <v>0</v>
      </c>
      <c r="AC73" s="2486"/>
      <c r="AD73" s="2486"/>
      <c r="AE73" s="2487"/>
      <c r="AF73" s="2654">
        <f ca="1">+AB73</f>
        <v>0</v>
      </c>
      <c r="AG73" s="2654"/>
      <c r="AH73" s="2654"/>
      <c r="AI73" s="2654"/>
      <c r="AJ73" s="1698"/>
      <c r="AK73" s="1699"/>
      <c r="AL73" s="715" t="e">
        <f>+ROUNDDOWN(MAX(AL75,AL75+(AL74-AL75)*(AJ73-AJ75)/(AJ74-AJ75)),2)</f>
        <v>#N/A</v>
      </c>
      <c r="AM73" s="982"/>
      <c r="AN73" s="2654"/>
      <c r="AO73" s="2654"/>
      <c r="AP73" s="2654"/>
      <c r="AQ73" s="2654"/>
      <c r="AR73" s="2783">
        <f ca="1">+IF(AF73=0,0,ROUNDDOWN(AL73,2))</f>
        <v>0</v>
      </c>
      <c r="AS73" s="2783"/>
      <c r="AT73" s="2783"/>
      <c r="AU73" s="2783"/>
      <c r="AV73" s="2784">
        <f ca="1">+INT(AF73*AR73)</f>
        <v>0</v>
      </c>
      <c r="AW73" s="2784"/>
      <c r="AX73" s="2784"/>
      <c r="AY73" s="2784"/>
      <c r="AZ73" s="2784"/>
      <c r="BA73" s="2200"/>
      <c r="BB73" s="956" t="b">
        <f ca="1">+$BB$72</f>
        <v>0</v>
      </c>
    </row>
    <row r="74" spans="2:54" ht="13.5" customHeight="1">
      <c r="B74" s="2566"/>
      <c r="C74" s="2565"/>
      <c r="D74" s="2445"/>
      <c r="E74" s="2500"/>
      <c r="F74" s="189"/>
      <c r="G74" s="9"/>
      <c r="H74" s="9"/>
      <c r="I74" s="9"/>
      <c r="J74" s="9"/>
      <c r="K74" s="9"/>
      <c r="L74" s="9"/>
      <c r="M74" s="9"/>
      <c r="N74" s="9"/>
      <c r="O74" s="9"/>
      <c r="P74" s="9"/>
      <c r="Q74" s="9"/>
      <c r="R74" s="9"/>
      <c r="S74" s="9"/>
      <c r="T74" s="9"/>
      <c r="U74" s="9"/>
      <c r="V74" s="2"/>
      <c r="W74" s="2"/>
      <c r="X74" s="2"/>
      <c r="Y74" s="2"/>
      <c r="Z74" s="9"/>
      <c r="AA74" s="9"/>
      <c r="AB74" s="9"/>
      <c r="AC74" s="9"/>
      <c r="AD74" s="9"/>
      <c r="AE74" s="9"/>
      <c r="AJ74" s="990" t="e">
        <f>VLOOKUP($AD$7,主体明確補正,42,0)</f>
        <v>#N/A</v>
      </c>
      <c r="AK74" s="991"/>
      <c r="AL74" s="716" t="e">
        <f>VLOOKUP($AD$7,主体明確補正,43,0)</f>
        <v>#N/A</v>
      </c>
      <c r="AM74" s="992"/>
      <c r="AR74" s="714"/>
      <c r="AS74" s="714"/>
      <c r="AT74" s="714"/>
      <c r="AU74" s="714"/>
      <c r="AZ74" s="637"/>
      <c r="BA74" s="2200"/>
      <c r="BB74" s="956" t="b">
        <f t="shared" ref="BB74:BB76" ca="1" si="16">+$BB$72</f>
        <v>0</v>
      </c>
    </row>
    <row r="75" spans="2:54" ht="13.5" customHeight="1">
      <c r="B75" s="2566"/>
      <c r="C75" s="2565"/>
      <c r="D75" s="2445"/>
      <c r="E75" s="2500"/>
      <c r="F75" s="32"/>
      <c r="AJ75" s="990" t="e">
        <f>VLOOKUP($AD$7,主体明確補正,44,0)</f>
        <v>#N/A</v>
      </c>
      <c r="AK75" s="991"/>
      <c r="AL75" s="716" t="e">
        <f>VLOOKUP($AD$7,主体明確補正,45,0)</f>
        <v>#N/A</v>
      </c>
      <c r="AM75" s="992"/>
      <c r="AZ75" s="637"/>
      <c r="BA75" s="2200"/>
      <c r="BB75" s="956" t="b">
        <f t="shared" ca="1" si="16"/>
        <v>0</v>
      </c>
    </row>
    <row r="76" spans="2:54" ht="11.5" thickBot="1">
      <c r="B76" s="2566"/>
      <c r="C76" s="2565"/>
      <c r="D76" s="2446"/>
      <c r="E76" s="2447"/>
      <c r="F76" s="925"/>
      <c r="G76" s="750"/>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0"/>
      <c r="AK76" s="750"/>
      <c r="AL76" s="750"/>
      <c r="AM76" s="750"/>
      <c r="AN76" s="750"/>
      <c r="AO76" s="750"/>
      <c r="AZ76" s="637"/>
      <c r="BA76" s="2200"/>
      <c r="BB76" s="956" t="b">
        <f t="shared" ca="1" si="16"/>
        <v>0</v>
      </c>
    </row>
    <row r="77" spans="2:54" ht="13.5" customHeight="1" thickBot="1">
      <c r="B77" s="2567"/>
      <c r="C77" s="2568"/>
      <c r="D77" s="1573"/>
      <c r="E77" s="1574"/>
      <c r="F77" s="1575"/>
      <c r="G77" s="1575"/>
      <c r="H77" s="1575"/>
      <c r="I77" s="1575"/>
      <c r="J77" s="1575"/>
      <c r="K77" s="1575"/>
      <c r="L77" s="1575"/>
      <c r="M77" s="1575"/>
      <c r="N77" s="1575"/>
      <c r="O77" s="1575"/>
      <c r="P77" s="1575"/>
      <c r="Q77" s="1575"/>
      <c r="R77" s="1575"/>
      <c r="S77" s="1575"/>
      <c r="T77" s="1575"/>
      <c r="U77" s="1575"/>
      <c r="V77" s="1575"/>
      <c r="W77" s="1575"/>
      <c r="X77" s="1575"/>
      <c r="Y77" s="1575"/>
      <c r="Z77" s="1575"/>
      <c r="AA77" s="1575"/>
      <c r="AB77" s="1575"/>
      <c r="AC77" s="1575"/>
      <c r="AD77" s="1575"/>
      <c r="AE77" s="1575"/>
      <c r="AF77" s="1575"/>
      <c r="AG77" s="1575"/>
      <c r="AH77" s="1575"/>
      <c r="AI77" s="1575"/>
      <c r="AJ77" s="1575"/>
      <c r="AK77" s="1575"/>
      <c r="AL77" s="1575"/>
      <c r="AM77" s="1575"/>
      <c r="AN77" s="2143"/>
      <c r="AO77" s="2144"/>
      <c r="AP77" s="1576" t="s">
        <v>681</v>
      </c>
      <c r="AQ77" s="1577"/>
      <c r="AR77" s="1577"/>
      <c r="AS77" s="1577"/>
      <c r="AT77" s="1577"/>
      <c r="AU77" s="1577"/>
      <c r="AV77" s="2376">
        <f ca="1">SUM(AV18:AZ76)</f>
        <v>0</v>
      </c>
      <c r="AW77" s="2377"/>
      <c r="AX77" s="2377"/>
      <c r="AY77" s="2377"/>
      <c r="AZ77" s="2378"/>
      <c r="BA77" s="2200"/>
      <c r="BB77" s="956" t="b">
        <f ca="1">AV$77&lt;&gt;0</f>
        <v>0</v>
      </c>
    </row>
    <row r="78" spans="2:54" ht="13.5" customHeight="1">
      <c r="BA78" s="2200"/>
      <c r="BB78" s="956" t="b">
        <v>0</v>
      </c>
    </row>
    <row r="79" spans="2:54" ht="13.5" customHeight="1">
      <c r="BA79" s="2200"/>
      <c r="BB79" s="956" t="b">
        <v>0</v>
      </c>
    </row>
    <row r="80" spans="2:54" ht="13.5" customHeight="1">
      <c r="B80" s="1523"/>
      <c r="C80" s="2089" t="s">
        <v>5693</v>
      </c>
      <c r="D80" s="2090"/>
      <c r="E80" s="2090"/>
      <c r="F80" s="2090"/>
      <c r="G80" s="2090"/>
      <c r="H80" s="2090"/>
      <c r="I80" s="2090"/>
      <c r="J80" s="2090"/>
      <c r="K80" s="2091"/>
      <c r="L80" s="2091"/>
      <c r="M80" s="2091"/>
      <c r="BA80" s="2200"/>
      <c r="BB80" s="956" t="b">
        <v>0</v>
      </c>
    </row>
    <row r="81" spans="2:54" ht="13.5" customHeight="1" thickBot="1">
      <c r="BA81" s="2200"/>
      <c r="BB81" s="956" t="b">
        <f>COUNTA(F83,H97,L97,P97,T97,X97,AB97,AF104,AJ97,AR97,AV97)&lt;&gt;0</f>
        <v>0</v>
      </c>
    </row>
    <row r="82" spans="2:54" ht="13.5" customHeight="1">
      <c r="B82" s="1578"/>
      <c r="C82" s="1579"/>
      <c r="D82" s="1579"/>
      <c r="E82" s="1580"/>
      <c r="F82" s="1581" t="s">
        <v>663</v>
      </c>
      <c r="G82" s="1582"/>
      <c r="H82" s="1582"/>
      <c r="I82" s="1582"/>
      <c r="J82" s="1582"/>
      <c r="K82" s="1582"/>
      <c r="L82" s="1582"/>
      <c r="M82" s="1582"/>
      <c r="N82" s="1582"/>
      <c r="O82" s="1582"/>
      <c r="P82" s="1583"/>
      <c r="Q82" s="1583"/>
      <c r="R82" s="1549" t="s">
        <v>664</v>
      </c>
      <c r="S82" s="1547"/>
      <c r="T82" s="1547"/>
      <c r="U82" s="1548"/>
      <c r="V82" s="1547" t="s">
        <v>682</v>
      </c>
      <c r="W82" s="1547"/>
      <c r="X82" s="1547"/>
      <c r="Y82" s="1547"/>
      <c r="Z82" s="1547"/>
      <c r="AA82" s="1547"/>
      <c r="AB82" s="1547"/>
      <c r="AC82" s="1547"/>
      <c r="AD82" s="1547"/>
      <c r="AE82" s="1547"/>
      <c r="AF82" s="1547"/>
      <c r="AG82" s="1547"/>
      <c r="AH82" s="1547"/>
      <c r="AI82" s="1547"/>
      <c r="AJ82" s="1550" t="s">
        <v>669</v>
      </c>
      <c r="AK82" s="1550"/>
      <c r="AL82" s="1550"/>
      <c r="AM82" s="1550"/>
      <c r="AN82" s="1550" t="s">
        <v>683</v>
      </c>
      <c r="AO82" s="1550"/>
      <c r="AP82" s="1550"/>
      <c r="AQ82" s="1550"/>
      <c r="AR82" s="1550" t="s">
        <v>640</v>
      </c>
      <c r="AS82" s="1549"/>
      <c r="AT82" s="1549"/>
      <c r="AU82" s="1584"/>
      <c r="AV82" s="1585" t="s">
        <v>684</v>
      </c>
      <c r="AW82" s="1586"/>
      <c r="AX82" s="1586"/>
      <c r="AY82" s="1587"/>
      <c r="AZ82" s="1588"/>
      <c r="BA82" s="2200"/>
      <c r="BB82" s="956" t="b">
        <f>BB$81</f>
        <v>0</v>
      </c>
    </row>
    <row r="83" spans="2:54" ht="13.5" customHeight="1">
      <c r="B83" s="2564" t="s">
        <v>1482</v>
      </c>
      <c r="C83" s="2878"/>
      <c r="D83" s="2878"/>
      <c r="E83" s="2879"/>
      <c r="F83" s="2556"/>
      <c r="G83" s="2557"/>
      <c r="H83" s="2557"/>
      <c r="I83" s="2557"/>
      <c r="J83" s="2557"/>
      <c r="K83" s="2557"/>
      <c r="L83" s="2557"/>
      <c r="M83" s="2557"/>
      <c r="N83" s="2557"/>
      <c r="O83" s="2557"/>
      <c r="P83" s="2557"/>
      <c r="Q83" s="2558"/>
      <c r="R83" s="2418">
        <f ca="1">IF(F83="",0,OFFSET(H86,MATCH(F83,H87:H94,0),MATCH(AD7,I86:AQ86,0)))</f>
        <v>0</v>
      </c>
      <c r="S83" s="2419"/>
      <c r="T83" s="2419"/>
      <c r="U83" s="2420"/>
      <c r="V83" s="9"/>
      <c r="W83" s="9"/>
      <c r="X83" s="9"/>
      <c r="Y83" s="9"/>
      <c r="Z83" s="9"/>
      <c r="AA83" s="9"/>
      <c r="AB83" s="9"/>
      <c r="AC83" s="9"/>
      <c r="AD83" s="9"/>
      <c r="AE83" s="9"/>
      <c r="AF83" s="9"/>
      <c r="AG83" s="9"/>
      <c r="AH83" s="9"/>
      <c r="AI83" s="9"/>
      <c r="AJ83" s="2513">
        <f>ROUNDDOWN(IF(ISERROR(PRODUCT(H98:AY98)),0,PRODUCT(H98:AY98)),2)</f>
        <v>0</v>
      </c>
      <c r="AK83" s="2514"/>
      <c r="AL83" s="2514"/>
      <c r="AM83" s="2515"/>
      <c r="AN83" s="2418">
        <f ca="1">INT(R83*AJ83)</f>
        <v>0</v>
      </c>
      <c r="AO83" s="2419"/>
      <c r="AP83" s="2419"/>
      <c r="AQ83" s="2420"/>
      <c r="AR83" s="2513">
        <f>$E$10</f>
        <v>0</v>
      </c>
      <c r="AS83" s="2514"/>
      <c r="AT83" s="2514"/>
      <c r="AU83" s="2800"/>
      <c r="AV83" s="2793">
        <f ca="1">INT(AN83*AR83)</f>
        <v>0</v>
      </c>
      <c r="AW83" s="2794"/>
      <c r="AX83" s="2794"/>
      <c r="AY83" s="2794"/>
      <c r="AZ83" s="2795"/>
      <c r="BA83" s="2200"/>
      <c r="BB83" s="956" t="b">
        <f>BB$81</f>
        <v>0</v>
      </c>
    </row>
    <row r="84" spans="2:54" ht="13.5" customHeight="1" thickBot="1">
      <c r="B84" s="2566"/>
      <c r="C84" s="2878"/>
      <c r="D84" s="2878"/>
      <c r="E84" s="2879"/>
      <c r="F84" s="2559"/>
      <c r="G84" s="2560"/>
      <c r="H84" s="2560"/>
      <c r="I84" s="2560"/>
      <c r="J84" s="2560"/>
      <c r="K84" s="2560"/>
      <c r="L84" s="2560"/>
      <c r="M84" s="2560"/>
      <c r="N84" s="2560"/>
      <c r="O84" s="2560"/>
      <c r="P84" s="2560"/>
      <c r="Q84" s="2561"/>
      <c r="R84" s="2421"/>
      <c r="S84" s="2422"/>
      <c r="T84" s="2422"/>
      <c r="U84" s="2423"/>
      <c r="V84" s="44"/>
      <c r="W84" s="44"/>
      <c r="X84" s="44"/>
      <c r="Y84" s="44"/>
      <c r="Z84" s="44"/>
      <c r="AA84" s="44"/>
      <c r="AB84" s="44"/>
      <c r="AC84" s="44"/>
      <c r="AD84" s="44"/>
      <c r="AE84" s="44"/>
      <c r="AF84" s="44"/>
      <c r="AG84" s="44"/>
      <c r="AH84" s="44"/>
      <c r="AI84" s="44"/>
      <c r="AJ84" s="2470"/>
      <c r="AK84" s="2471"/>
      <c r="AL84" s="2471"/>
      <c r="AM84" s="2516"/>
      <c r="AN84" s="2421"/>
      <c r="AO84" s="2422"/>
      <c r="AP84" s="2422"/>
      <c r="AQ84" s="2423"/>
      <c r="AR84" s="2470"/>
      <c r="AS84" s="2471"/>
      <c r="AT84" s="2471"/>
      <c r="AU84" s="2801"/>
      <c r="AV84" s="2796"/>
      <c r="AW84" s="2797"/>
      <c r="AX84" s="2797"/>
      <c r="AY84" s="2797"/>
      <c r="AZ84" s="2798"/>
      <c r="BA84" s="2200"/>
      <c r="BB84" s="956" t="b">
        <f>BB$81</f>
        <v>0</v>
      </c>
    </row>
    <row r="85" spans="2:54" ht="13.5" customHeight="1">
      <c r="B85" s="2566"/>
      <c r="C85" s="2878"/>
      <c r="D85" s="2878"/>
      <c r="E85" s="287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2"/>
      <c r="AK85" s="2"/>
      <c r="AL85" s="2"/>
      <c r="AM85" s="2"/>
      <c r="AN85" s="9"/>
      <c r="AO85" s="9"/>
      <c r="AP85" s="9"/>
      <c r="AQ85" s="9"/>
      <c r="AR85" s="2"/>
      <c r="AS85" s="2"/>
      <c r="AT85" s="2"/>
      <c r="AU85" s="2"/>
      <c r="AV85" s="9"/>
      <c r="AW85" s="9"/>
      <c r="AX85" s="9"/>
      <c r="AY85" s="9"/>
      <c r="AZ85" s="45"/>
      <c r="BA85" s="2200"/>
      <c r="BB85" s="956" t="b">
        <v>0</v>
      </c>
    </row>
    <row r="86" spans="2:54" ht="13.5" customHeight="1">
      <c r="B86" s="2566"/>
      <c r="C86" s="2878"/>
      <c r="D86" s="2878"/>
      <c r="E86" s="2879"/>
      <c r="F86" s="9"/>
      <c r="G86" s="9"/>
      <c r="H86" s="1549" t="s">
        <v>663</v>
      </c>
      <c r="I86" s="1547"/>
      <c r="J86" s="1547"/>
      <c r="K86" s="1547"/>
      <c r="L86" s="1547"/>
      <c r="M86" s="1547"/>
      <c r="N86" s="1547"/>
      <c r="O86" s="1547"/>
      <c r="P86" s="1547"/>
      <c r="Q86" s="1547"/>
      <c r="R86" s="1548"/>
      <c r="S86" s="1548"/>
      <c r="T86" s="1552" t="s">
        <v>5594</v>
      </c>
      <c r="U86" s="1589"/>
      <c r="V86" s="1589"/>
      <c r="W86" s="1590"/>
      <c r="X86" s="1551" t="s">
        <v>5649</v>
      </c>
      <c r="Y86" s="1589"/>
      <c r="Z86" s="1589"/>
      <c r="AA86" s="1589"/>
      <c r="AB86" s="1551" t="s">
        <v>5598</v>
      </c>
      <c r="AC86" s="1589"/>
      <c r="AD86" s="1589"/>
      <c r="AE86" s="1589"/>
      <c r="AF86" s="1551" t="s">
        <v>5690</v>
      </c>
      <c r="AG86" s="1589"/>
      <c r="AH86" s="1589"/>
      <c r="AI86" s="1589"/>
      <c r="AJ86" s="1551" t="s">
        <v>5599</v>
      </c>
      <c r="AK86" s="1589"/>
      <c r="AL86" s="1589"/>
      <c r="AM86" s="1590"/>
      <c r="AN86" s="1547" t="s">
        <v>5592</v>
      </c>
      <c r="AO86" s="1591"/>
      <c r="AP86" s="1591"/>
      <c r="AQ86" s="1592"/>
      <c r="AR86" s="2"/>
      <c r="AS86" s="2"/>
      <c r="AT86" s="2"/>
      <c r="AU86" s="2"/>
      <c r="AV86" s="753"/>
      <c r="AW86" s="1042"/>
      <c r="AX86" s="1042"/>
      <c r="AY86" s="1042"/>
      <c r="AZ86" s="10"/>
      <c r="BA86" s="2200"/>
      <c r="BB86" s="956" t="b">
        <v>0</v>
      </c>
    </row>
    <row r="87" spans="2:54" ht="13.5" customHeight="1">
      <c r="B87" s="2566"/>
      <c r="C87" s="2878"/>
      <c r="D87" s="2878"/>
      <c r="E87" s="2879"/>
      <c r="F87" s="32"/>
      <c r="H87" s="46" t="s">
        <v>695</v>
      </c>
      <c r="I87" s="47"/>
      <c r="J87" s="47"/>
      <c r="K87" s="47"/>
      <c r="L87" s="47"/>
      <c r="M87" s="47"/>
      <c r="N87" s="47"/>
      <c r="O87" s="47"/>
      <c r="P87" s="47"/>
      <c r="Q87" s="47"/>
      <c r="R87" s="47"/>
      <c r="S87" s="47"/>
      <c r="T87" s="2802">
        <v>16180</v>
      </c>
      <c r="U87" s="2803"/>
      <c r="V87" s="2803"/>
      <c r="W87" s="2804"/>
      <c r="X87" s="2802">
        <v>24270</v>
      </c>
      <c r="Y87" s="2803"/>
      <c r="Z87" s="2803"/>
      <c r="AA87" s="2804"/>
      <c r="AB87" s="2802">
        <v>22500</v>
      </c>
      <c r="AC87" s="2803"/>
      <c r="AD87" s="2803"/>
      <c r="AE87" s="2804"/>
      <c r="AF87" s="2802">
        <v>29330</v>
      </c>
      <c r="AG87" s="2803"/>
      <c r="AH87" s="2803"/>
      <c r="AI87" s="2804"/>
      <c r="AJ87" s="2802">
        <v>22760</v>
      </c>
      <c r="AK87" s="2803"/>
      <c r="AL87" s="2803"/>
      <c r="AM87" s="2804"/>
      <c r="AN87" s="2817">
        <v>236450</v>
      </c>
      <c r="AO87" s="2818"/>
      <c r="AP87" s="2818"/>
      <c r="AQ87" s="2819"/>
      <c r="AV87" s="2761"/>
      <c r="AW87" s="2761"/>
      <c r="AX87" s="2761"/>
      <c r="AY87" s="2761"/>
      <c r="AZ87" s="43"/>
      <c r="BA87" s="2200"/>
      <c r="BB87" s="956" t="b">
        <v>0</v>
      </c>
    </row>
    <row r="88" spans="2:54" ht="13.5" customHeight="1">
      <c r="B88" s="2566"/>
      <c r="C88" s="2878"/>
      <c r="D88" s="2878"/>
      <c r="E88" s="2879"/>
      <c r="F88" s="32"/>
      <c r="H88" s="48" t="s">
        <v>696</v>
      </c>
      <c r="I88" s="49"/>
      <c r="J88" s="49"/>
      <c r="K88" s="49"/>
      <c r="L88" s="49"/>
      <c r="M88" s="49"/>
      <c r="N88" s="49"/>
      <c r="O88" s="49"/>
      <c r="P88" s="49"/>
      <c r="Q88" s="49"/>
      <c r="R88" s="49"/>
      <c r="S88" s="49"/>
      <c r="T88" s="2490">
        <v>17380</v>
      </c>
      <c r="U88" s="2491"/>
      <c r="V88" s="2491"/>
      <c r="W88" s="2492"/>
      <c r="X88" s="2490">
        <v>26080</v>
      </c>
      <c r="Y88" s="2491"/>
      <c r="Z88" s="2491"/>
      <c r="AA88" s="2492"/>
      <c r="AB88" s="2490">
        <v>24180</v>
      </c>
      <c r="AC88" s="2491"/>
      <c r="AD88" s="2491"/>
      <c r="AE88" s="2492"/>
      <c r="AF88" s="2490">
        <v>31510</v>
      </c>
      <c r="AG88" s="2491"/>
      <c r="AH88" s="2491"/>
      <c r="AI88" s="2492"/>
      <c r="AJ88" s="2490">
        <v>24450</v>
      </c>
      <c r="AK88" s="2491"/>
      <c r="AL88" s="2491"/>
      <c r="AM88" s="2492"/>
      <c r="AN88" s="2642">
        <v>255260</v>
      </c>
      <c r="AO88" s="2643"/>
      <c r="AP88" s="2643"/>
      <c r="AQ88" s="2644"/>
      <c r="AV88" s="2761"/>
      <c r="AW88" s="2761"/>
      <c r="AX88" s="2761"/>
      <c r="AY88" s="2761"/>
      <c r="AZ88" s="43"/>
      <c r="BA88" s="2200"/>
      <c r="BB88" s="956" t="b">
        <v>0</v>
      </c>
    </row>
    <row r="89" spans="2:54" ht="13.5" customHeight="1">
      <c r="B89" s="2566"/>
      <c r="C89" s="2878"/>
      <c r="D89" s="2878"/>
      <c r="E89" s="2879"/>
      <c r="F89" s="32"/>
      <c r="H89" s="48" t="s">
        <v>697</v>
      </c>
      <c r="I89" s="49"/>
      <c r="J89" s="49"/>
      <c r="K89" s="49"/>
      <c r="L89" s="49"/>
      <c r="M89" s="49"/>
      <c r="N89" s="49"/>
      <c r="O89" s="49"/>
      <c r="P89" s="49"/>
      <c r="Q89" s="49"/>
      <c r="R89" s="49"/>
      <c r="S89" s="49"/>
      <c r="T89" s="2490">
        <v>15130</v>
      </c>
      <c r="U89" s="2491"/>
      <c r="V89" s="2491"/>
      <c r="W89" s="2492"/>
      <c r="X89" s="2490">
        <v>22690</v>
      </c>
      <c r="Y89" s="2491"/>
      <c r="Z89" s="2491"/>
      <c r="AA89" s="2492"/>
      <c r="AB89" s="2490">
        <v>21040</v>
      </c>
      <c r="AC89" s="2491"/>
      <c r="AD89" s="2491"/>
      <c r="AE89" s="2492"/>
      <c r="AF89" s="2490">
        <v>27420</v>
      </c>
      <c r="AG89" s="2491"/>
      <c r="AH89" s="2491"/>
      <c r="AI89" s="2492"/>
      <c r="AJ89" s="2490">
        <v>21280</v>
      </c>
      <c r="AK89" s="2491"/>
      <c r="AL89" s="2491"/>
      <c r="AM89" s="2492"/>
      <c r="AN89" s="2642">
        <v>236450</v>
      </c>
      <c r="AO89" s="2643"/>
      <c r="AP89" s="2643"/>
      <c r="AQ89" s="2644"/>
      <c r="AV89" s="2761"/>
      <c r="AW89" s="2761"/>
      <c r="AX89" s="2761"/>
      <c r="AY89" s="2761"/>
      <c r="AZ89" s="43"/>
      <c r="BA89" s="2200"/>
      <c r="BB89" s="956" t="b">
        <v>0</v>
      </c>
    </row>
    <row r="90" spans="2:54" ht="13.5" customHeight="1">
      <c r="B90" s="2566"/>
      <c r="C90" s="2878"/>
      <c r="D90" s="2878"/>
      <c r="E90" s="2879"/>
      <c r="F90" s="32"/>
      <c r="H90" s="48" t="s">
        <v>698</v>
      </c>
      <c r="I90" s="49"/>
      <c r="J90" s="49"/>
      <c r="K90" s="49"/>
      <c r="L90" s="49"/>
      <c r="M90" s="49"/>
      <c r="N90" s="49"/>
      <c r="O90" s="49"/>
      <c r="P90" s="49"/>
      <c r="Q90" s="49"/>
      <c r="R90" s="49"/>
      <c r="S90" s="49"/>
      <c r="T90" s="2490">
        <v>16330</v>
      </c>
      <c r="U90" s="2491"/>
      <c r="V90" s="2491"/>
      <c r="W90" s="2492"/>
      <c r="X90" s="2490">
        <v>24500</v>
      </c>
      <c r="Y90" s="2491"/>
      <c r="Z90" s="2491"/>
      <c r="AA90" s="2492"/>
      <c r="AB90" s="2490">
        <v>22710</v>
      </c>
      <c r="AC90" s="2491"/>
      <c r="AD90" s="2491"/>
      <c r="AE90" s="2492"/>
      <c r="AF90" s="2490">
        <v>29600</v>
      </c>
      <c r="AG90" s="2491"/>
      <c r="AH90" s="2491"/>
      <c r="AI90" s="2492"/>
      <c r="AJ90" s="2490">
        <v>22970</v>
      </c>
      <c r="AK90" s="2491"/>
      <c r="AL90" s="2491"/>
      <c r="AM90" s="2492"/>
      <c r="AN90" s="2642">
        <v>255260</v>
      </c>
      <c r="AO90" s="2643"/>
      <c r="AP90" s="2643"/>
      <c r="AQ90" s="2644"/>
      <c r="AV90" s="2761"/>
      <c r="AW90" s="2761"/>
      <c r="AX90" s="2761"/>
      <c r="AY90" s="2761"/>
      <c r="AZ90" s="43"/>
      <c r="BA90" s="2200"/>
      <c r="BB90" s="956" t="b">
        <v>0</v>
      </c>
    </row>
    <row r="91" spans="2:54" ht="13.5" customHeight="1">
      <c r="B91" s="2566"/>
      <c r="C91" s="2878"/>
      <c r="D91" s="2878"/>
      <c r="E91" s="2879"/>
      <c r="F91" s="32"/>
      <c r="H91" s="48" t="s">
        <v>699</v>
      </c>
      <c r="I91" s="49"/>
      <c r="J91" s="49"/>
      <c r="K91" s="49"/>
      <c r="L91" s="49"/>
      <c r="M91" s="49"/>
      <c r="N91" s="49"/>
      <c r="O91" s="49"/>
      <c r="P91" s="49"/>
      <c r="Q91" s="49"/>
      <c r="R91" s="49"/>
      <c r="S91" s="49"/>
      <c r="T91" s="2490">
        <v>19740</v>
      </c>
      <c r="U91" s="2491"/>
      <c r="V91" s="2491"/>
      <c r="W91" s="2492"/>
      <c r="X91" s="2490">
        <v>29610</v>
      </c>
      <c r="Y91" s="2491"/>
      <c r="Z91" s="2491"/>
      <c r="AA91" s="2492"/>
      <c r="AB91" s="2490">
        <v>27450</v>
      </c>
      <c r="AC91" s="2491"/>
      <c r="AD91" s="2491"/>
      <c r="AE91" s="2492"/>
      <c r="AF91" s="2490">
        <v>35780</v>
      </c>
      <c r="AG91" s="2491"/>
      <c r="AH91" s="2491"/>
      <c r="AI91" s="2492"/>
      <c r="AJ91" s="2490">
        <v>27760</v>
      </c>
      <c r="AK91" s="2491"/>
      <c r="AL91" s="2491"/>
      <c r="AM91" s="2492"/>
      <c r="AN91" s="2642">
        <v>308450</v>
      </c>
      <c r="AO91" s="2643"/>
      <c r="AP91" s="2643"/>
      <c r="AQ91" s="2644"/>
      <c r="AV91" s="2761"/>
      <c r="AW91" s="2761"/>
      <c r="AX91" s="2761"/>
      <c r="AY91" s="2761"/>
      <c r="AZ91" s="43"/>
      <c r="BA91" s="2200"/>
      <c r="BB91" s="956" t="b">
        <v>0</v>
      </c>
    </row>
    <row r="92" spans="2:54" ht="13.5" customHeight="1">
      <c r="B92" s="2566"/>
      <c r="C92" s="2878"/>
      <c r="D92" s="2878"/>
      <c r="E92" s="2879"/>
      <c r="F92" s="32"/>
      <c r="H92" s="48" t="s">
        <v>700</v>
      </c>
      <c r="I92" s="49"/>
      <c r="J92" s="49"/>
      <c r="K92" s="49"/>
      <c r="L92" s="49"/>
      <c r="M92" s="49"/>
      <c r="N92" s="49"/>
      <c r="O92" s="49"/>
      <c r="P92" s="49"/>
      <c r="Q92" s="49"/>
      <c r="R92" s="49"/>
      <c r="S92" s="49"/>
      <c r="T92" s="2490">
        <v>36120</v>
      </c>
      <c r="U92" s="2491"/>
      <c r="V92" s="2491"/>
      <c r="W92" s="2492"/>
      <c r="X92" s="2490">
        <v>51530</v>
      </c>
      <c r="Y92" s="2491"/>
      <c r="Z92" s="2491"/>
      <c r="AA92" s="2492"/>
      <c r="AB92" s="2490">
        <v>52430</v>
      </c>
      <c r="AC92" s="2491"/>
      <c r="AD92" s="2491"/>
      <c r="AE92" s="2492"/>
      <c r="AF92" s="2490">
        <v>49540</v>
      </c>
      <c r="AG92" s="2491"/>
      <c r="AH92" s="2491"/>
      <c r="AI92" s="2492"/>
      <c r="AJ92" s="2490">
        <v>63270</v>
      </c>
      <c r="AK92" s="2491"/>
      <c r="AL92" s="2491"/>
      <c r="AM92" s="2492"/>
      <c r="AN92" s="2642"/>
      <c r="AO92" s="2643"/>
      <c r="AP92" s="2643"/>
      <c r="AQ92" s="2644"/>
      <c r="AV92" s="2761"/>
      <c r="AW92" s="2761"/>
      <c r="AX92" s="2761"/>
      <c r="AY92" s="2761"/>
      <c r="AZ92" s="43"/>
      <c r="BA92" s="2200"/>
      <c r="BB92" s="956" t="b">
        <v>0</v>
      </c>
    </row>
    <row r="93" spans="2:54" ht="13.5" customHeight="1">
      <c r="B93" s="2566"/>
      <c r="C93" s="2878"/>
      <c r="D93" s="2878"/>
      <c r="E93" s="2879"/>
      <c r="F93" s="32"/>
      <c r="H93" s="48" t="s">
        <v>5735</v>
      </c>
      <c r="I93" s="49"/>
      <c r="J93" s="49"/>
      <c r="K93" s="49"/>
      <c r="L93" s="49"/>
      <c r="M93" s="49"/>
      <c r="N93" s="49"/>
      <c r="O93" s="49"/>
      <c r="P93" s="49"/>
      <c r="Q93" s="49"/>
      <c r="R93" s="49"/>
      <c r="S93" s="49"/>
      <c r="T93" s="2528" t="s">
        <v>5691</v>
      </c>
      <c r="U93" s="2529"/>
      <c r="V93" s="2529"/>
      <c r="W93" s="2530"/>
      <c r="X93" s="2528" t="s">
        <v>5691</v>
      </c>
      <c r="Y93" s="2529"/>
      <c r="Z93" s="2529"/>
      <c r="AA93" s="2530"/>
      <c r="AB93" s="2490">
        <v>9780</v>
      </c>
      <c r="AC93" s="2491"/>
      <c r="AD93" s="2491"/>
      <c r="AE93" s="2492"/>
      <c r="AF93" s="2776" t="s">
        <v>5633</v>
      </c>
      <c r="AG93" s="2777"/>
      <c r="AH93" s="2777"/>
      <c r="AI93" s="2778"/>
      <c r="AJ93" s="2490">
        <v>9220</v>
      </c>
      <c r="AK93" s="2491"/>
      <c r="AL93" s="2491"/>
      <c r="AM93" s="2492"/>
      <c r="AN93" s="2642"/>
      <c r="AO93" s="2643"/>
      <c r="AP93" s="2643"/>
      <c r="AQ93" s="2644"/>
      <c r="AV93" s="2761"/>
      <c r="AW93" s="2761"/>
      <c r="AX93" s="2761"/>
      <c r="AY93" s="2761"/>
      <c r="AZ93" s="43"/>
      <c r="BA93" s="2200"/>
      <c r="BB93" s="956" t="b">
        <v>0</v>
      </c>
    </row>
    <row r="94" spans="2:54" ht="12.75" customHeight="1">
      <c r="B94" s="2566"/>
      <c r="C94" s="2878"/>
      <c r="D94" s="2878"/>
      <c r="E94" s="2879"/>
      <c r="F94" s="32"/>
      <c r="H94" s="50" t="s">
        <v>701</v>
      </c>
      <c r="I94" s="51"/>
      <c r="J94" s="51"/>
      <c r="K94" s="51"/>
      <c r="L94" s="51"/>
      <c r="M94" s="51"/>
      <c r="N94" s="51"/>
      <c r="O94" s="51"/>
      <c r="P94" s="51"/>
      <c r="Q94" s="51"/>
      <c r="R94" s="51"/>
      <c r="S94" s="51"/>
      <c r="T94" s="2525" t="s">
        <v>5691</v>
      </c>
      <c r="U94" s="2526"/>
      <c r="V94" s="2526"/>
      <c r="W94" s="2527"/>
      <c r="X94" s="2525" t="s">
        <v>5691</v>
      </c>
      <c r="Y94" s="2526"/>
      <c r="Z94" s="2526"/>
      <c r="AA94" s="2527"/>
      <c r="AB94" s="2820">
        <v>12640</v>
      </c>
      <c r="AC94" s="2821"/>
      <c r="AD94" s="2821"/>
      <c r="AE94" s="2822"/>
      <c r="AF94" s="2811" t="s">
        <v>5634</v>
      </c>
      <c r="AG94" s="2812"/>
      <c r="AH94" s="2812"/>
      <c r="AI94" s="2813"/>
      <c r="AJ94" s="2820">
        <v>11910</v>
      </c>
      <c r="AK94" s="2821"/>
      <c r="AL94" s="2821"/>
      <c r="AM94" s="2822"/>
      <c r="AN94" s="2829"/>
      <c r="AO94" s="2401"/>
      <c r="AP94" s="2401"/>
      <c r="AQ94" s="2830"/>
      <c r="AV94" s="2761"/>
      <c r="AW94" s="2761"/>
      <c r="AX94" s="2761"/>
      <c r="AY94" s="2761"/>
      <c r="AZ94" s="43"/>
      <c r="BA94" s="2200"/>
      <c r="BB94" s="956" t="b">
        <v>0</v>
      </c>
    </row>
    <row r="95" spans="2:54" ht="13.5" customHeight="1">
      <c r="B95" s="2566"/>
      <c r="C95" s="2878"/>
      <c r="D95" s="2878"/>
      <c r="E95" s="2879"/>
      <c r="F95" s="32"/>
      <c r="AZ95" s="43"/>
      <c r="BA95" s="2200"/>
      <c r="BB95" s="956" t="b">
        <f t="shared" ref="BB95:BB104" si="17">BB$81</f>
        <v>0</v>
      </c>
    </row>
    <row r="96" spans="2:54" ht="13.5" customHeight="1">
      <c r="B96" s="2566"/>
      <c r="C96" s="2878"/>
      <c r="D96" s="2878"/>
      <c r="E96" s="2879"/>
      <c r="F96" s="52"/>
      <c r="G96" s="52"/>
      <c r="H96" s="1549" t="s">
        <v>702</v>
      </c>
      <c r="I96" s="1547"/>
      <c r="J96" s="1548"/>
      <c r="K96" s="1547"/>
      <c r="L96" s="1549" t="s">
        <v>703</v>
      </c>
      <c r="M96" s="1547"/>
      <c r="N96" s="1548"/>
      <c r="O96" s="1547"/>
      <c r="P96" s="1549" t="s">
        <v>704</v>
      </c>
      <c r="Q96" s="1547"/>
      <c r="R96" s="1548"/>
      <c r="S96" s="1547"/>
      <c r="T96" s="1549" t="s">
        <v>705</v>
      </c>
      <c r="U96" s="1547"/>
      <c r="V96" s="1548"/>
      <c r="W96" s="1547"/>
      <c r="X96" s="1549" t="s">
        <v>667</v>
      </c>
      <c r="Y96" s="1547"/>
      <c r="Z96" s="1548"/>
      <c r="AA96" s="1547"/>
      <c r="AB96" s="1549" t="s">
        <v>668</v>
      </c>
      <c r="AC96" s="1547"/>
      <c r="AD96" s="1548"/>
      <c r="AE96" s="1547"/>
      <c r="AF96" s="1549" t="s">
        <v>706</v>
      </c>
      <c r="AG96" s="1547"/>
      <c r="AH96" s="1548"/>
      <c r="AI96" s="1547"/>
      <c r="AJ96" s="1549" t="s">
        <v>707</v>
      </c>
      <c r="AK96" s="1547"/>
      <c r="AL96" s="1548"/>
      <c r="AM96" s="1547"/>
      <c r="AN96" s="1096" t="s">
        <v>35</v>
      </c>
      <c r="AO96" s="1097"/>
      <c r="AP96" s="1098"/>
      <c r="AQ96" s="1097"/>
      <c r="AR96" s="1549" t="s">
        <v>740</v>
      </c>
      <c r="AS96" s="1547"/>
      <c r="AT96" s="1548"/>
      <c r="AU96" s="1548"/>
      <c r="AV96" s="1549" t="s">
        <v>708</v>
      </c>
      <c r="AW96" s="1547"/>
      <c r="AX96" s="1548"/>
      <c r="AY96" s="1548"/>
      <c r="AZ96" s="43"/>
      <c r="BA96" s="2200"/>
      <c r="BB96" s="956" t="b">
        <f t="shared" si="17"/>
        <v>0</v>
      </c>
    </row>
    <row r="97" spans="2:54" ht="13.5" customHeight="1">
      <c r="B97" s="2566"/>
      <c r="C97" s="2878"/>
      <c r="D97" s="2878"/>
      <c r="E97" s="2879"/>
      <c r="F97" s="52"/>
      <c r="G97" s="52"/>
      <c r="H97" s="2309"/>
      <c r="I97" s="2310"/>
      <c r="J97" s="2310"/>
      <c r="K97" s="7" t="s">
        <v>709</v>
      </c>
      <c r="L97" s="2265"/>
      <c r="M97" s="2266"/>
      <c r="N97" s="2266"/>
      <c r="O97" s="6" t="s">
        <v>710</v>
      </c>
      <c r="P97" s="2265"/>
      <c r="Q97" s="2266"/>
      <c r="R97" s="2266"/>
      <c r="S97" s="7" t="s">
        <v>710</v>
      </c>
      <c r="T97" s="2647"/>
      <c r="U97" s="2648"/>
      <c r="V97" s="2648"/>
      <c r="W97" s="53" t="s">
        <v>711</v>
      </c>
      <c r="X97" s="2399"/>
      <c r="Y97" s="2347"/>
      <c r="Z97" s="2347"/>
      <c r="AA97" s="2348"/>
      <c r="AB97" s="2399"/>
      <c r="AC97" s="2347"/>
      <c r="AD97" s="2347"/>
      <c r="AE97" s="2348"/>
      <c r="AF97" s="2809" t="e">
        <f>+ROUNDDOWN($AF$104/$E$10,2)</f>
        <v>#DIV/0!</v>
      </c>
      <c r="AG97" s="2810"/>
      <c r="AH97" s="2252" t="s">
        <v>1265</v>
      </c>
      <c r="AI97" s="2253"/>
      <c r="AJ97" s="2814"/>
      <c r="AK97" s="2815"/>
      <c r="AL97" s="2815"/>
      <c r="AM97" s="2816"/>
      <c r="AN97" s="2721"/>
      <c r="AO97" s="2722"/>
      <c r="AP97" s="2722"/>
      <c r="AQ97" s="2723"/>
      <c r="AR97" s="2399"/>
      <c r="AS97" s="2347"/>
      <c r="AT97" s="2347"/>
      <c r="AU97" s="2348"/>
      <c r="AV97" s="2399"/>
      <c r="AW97" s="2347"/>
      <c r="AX97" s="2347"/>
      <c r="AY97" s="2348"/>
      <c r="AZ97" s="43"/>
      <c r="BA97" s="2200"/>
      <c r="BB97" s="956" t="b">
        <f t="shared" si="17"/>
        <v>0</v>
      </c>
    </row>
    <row r="98" spans="2:54" ht="13.5" customHeight="1">
      <c r="B98" s="2566"/>
      <c r="C98" s="2878"/>
      <c r="D98" s="2878"/>
      <c r="E98" s="2879"/>
      <c r="F98" s="52"/>
      <c r="G98" s="52"/>
      <c r="H98" s="2482" t="str">
        <f>IF(H97="","",ROUNDDOWN(IF(AND(H99&lt;&gt;"",H97&gt;H100),J100+(J99-J100)/(H99-H100)*(H97-H100),IF(H97&gt;H101,J101+(J100-J101)/(H100-H101)*(H97-H101),J101-(J101-J102)/(H101-H102)*(H101-H97))),2))</f>
        <v/>
      </c>
      <c r="I98" s="2483"/>
      <c r="J98" s="2483"/>
      <c r="K98" s="2484"/>
      <c r="L98" s="2482" t="str">
        <f>IF(L97="","",ROUNDDOWN(IF(L97&gt;L100,N100+(N99-N100)/(L99-L100)*(L97-L100),N100-(N100-N101)/(L100-L101)*(L100-L97)),2))</f>
        <v/>
      </c>
      <c r="M98" s="2483"/>
      <c r="N98" s="2483"/>
      <c r="O98" s="2484"/>
      <c r="P98" s="2482" t="str">
        <f>IF(P97="","",ROUNDDOWN(IF(LEFT($AD$7,2)="事務",1-(R99-R100)/(P99-P100)*(P100-MAX(P97,P100)),IF(P97&gt;P100,1+(R99-R100)/(P99-P100)*(P97-P100),1-(R100-R101)/(P100-P101)*(P100-P97))),2))</f>
        <v/>
      </c>
      <c r="Q98" s="2483"/>
      <c r="R98" s="2483"/>
      <c r="S98" s="2484"/>
      <c r="T98" s="2482" t="str">
        <f>IF(T97="","",VLOOKUP(T97,T99:W104,3,0))</f>
        <v/>
      </c>
      <c r="U98" s="2483"/>
      <c r="V98" s="2483"/>
      <c r="W98" s="2484"/>
      <c r="X98" s="2482" t="str">
        <f>IF(X97="","",VLOOKUP(X97,X99:AA104,3,0))</f>
        <v/>
      </c>
      <c r="Y98" s="2483"/>
      <c r="Z98" s="2483"/>
      <c r="AA98" s="2484"/>
      <c r="AB98" s="2482" t="str">
        <f>IF(AB97="","",VLOOKUP(AB97,AB99:AE101,3,0))</f>
        <v/>
      </c>
      <c r="AC98" s="2483"/>
      <c r="AD98" s="2483"/>
      <c r="AE98" s="2484"/>
      <c r="AF98" s="2482" t="e">
        <f>IF(AF97=0,"",ROUNDDOWN(IF(AF97&gt;AF100,AH100+(AH99-AH100)/(AF99-AF100)*(AF97-AF100),AH100-(AH100-AH101)/(AF100-AF101)*(AF100-AF97)),2))</f>
        <v>#DIV/0!</v>
      </c>
      <c r="AG98" s="2483"/>
      <c r="AH98" s="2483"/>
      <c r="AI98" s="2484"/>
      <c r="AJ98" s="2482" t="str">
        <f>IF(AJ97="","",VLOOKUP(AJ97,AJ99:AM103,3,0))</f>
        <v/>
      </c>
      <c r="AK98" s="2483"/>
      <c r="AL98" s="2483"/>
      <c r="AM98" s="2484"/>
      <c r="AN98" s="2482" t="str">
        <f>IF(AN97="","",ROUNDDOWN(IF(AN97&gt;AN100,AP100+(AP99-AP100)/(AN99-AN100)*(AN97-AN100),AP100-(AP100-AP101)/(AN100-AN101)*(AN100-AN97)),2))</f>
        <v/>
      </c>
      <c r="AO98" s="2483"/>
      <c r="AP98" s="2483"/>
      <c r="AQ98" s="2484"/>
      <c r="AR98" s="2482" t="str">
        <f>IF(AR97="","",VLOOKUP(AR97,AR99:AU101,3,0))</f>
        <v/>
      </c>
      <c r="AS98" s="2483"/>
      <c r="AT98" s="2483"/>
      <c r="AU98" s="2484"/>
      <c r="AV98" s="2482" t="str">
        <f>IF(AV97="","",VLOOKUP(AV97,AV99:AY101,3,0))</f>
        <v/>
      </c>
      <c r="AW98" s="2483"/>
      <c r="AX98" s="2483"/>
      <c r="AY98" s="2484"/>
      <c r="AZ98" s="43"/>
      <c r="BA98" s="2200"/>
      <c r="BB98" s="956" t="b">
        <f t="shared" si="17"/>
        <v>0</v>
      </c>
    </row>
    <row r="99" spans="2:54" ht="13.5" customHeight="1">
      <c r="B99" s="2566"/>
      <c r="C99" s="2878"/>
      <c r="D99" s="2878"/>
      <c r="E99" s="2879"/>
      <c r="F99" s="52"/>
      <c r="G99" s="52"/>
      <c r="H99" s="1090" t="str">
        <f>IF(OR($AD$7&amp;"　"&amp;LEFT($F$83,2)=DB!$C$572&amp;"　鉄骨",$AD$7&amp;"　"&amp;LEFT($F$83,2)=DB!$C$572&amp;"　鉄筋"),5,"")</f>
        <v/>
      </c>
      <c r="I99" s="1091"/>
      <c r="J99" s="17" t="str">
        <f>IF(H99&lt;&gt;"",1.1,"")</f>
        <v/>
      </c>
      <c r="K99" s="14"/>
      <c r="L99" s="13" t="e">
        <f>VLOOKUP($AD$7&amp;"　"&amp;LEFT($F$83,2),主体不明確補正,8,0)</f>
        <v>#N/A</v>
      </c>
      <c r="M99" s="54"/>
      <c r="N99" s="17" t="e">
        <f>VLOOKUP($AD$7&amp;"　"&amp;LEFT($F$83,2),主体不明確補正,9,0)</f>
        <v>#N/A</v>
      </c>
      <c r="O99" s="14"/>
      <c r="P99" s="13" t="e">
        <f>VLOOKUP($AD$7&amp;"　"&amp;LEFT($F$83,2),主体不明確補正,14,0)</f>
        <v>#N/A</v>
      </c>
      <c r="Q99" s="54"/>
      <c r="R99" s="17" t="e">
        <f>VLOOKUP($AD$7&amp;"　"&amp;LEFT($F$83,2),主体不明確補正,15,0)</f>
        <v>#N/A</v>
      </c>
      <c r="S99" s="14"/>
      <c r="T99" s="2511" t="e">
        <f>VLOOKUP($AD$7&amp;"　"&amp;LEFT($F$83,2),主体不明確補正,20,0)</f>
        <v>#N/A</v>
      </c>
      <c r="U99" s="2512"/>
      <c r="V99" s="2539" t="e">
        <f>VLOOKUP($AD$7&amp;"　"&amp;LEFT($F$83,2),主体不明確補正,21,0)</f>
        <v>#N/A</v>
      </c>
      <c r="W99" s="2540"/>
      <c r="X99" s="13" t="str">
        <f>IF(ISNUMBER(Z102),"計算値","×")</f>
        <v>×</v>
      </c>
      <c r="Y99" s="55"/>
      <c r="Z99" s="17" t="str">
        <f>IF(ISNUMBER(Z102),MAX(Z104,MIN(Z100,ROUNDDOWN(IF($AR$83&lt;X101,Z101+(Z100-Z101)/(X100-X101)*($AR$83-X101),IF($AR$83&gt;X103,Z103+(Z104-Z103)/(X104-X103)*($AR$83-X103),IF($AR$83&lt;X102,Z102+(Z101-Z102)/(X101-X102)*($AR$83-X102),Z102+(Z103-Z102)/(X103-X102)*($AR$83-X102)))),2))),"×")</f>
        <v>×</v>
      </c>
      <c r="AA99" s="14"/>
      <c r="AB99" s="13" t="e">
        <f>VLOOKUP($AD$7&amp;"　"&amp;LEFT($F$83,2),主体不明確補正,32,0)</f>
        <v>#N/A</v>
      </c>
      <c r="AC99" s="54"/>
      <c r="AD99" s="17" t="e">
        <f>VLOOKUP($AD$7&amp;"　"&amp;LEFT($F$83,2),主体不明確補正,33,0)</f>
        <v>#N/A</v>
      </c>
      <c r="AE99" s="14"/>
      <c r="AF99" s="13" t="e">
        <f>VLOOKUP($AD$7&amp;"　"&amp;LEFT($F$83,2),主体不明確補正,38,0)</f>
        <v>#N/A</v>
      </c>
      <c r="AG99" s="54"/>
      <c r="AH99" s="17" t="e">
        <f>VLOOKUP($AD$7&amp;"　"&amp;LEFT($F$83,2),主体不明確補正,39,0)</f>
        <v>#N/A</v>
      </c>
      <c r="AI99" s="14"/>
      <c r="AJ99" s="13" t="e">
        <f>VLOOKUP($AD$7&amp;"　"&amp;LEFT($F$83,2),主体不明確補正,52,0)</f>
        <v>#N/A</v>
      </c>
      <c r="AK99" s="54"/>
      <c r="AL99" s="17" t="e">
        <f>VLOOKUP($AD$7&amp;"　"&amp;LEFT($F$83,2),主体不明確補正,53,0)</f>
        <v>#N/A</v>
      </c>
      <c r="AM99" s="14"/>
      <c r="AN99" s="1099"/>
      <c r="AO99" s="1100"/>
      <c r="AP99" s="1101"/>
      <c r="AQ99" s="1102"/>
      <c r="AR99" s="13"/>
      <c r="AS99" s="56"/>
      <c r="AT99" s="17"/>
      <c r="AU99" s="14"/>
      <c r="AV99" s="2781" t="e">
        <f>VLOOKUP($AD$7&amp;"　"&amp;LEFT($F$83,2),主体不明確補正,62,0)</f>
        <v>#N/A</v>
      </c>
      <c r="AW99" s="2782" t="e">
        <f>VLOOKUP($AD$7&amp;"　"&amp;LEFT($F$83,2),主体不明確補正,15,0)</f>
        <v>#N/A</v>
      </c>
      <c r="AX99" s="2782" t="e">
        <f>VLOOKUP($AD$7&amp;"　"&amp;LEFT($F$83,2),主体不明確補正,63,0)</f>
        <v>#N/A</v>
      </c>
      <c r="AY99" s="2870" t="e">
        <f>VLOOKUP($AD$7&amp;"　"&amp;LEFT($F$83,2),主体不明確補正,15,0)</f>
        <v>#N/A</v>
      </c>
      <c r="AZ99" s="43"/>
      <c r="BA99" s="2200"/>
      <c r="BB99" s="956" t="b">
        <f t="shared" si="17"/>
        <v>0</v>
      </c>
    </row>
    <row r="100" spans="2:54" ht="13.5" customHeight="1">
      <c r="B100" s="2566"/>
      <c r="C100" s="2878"/>
      <c r="D100" s="2878"/>
      <c r="E100" s="2879"/>
      <c r="F100" s="52"/>
      <c r="G100" s="52"/>
      <c r="H100" s="1092" t="e">
        <f>VLOOKUP($AD$7&amp;"　"&amp;LEFT($F$83,2),主体不明確補正,2,0)</f>
        <v>#N/A</v>
      </c>
      <c r="I100" s="1093"/>
      <c r="J100" s="25" t="e">
        <f>VLOOKUP($AD$7&amp;"　"&amp;LEFT($F$83,2),主体不明確補正,3,0)</f>
        <v>#N/A</v>
      </c>
      <c r="K100" s="23"/>
      <c r="L100" s="57" t="e">
        <f>VLOOKUP($AD$7&amp;"　"&amp;LEFT($F$83,2),主体不明確補正,10,0)</f>
        <v>#N/A</v>
      </c>
      <c r="M100" s="58"/>
      <c r="N100" s="25" t="e">
        <f>VLOOKUP($AD$7&amp;"　"&amp;LEFT($F$83,2),主体不明確補正,11,0)</f>
        <v>#N/A</v>
      </c>
      <c r="O100" s="23"/>
      <c r="P100" s="57" t="e">
        <f>VLOOKUP($AD$7&amp;"　"&amp;LEFT($F$83,2),主体不明確補正,16,0)</f>
        <v>#N/A</v>
      </c>
      <c r="Q100" s="58"/>
      <c r="R100" s="25" t="e">
        <f>VLOOKUP($AD$7&amp;"　"&amp;LEFT($F$83,2),主体不明確補正,17,0)</f>
        <v>#N/A</v>
      </c>
      <c r="S100" s="23"/>
      <c r="T100" s="2805" t="e">
        <f>VLOOKUP($AD$7&amp;"　"&amp;LEFT($F$83,2),主体不明確補正,22,0)</f>
        <v>#N/A</v>
      </c>
      <c r="U100" s="2806"/>
      <c r="V100" s="2807" t="e">
        <f>VLOOKUP($AD$7&amp;"　"&amp;LEFT($F$83,2),主体不明確補正,23,0)</f>
        <v>#N/A</v>
      </c>
      <c r="W100" s="2808"/>
      <c r="X100" s="20" t="e">
        <f>VLOOKUP($AD$7&amp;"　"&amp;LEFT($F$83,2),主体不明確補正,72,0)</f>
        <v>#N/A</v>
      </c>
      <c r="Y100" s="59"/>
      <c r="Z100" s="25" t="e">
        <f>VLOOKUP($AD$7&amp;"　"&amp;LEFT($F$83,2),主体不明確補正,73,0)</f>
        <v>#N/A</v>
      </c>
      <c r="AA100" s="23"/>
      <c r="AB100" s="57" t="e">
        <f>VLOOKUP($AD$7&amp;"　"&amp;LEFT($F$83,2),主体不明確補正,34,0)</f>
        <v>#N/A</v>
      </c>
      <c r="AC100" s="58"/>
      <c r="AD100" s="25" t="e">
        <f>VLOOKUP($AD$7&amp;"　"&amp;LEFT($F$83,2),主体不明確補正,35,0)</f>
        <v>#N/A</v>
      </c>
      <c r="AE100" s="23"/>
      <c r="AF100" s="57" t="e">
        <f>VLOOKUP($AD$7&amp;"　"&amp;LEFT($F$83,2),主体不明確補正,40,0)</f>
        <v>#N/A</v>
      </c>
      <c r="AG100" s="58"/>
      <c r="AH100" s="25" t="e">
        <f>VLOOKUP($AD$7&amp;"　"&amp;LEFT($F$83,2),主体不明確補正,41,0)</f>
        <v>#N/A</v>
      </c>
      <c r="AI100" s="23"/>
      <c r="AJ100" s="57" t="e">
        <f>VLOOKUP($AD$7&amp;"　"&amp;LEFT($F$83,2),主体不明確補正,50,0)</f>
        <v>#N/A</v>
      </c>
      <c r="AK100" s="58"/>
      <c r="AL100" s="25" t="e">
        <f>VLOOKUP($AD$7&amp;"　"&amp;LEFT($F$83,2),主体不明確補正,51,0)</f>
        <v>#N/A</v>
      </c>
      <c r="AM100" s="23"/>
      <c r="AN100" s="1103"/>
      <c r="AO100" s="1104"/>
      <c r="AP100" s="1105"/>
      <c r="AQ100" s="1106"/>
      <c r="AR100" s="57"/>
      <c r="AS100" s="60"/>
      <c r="AT100" s="25"/>
      <c r="AU100" s="23"/>
      <c r="AV100" s="2779" t="e">
        <f>VLOOKUP($AD$7&amp;"　"&amp;LEFT($F$83,2),主体不明確補正,64,0)</f>
        <v>#N/A</v>
      </c>
      <c r="AW100" s="2780" t="e">
        <f>VLOOKUP($AD$7&amp;"　"&amp;LEFT($F$83,2),主体不明確補正,15,0)</f>
        <v>#N/A</v>
      </c>
      <c r="AX100" s="2780" t="e">
        <f>VLOOKUP($AD$7&amp;"　"&amp;LEFT($F$83,2),主体不明確補正,65,0)</f>
        <v>#N/A</v>
      </c>
      <c r="AY100" s="2799" t="e">
        <f>VLOOKUP($AD$7&amp;"　"&amp;LEFT($F$83,2),主体不明確補正,15,0)</f>
        <v>#N/A</v>
      </c>
      <c r="AZ100" s="43"/>
      <c r="BA100" s="2200"/>
      <c r="BB100" s="956" t="b">
        <f t="shared" si="17"/>
        <v>0</v>
      </c>
    </row>
    <row r="101" spans="2:54" ht="13.5" customHeight="1">
      <c r="B101" s="2566"/>
      <c r="C101" s="2878"/>
      <c r="D101" s="2878"/>
      <c r="E101" s="2879"/>
      <c r="F101" s="52"/>
      <c r="G101" s="52"/>
      <c r="H101" s="1092" t="e">
        <f>VLOOKUP($AD$7&amp;"　"&amp;LEFT($F$83,2),主体不明確補正,4,0)</f>
        <v>#N/A</v>
      </c>
      <c r="I101" s="1093"/>
      <c r="J101" s="25" t="e">
        <f>VLOOKUP($AD$7&amp;"　"&amp;LEFT($F$83,2),主体不明確補正,5,0)</f>
        <v>#N/A</v>
      </c>
      <c r="K101" s="23"/>
      <c r="L101" s="61" t="e">
        <f>VLOOKUP($AD$7&amp;"　"&amp;LEFT($F$83,2),主体不明確補正,12,0)</f>
        <v>#N/A</v>
      </c>
      <c r="M101" s="62"/>
      <c r="N101" s="28" t="e">
        <f>VLOOKUP($AD$7&amp;"　"&amp;LEFT($F$83,2),主体不明確補正,13,0)</f>
        <v>#N/A</v>
      </c>
      <c r="O101" s="29"/>
      <c r="P101" s="61" t="e">
        <f>VLOOKUP($AD$7&amp;"　"&amp;LEFT($F$83,2),主体不明確補正,18,0)</f>
        <v>#N/A</v>
      </c>
      <c r="Q101" s="62"/>
      <c r="R101" s="28" t="e">
        <f>VLOOKUP($AD$7&amp;"　"&amp;LEFT($F$83,2),主体不明確補正,19,0)</f>
        <v>#N/A</v>
      </c>
      <c r="S101" s="29"/>
      <c r="T101" s="2805" t="e">
        <f>VLOOKUP($AD$7&amp;"　"&amp;LEFT($F$83,2),主体不明確補正,24,0)</f>
        <v>#N/A</v>
      </c>
      <c r="U101" s="2806"/>
      <c r="V101" s="2807" t="e">
        <f>VLOOKUP($AD$7&amp;"　"&amp;LEFT($F$83,2),主体不明確補正,25,0)</f>
        <v>#N/A</v>
      </c>
      <c r="W101" s="2808"/>
      <c r="X101" s="20" t="e">
        <f>VLOOKUP($AD$7&amp;"　"&amp;LEFT($F$83,2),主体不明確補正,66,0)</f>
        <v>#N/A</v>
      </c>
      <c r="Y101" s="59"/>
      <c r="Z101" s="25" t="e">
        <f>VLOOKUP($AD$7&amp;"　"&amp;LEFT($F$83,2),主体不明確補正,67,0)</f>
        <v>#N/A</v>
      </c>
      <c r="AA101" s="23"/>
      <c r="AB101" s="61" t="e">
        <f>VLOOKUP($AD$7&amp;"　"&amp;LEFT($F$83,2),主体不明確補正,36,0)</f>
        <v>#N/A</v>
      </c>
      <c r="AC101" s="62"/>
      <c r="AD101" s="28" t="e">
        <f>VLOOKUP($AD$7&amp;"　"&amp;LEFT($F$83,2),主体不明確補正,37,0)</f>
        <v>#N/A</v>
      </c>
      <c r="AE101" s="29"/>
      <c r="AF101" s="61" t="e">
        <f>VLOOKUP($AD$7&amp;"　"&amp;LEFT($F$83,2),主体不明確補正,42,0)</f>
        <v>#N/A</v>
      </c>
      <c r="AG101" s="62"/>
      <c r="AH101" s="28" t="e">
        <f>VLOOKUP($AD$7&amp;"　"&amp;LEFT($F$83,2),主体不明確補正,43,0)</f>
        <v>#N/A</v>
      </c>
      <c r="AI101" s="29"/>
      <c r="AJ101" s="57" t="e">
        <f>VLOOKUP($AD$7&amp;"　"&amp;LEFT($F$83,2),主体不明確補正,48,0)</f>
        <v>#N/A</v>
      </c>
      <c r="AK101" s="58"/>
      <c r="AL101" s="25" t="e">
        <f>VLOOKUP($AD$7&amp;"　"&amp;LEFT($F$83,2),主体不明確補正,49,0)</f>
        <v>#N/A</v>
      </c>
      <c r="AM101" s="23"/>
      <c r="AN101" s="1107"/>
      <c r="AO101" s="1108"/>
      <c r="AP101" s="1109"/>
      <c r="AQ101" s="1110"/>
      <c r="AR101" s="61"/>
      <c r="AS101" s="63"/>
      <c r="AT101" s="28"/>
      <c r="AU101" s="29"/>
      <c r="AV101" s="2788"/>
      <c r="AW101" s="2789"/>
      <c r="AX101" s="2790"/>
      <c r="AY101" s="2791"/>
      <c r="AZ101" s="43"/>
      <c r="BA101" s="2200"/>
      <c r="BB101" s="956" t="b">
        <f t="shared" si="17"/>
        <v>0</v>
      </c>
    </row>
    <row r="102" spans="2:54" ht="13.5" customHeight="1">
      <c r="B102" s="2566"/>
      <c r="C102" s="2878"/>
      <c r="D102" s="2878"/>
      <c r="E102" s="2879"/>
      <c r="F102" s="64"/>
      <c r="G102" s="64"/>
      <c r="H102" s="1094" t="e">
        <f>VLOOKUP($AD$7&amp;"　"&amp;LEFT($F$83,2),主体不明確補正,6,0)</f>
        <v>#N/A</v>
      </c>
      <c r="I102" s="1095"/>
      <c r="J102" s="28" t="e">
        <f>VLOOKUP($AD$7&amp;"　"&amp;LEFT($F$83,2),主体不明確補正,7,0)</f>
        <v>#N/A</v>
      </c>
      <c r="K102" s="29"/>
      <c r="L102" s="65"/>
      <c r="M102" s="65"/>
      <c r="N102" s="65"/>
      <c r="O102" s="65"/>
      <c r="P102" s="66"/>
      <c r="Q102" s="66"/>
      <c r="R102" s="66"/>
      <c r="S102" s="66"/>
      <c r="T102" s="2805" t="e">
        <f>VLOOKUP($AD$7&amp;"　"&amp;LEFT($F$83,2),主体不明確補正,26,0)</f>
        <v>#N/A</v>
      </c>
      <c r="U102" s="2806"/>
      <c r="V102" s="2807" t="e">
        <f>VLOOKUP($AD$7&amp;"　"&amp;LEFT($F$83,2),主体不明確補正,27,0)</f>
        <v>#N/A</v>
      </c>
      <c r="W102" s="2808"/>
      <c r="X102" s="20" t="e">
        <f>VLOOKUP($AD$7&amp;"　"&amp;LEFT($F$83,2),主体不明確補正,68,0)</f>
        <v>#N/A</v>
      </c>
      <c r="Y102" s="59"/>
      <c r="Z102" s="25" t="e">
        <f>VLOOKUP($AD$7&amp;"　"&amp;LEFT($F$83,2),主体不明確補正,69,0)</f>
        <v>#N/A</v>
      </c>
      <c r="AA102" s="23"/>
      <c r="AJ102" s="57" t="e">
        <f>VLOOKUP($AD$7&amp;"　"&amp;LEFT($F$83,2),主体不明確補正,46,0)</f>
        <v>#N/A</v>
      </c>
      <c r="AK102" s="58"/>
      <c r="AL102" s="25" t="e">
        <f>VLOOKUP($AD$7&amp;"　"&amp;LEFT($F$83,2),主体不明確補正,47,0)</f>
        <v>#N/A</v>
      </c>
      <c r="AM102" s="23"/>
      <c r="AZ102" s="43"/>
      <c r="BA102" s="2200"/>
      <c r="BB102" s="956" t="b">
        <f t="shared" si="17"/>
        <v>0</v>
      </c>
    </row>
    <row r="103" spans="2:54" ht="13.5" customHeight="1">
      <c r="B103" s="2566"/>
      <c r="C103" s="2878"/>
      <c r="D103" s="2878"/>
      <c r="E103" s="2879"/>
      <c r="F103" s="64"/>
      <c r="G103" s="64"/>
      <c r="H103" s="64"/>
      <c r="K103" s="66"/>
      <c r="L103" s="66"/>
      <c r="M103" s="66"/>
      <c r="N103" s="66"/>
      <c r="O103" s="66"/>
      <c r="P103" s="66"/>
      <c r="Q103" s="66"/>
      <c r="R103" s="66"/>
      <c r="S103" s="67"/>
      <c r="T103" s="2805" t="e">
        <f>VLOOKUP($AD$7&amp;"　"&amp;LEFT($F$83,2),主体不明確補正,28,0)</f>
        <v>#N/A</v>
      </c>
      <c r="U103" s="2806"/>
      <c r="V103" s="2807" t="e">
        <f>VLOOKUP($AD$7&amp;"　"&amp;LEFT($F$83,2),主体不明確補正,29,0)</f>
        <v>#N/A</v>
      </c>
      <c r="W103" s="2808"/>
      <c r="X103" s="1088" t="e">
        <f>VLOOKUP($AD$7&amp;"　"&amp;LEFT($F$83,2),主体不明確補正,70,0)</f>
        <v>#N/A</v>
      </c>
      <c r="Y103" s="2169"/>
      <c r="Z103" s="25" t="e">
        <f>VLOOKUP($AD$7&amp;"　"&amp;LEFT($F$83,2),主体不明確補正,71,0)</f>
        <v>#N/A</v>
      </c>
      <c r="AA103" s="23"/>
      <c r="AF103" s="2761" t="str">
        <f>+IF(ISNUMBER($AH$100),"壁体面積","")</f>
        <v/>
      </c>
      <c r="AG103" s="2761"/>
      <c r="AH103" s="2761"/>
      <c r="AI103" s="2761"/>
      <c r="AJ103" s="61" t="e">
        <f>VLOOKUP($AD$7&amp;"　"&amp;LEFT($F$83,2),主体不明確補正,44,0)</f>
        <v>#N/A</v>
      </c>
      <c r="AK103" s="62"/>
      <c r="AL103" s="28" t="e">
        <f>VLOOKUP($AD$7&amp;"　"&amp;LEFT($F$83,2),主体不明確補正,45,0)</f>
        <v>#N/A</v>
      </c>
      <c r="AM103" s="29"/>
      <c r="AZ103" s="43"/>
      <c r="BA103" s="2200"/>
      <c r="BB103" s="956" t="b">
        <f t="shared" si="17"/>
        <v>0</v>
      </c>
    </row>
    <row r="104" spans="2:54" ht="13.5" customHeight="1">
      <c r="B104" s="2566"/>
      <c r="C104" s="2878"/>
      <c r="D104" s="2878"/>
      <c r="E104" s="2879"/>
      <c r="T104" s="2891"/>
      <c r="U104" s="2892"/>
      <c r="V104" s="2645" t="str">
        <f>IF(ISNUMBER($V$101),ROUNDDOWN(IF(T104&gt;T100,V100+(V99-V100)/(T99-T100)*(MIN(T104,T99)-T100),IF(T104&gt;T101,V101+(V100-V101)/(T100-T101)*(T104-T101),
IF(T104&gt;T102,V101+(V102-V101)/(T102-T101)*(T104-T101),V102+(V103-V102)/(0-T102)*(T104-T102)))),2),"×")</f>
        <v>×</v>
      </c>
      <c r="W104" s="2646"/>
      <c r="X104" s="1089" t="e">
        <f>VLOOKUP($AD$7&amp;"　"&amp;LEFT($F$83,2),主体不明確補正,74,0)</f>
        <v>#N/A</v>
      </c>
      <c r="Y104" s="2170"/>
      <c r="Z104" s="28" t="e">
        <f>VLOOKUP($AD$7&amp;"　"&amp;LEFT($F$83,2),主体不明確補正,75,0)</f>
        <v>#N/A</v>
      </c>
      <c r="AA104" s="29"/>
      <c r="AF104" s="2838"/>
      <c r="AG104" s="2839"/>
      <c r="AH104" s="2839"/>
      <c r="AI104" s="2839"/>
      <c r="AZ104" s="43"/>
      <c r="BA104" s="2200"/>
      <c r="BB104" s="956" t="b">
        <f t="shared" si="17"/>
        <v>0</v>
      </c>
    </row>
    <row r="105" spans="2:54" ht="13.5" customHeight="1">
      <c r="B105" s="2566"/>
      <c r="C105" s="2878"/>
      <c r="D105" s="2878"/>
      <c r="E105" s="2565"/>
      <c r="T105" s="694"/>
      <c r="U105" s="694"/>
      <c r="V105" s="695"/>
      <c r="W105" s="695"/>
      <c r="X105" s="696"/>
      <c r="Y105" s="35"/>
      <c r="Z105" s="36"/>
      <c r="AA105" s="36"/>
      <c r="AZ105" s="637"/>
      <c r="BA105" s="2200"/>
      <c r="BB105" s="956" t="b">
        <v>0</v>
      </c>
    </row>
    <row r="106" spans="2:54" ht="99.75" customHeight="1">
      <c r="B106" s="2566"/>
      <c r="C106" s="2878"/>
      <c r="D106" s="2878"/>
      <c r="E106" s="2879"/>
      <c r="H106" s="2497" t="s">
        <v>1249</v>
      </c>
      <c r="I106" s="2497"/>
      <c r="J106" s="2497"/>
      <c r="K106" s="2497"/>
      <c r="L106" s="2497" t="s">
        <v>5561</v>
      </c>
      <c r="M106" s="2497"/>
      <c r="N106" s="2497"/>
      <c r="O106" s="2497"/>
      <c r="P106" s="2497" t="s">
        <v>1250</v>
      </c>
      <c r="Q106" s="2497"/>
      <c r="R106" s="2497"/>
      <c r="S106" s="2497"/>
      <c r="T106" s="2497" t="s">
        <v>1533</v>
      </c>
      <c r="U106" s="2497"/>
      <c r="V106" s="2497"/>
      <c r="W106" s="2497"/>
      <c r="X106" s="2489"/>
      <c r="Y106" s="2489"/>
      <c r="Z106" s="2489"/>
      <c r="AA106" s="2489"/>
      <c r="AB106" s="2479"/>
      <c r="AC106" s="2479"/>
      <c r="AD106" s="2479"/>
      <c r="AE106" s="2479"/>
      <c r="AF106" s="2479" t="s">
        <v>1251</v>
      </c>
      <c r="AG106" s="2479"/>
      <c r="AH106" s="2479"/>
      <c r="AI106" s="2479"/>
      <c r="AJ106" s="2479"/>
      <c r="AK106" s="2479"/>
      <c r="AL106" s="2479"/>
      <c r="AM106" s="2479"/>
      <c r="AN106" s="2762" t="s">
        <v>5562</v>
      </c>
      <c r="AO106" s="2762"/>
      <c r="AP106" s="2762"/>
      <c r="AQ106" s="2762"/>
      <c r="AR106" s="2762"/>
      <c r="AS106" s="2762"/>
      <c r="AT106" s="2762"/>
      <c r="AU106" s="2762"/>
      <c r="AV106" s="2497" t="s">
        <v>1271</v>
      </c>
      <c r="AW106" s="2497"/>
      <c r="AX106" s="2497"/>
      <c r="AY106" s="2497"/>
      <c r="AZ106" s="636"/>
      <c r="BA106" s="2200"/>
      <c r="BB106" s="956" t="b">
        <v>0</v>
      </c>
    </row>
    <row r="107" spans="2:54" ht="13.5" customHeight="1">
      <c r="B107" s="2566"/>
      <c r="C107" s="2878"/>
      <c r="D107" s="2878"/>
      <c r="E107" s="2565"/>
      <c r="H107" s="701" t="s">
        <v>1252</v>
      </c>
      <c r="I107" s="697"/>
      <c r="J107" s="697"/>
      <c r="K107" s="697"/>
      <c r="L107" s="697"/>
      <c r="M107" s="697"/>
      <c r="N107" s="697"/>
      <c r="O107" s="697"/>
      <c r="P107" s="697"/>
      <c r="Q107" s="697"/>
      <c r="R107" s="697"/>
      <c r="S107" s="697"/>
      <c r="T107" s="697"/>
      <c r="U107" s="697"/>
      <c r="V107" s="697"/>
      <c r="W107" s="697"/>
      <c r="X107" s="698"/>
      <c r="Y107" s="698"/>
      <c r="Z107" s="698"/>
      <c r="AA107" s="698"/>
      <c r="AB107" s="699"/>
      <c r="AC107" s="699"/>
      <c r="AD107" s="699"/>
      <c r="AE107" s="699"/>
      <c r="AF107" s="699"/>
      <c r="AG107" s="699"/>
      <c r="AH107" s="699"/>
      <c r="AI107" s="699"/>
      <c r="AJ107" s="699"/>
      <c r="AK107" s="699"/>
      <c r="AL107" s="699"/>
      <c r="AM107" s="699"/>
      <c r="AN107" s="700"/>
      <c r="AO107" s="700"/>
      <c r="AP107" s="700"/>
      <c r="AQ107" s="700"/>
      <c r="AR107" s="700"/>
      <c r="AS107" s="700"/>
      <c r="AT107" s="700"/>
      <c r="AU107" s="700"/>
      <c r="AV107" s="697"/>
      <c r="AW107" s="697"/>
      <c r="AX107" s="697"/>
      <c r="AY107" s="697"/>
      <c r="AZ107" s="636"/>
      <c r="BA107" s="2200"/>
      <c r="BB107" s="956" t="b">
        <v>0</v>
      </c>
    </row>
    <row r="108" spans="2:54" ht="13.5" customHeight="1">
      <c r="B108" s="2566"/>
      <c r="C108" s="2878"/>
      <c r="D108" s="2878"/>
      <c r="E108" s="2879"/>
      <c r="G108" s="12" t="s">
        <v>1269</v>
      </c>
      <c r="H108" s="2536" t="s">
        <v>1253</v>
      </c>
      <c r="I108" s="2536"/>
      <c r="J108" s="2536"/>
      <c r="K108" s="710" t="s">
        <v>1254</v>
      </c>
      <c r="L108" s="2536" t="s">
        <v>1255</v>
      </c>
      <c r="M108" s="2536"/>
      <c r="N108" s="2536"/>
      <c r="O108" s="710" t="s">
        <v>1258</v>
      </c>
      <c r="P108" s="709">
        <v>2</v>
      </c>
      <c r="Q108" s="710" t="s">
        <v>1256</v>
      </c>
      <c r="R108" s="2536" t="s">
        <v>1257</v>
      </c>
      <c r="S108" s="2536"/>
      <c r="T108" s="2536"/>
      <c r="U108" s="711" t="s">
        <v>1259</v>
      </c>
      <c r="V108" s="2496" t="s">
        <v>1260</v>
      </c>
      <c r="W108" s="2496"/>
      <c r="X108" s="2496"/>
      <c r="Y108" s="2496"/>
      <c r="Z108" s="2488" t="s">
        <v>1268</v>
      </c>
      <c r="AA108" s="2488"/>
      <c r="AB108" s="2763" t="s">
        <v>1261</v>
      </c>
      <c r="AC108" s="2763"/>
      <c r="AD108" s="2763"/>
      <c r="AE108" s="707" t="s">
        <v>1254</v>
      </c>
      <c r="AF108" s="2763" t="s">
        <v>1262</v>
      </c>
      <c r="AG108" s="2763"/>
      <c r="AH108" s="2763"/>
      <c r="AI108" s="712" t="s">
        <v>1258</v>
      </c>
      <c r="AJ108" s="709">
        <v>2</v>
      </c>
      <c r="AK108" s="712" t="s">
        <v>1256</v>
      </c>
      <c r="AL108" s="2480" t="s">
        <v>1263</v>
      </c>
      <c r="AM108" s="2480"/>
      <c r="AN108" s="2480"/>
      <c r="AO108" s="712" t="s">
        <v>1266</v>
      </c>
      <c r="AP108" s="2837"/>
      <c r="AQ108" s="2837"/>
      <c r="AR108" s="2837"/>
      <c r="AS108" s="713"/>
      <c r="AT108" s="2480" t="s">
        <v>1267</v>
      </c>
      <c r="AU108" s="2480"/>
      <c r="AV108" s="2480"/>
      <c r="AW108" s="708"/>
      <c r="AX108" s="708"/>
      <c r="AY108" s="708"/>
      <c r="AZ108" s="636"/>
      <c r="BA108" s="2200"/>
      <c r="BB108" s="956" t="b">
        <v>0</v>
      </c>
    </row>
    <row r="109" spans="2:54" ht="13.5" customHeight="1">
      <c r="B109" s="2566"/>
      <c r="C109" s="2878"/>
      <c r="D109" s="2878"/>
      <c r="E109" s="2879"/>
      <c r="G109" s="12" t="s">
        <v>1270</v>
      </c>
      <c r="H109" s="2478">
        <f ca="1">+$AS$357</f>
        <v>0</v>
      </c>
      <c r="I109" s="2478"/>
      <c r="J109" s="2478"/>
      <c r="K109" s="710" t="s">
        <v>1254</v>
      </c>
      <c r="L109" s="2478">
        <f ca="1">+$AS$421</f>
        <v>0</v>
      </c>
      <c r="M109" s="2478"/>
      <c r="N109" s="2478"/>
      <c r="O109" s="710" t="s">
        <v>1258</v>
      </c>
      <c r="P109" s="709">
        <v>2</v>
      </c>
      <c r="Q109" s="710" t="s">
        <v>1256</v>
      </c>
      <c r="R109" s="2478">
        <f ca="1">+$AS$304</f>
        <v>0</v>
      </c>
      <c r="S109" s="2478"/>
      <c r="T109" s="2478"/>
      <c r="U109" s="711" t="s">
        <v>1259</v>
      </c>
      <c r="V109" s="2478" t="e">
        <f>+$AF$100</f>
        <v>#N/A</v>
      </c>
      <c r="W109" s="2478"/>
      <c r="X109" s="2478"/>
      <c r="Y109" s="2478"/>
      <c r="Z109" s="2488" t="s">
        <v>1268</v>
      </c>
      <c r="AA109" s="2488"/>
      <c r="AB109" s="2478" t="e">
        <f>+VLOOKUP($AD$7,標準量,12,FALSE)</f>
        <v>#N/A</v>
      </c>
      <c r="AC109" s="2478"/>
      <c r="AD109" s="2478"/>
      <c r="AE109" s="707" t="s">
        <v>1254</v>
      </c>
      <c r="AF109" s="2478" t="e">
        <f>+VLOOKUP($AD$7,標準量,13,FALSE)</f>
        <v>#N/A</v>
      </c>
      <c r="AG109" s="2478"/>
      <c r="AH109" s="2478"/>
      <c r="AI109" s="712" t="s">
        <v>1258</v>
      </c>
      <c r="AJ109" s="709">
        <v>2</v>
      </c>
      <c r="AK109" s="712" t="s">
        <v>1256</v>
      </c>
      <c r="AL109" s="2478" t="e">
        <f>+VLOOKUP($AD$7,標準量,11,FALSE)</f>
        <v>#N/A</v>
      </c>
      <c r="AM109" s="2478"/>
      <c r="AN109" s="2478"/>
      <c r="AO109" s="712" t="s">
        <v>1266</v>
      </c>
      <c r="AP109" s="2792"/>
      <c r="AQ109" s="2792"/>
      <c r="AR109" s="2792"/>
      <c r="AS109" s="702" t="s">
        <v>1264</v>
      </c>
      <c r="AT109" s="2787" t="e">
        <f ca="1">+ROUNDDOWN(((H109+L109)/P109-R109)*ROUNDDOWN(V109/((AB109+AF109)/AJ109-AL109),2),2)</f>
        <v>#N/A</v>
      </c>
      <c r="AU109" s="2787"/>
      <c r="AV109" s="2787"/>
      <c r="AW109" s="701"/>
      <c r="AX109" s="701"/>
      <c r="AY109" s="701"/>
      <c r="AZ109" s="637"/>
      <c r="BA109" s="2200"/>
      <c r="BB109" s="956" t="b">
        <v>0</v>
      </c>
    </row>
    <row r="110" spans="2:54" ht="13.5" customHeight="1">
      <c r="B110" s="2880"/>
      <c r="C110" s="2881"/>
      <c r="D110" s="2881"/>
      <c r="E110" s="2882"/>
      <c r="F110" s="692"/>
      <c r="G110" s="5"/>
      <c r="H110" s="703"/>
      <c r="I110" s="703"/>
      <c r="J110" s="703"/>
      <c r="K110" s="703"/>
      <c r="L110" s="703"/>
      <c r="M110" s="703"/>
      <c r="N110" s="703"/>
      <c r="O110" s="703"/>
      <c r="P110" s="703"/>
      <c r="Q110" s="703"/>
      <c r="R110" s="703"/>
      <c r="S110" s="703"/>
      <c r="T110" s="703"/>
      <c r="U110" s="703"/>
      <c r="V110" s="703"/>
      <c r="W110" s="703"/>
      <c r="X110" s="704"/>
      <c r="Y110" s="704"/>
      <c r="Z110" s="704"/>
      <c r="AA110" s="704"/>
      <c r="AB110" s="705"/>
      <c r="AC110" s="705"/>
      <c r="AD110" s="705"/>
      <c r="AE110" s="705"/>
      <c r="AF110" s="705"/>
      <c r="AG110" s="705"/>
      <c r="AH110" s="705"/>
      <c r="AI110" s="705"/>
      <c r="AJ110" s="705"/>
      <c r="AK110" s="705"/>
      <c r="AL110" s="705"/>
      <c r="AM110" s="705"/>
      <c r="AN110" s="706"/>
      <c r="AO110" s="706"/>
      <c r="AP110" s="706"/>
      <c r="AQ110" s="706"/>
      <c r="AR110" s="706"/>
      <c r="AS110" s="706"/>
      <c r="AT110" s="706"/>
      <c r="AU110" s="706"/>
      <c r="AV110" s="703"/>
      <c r="AW110" s="703"/>
      <c r="AX110" s="703"/>
      <c r="AY110" s="703"/>
      <c r="AZ110" s="693"/>
      <c r="BA110" s="2200"/>
      <c r="BB110" s="956" t="b">
        <f t="shared" ref="BB110" si="18">BB$81</f>
        <v>0</v>
      </c>
    </row>
    <row r="111" spans="2:54" ht="13.5" customHeight="1">
      <c r="BA111" s="2200"/>
      <c r="BB111" s="956" t="b">
        <v>0</v>
      </c>
    </row>
    <row r="112" spans="2:54" ht="13.5" customHeight="1">
      <c r="BA112" s="2200"/>
      <c r="BB112" s="956" t="b">
        <v>0</v>
      </c>
    </row>
    <row r="113" spans="2:54" ht="13.5" customHeight="1">
      <c r="BA113" s="2200"/>
      <c r="BB113" s="956" t="b">
        <v>0</v>
      </c>
    </row>
    <row r="114" spans="2:54" ht="13.5" customHeight="1">
      <c r="B114" s="1523"/>
      <c r="C114" s="2089" t="s">
        <v>5694</v>
      </c>
      <c r="D114" s="2090"/>
      <c r="E114" s="2090"/>
      <c r="F114" s="2090"/>
      <c r="G114" s="2090"/>
      <c r="H114" s="2090"/>
      <c r="I114" s="2090"/>
      <c r="J114" s="2090"/>
      <c r="K114" s="2091"/>
      <c r="L114" s="2091"/>
      <c r="M114" s="2091"/>
      <c r="BA114" s="2200"/>
      <c r="BB114" s="956" t="b">
        <v>0</v>
      </c>
    </row>
    <row r="115" spans="2:54" ht="13.5" customHeight="1">
      <c r="BA115" s="2200"/>
      <c r="BB115" s="956" t="b">
        <v>0</v>
      </c>
    </row>
    <row r="116" spans="2:54" ht="13.5" customHeight="1">
      <c r="B116" s="2883" t="s">
        <v>1483</v>
      </c>
      <c r="C116" s="2884"/>
      <c r="D116" s="2871"/>
      <c r="E116" s="2872"/>
      <c r="F116" s="1593" t="s">
        <v>714</v>
      </c>
      <c r="G116" s="1593"/>
      <c r="H116" s="1593"/>
      <c r="I116" s="1593"/>
      <c r="J116" s="1593"/>
      <c r="K116" s="1593"/>
      <c r="L116" s="1594" t="s">
        <v>664</v>
      </c>
      <c r="M116" s="1593"/>
      <c r="N116" s="1593"/>
      <c r="O116" s="1595"/>
      <c r="P116" s="1596"/>
      <c r="Q116" s="1597"/>
      <c r="R116" s="1597"/>
      <c r="S116" s="1598"/>
      <c r="T116" s="1599" t="s">
        <v>1477</v>
      </c>
      <c r="U116" s="1600"/>
      <c r="V116" s="1600"/>
      <c r="W116" s="1601"/>
      <c r="X116" s="1602" t="s">
        <v>1478</v>
      </c>
      <c r="Y116" s="1603"/>
      <c r="Z116" s="1603"/>
      <c r="AA116" s="1604"/>
      <c r="AB116" s="1602" t="s">
        <v>1479</v>
      </c>
      <c r="AC116" s="1603"/>
      <c r="AD116" s="1603"/>
      <c r="AE116" s="1604"/>
      <c r="AF116" s="1605" t="s">
        <v>35</v>
      </c>
      <c r="AG116" s="1603"/>
      <c r="AH116" s="1603"/>
      <c r="AI116" s="1604"/>
      <c r="AJ116" s="1606" t="s">
        <v>669</v>
      </c>
      <c r="AK116" s="1606"/>
      <c r="AL116" s="1606"/>
      <c r="AM116" s="1606"/>
      <c r="AN116" s="1606" t="s">
        <v>36</v>
      </c>
      <c r="AO116" s="1606"/>
      <c r="AP116" s="1606"/>
      <c r="AQ116" s="1606"/>
      <c r="AR116" s="1606" t="s">
        <v>1474</v>
      </c>
      <c r="AS116" s="1594"/>
      <c r="AT116" s="1594"/>
      <c r="AU116" s="1593"/>
      <c r="AV116" s="1607" t="s">
        <v>681</v>
      </c>
      <c r="AW116" s="1608"/>
      <c r="AX116" s="1608"/>
      <c r="AY116" s="1609"/>
      <c r="AZ116" s="1610"/>
      <c r="BA116" s="2200"/>
      <c r="BB116" s="956" t="b">
        <f>OR(COUNTA(T117:AE117)&lt;&gt;0,AR117&lt;&gt;0)</f>
        <v>0</v>
      </c>
    </row>
    <row r="117" spans="2:54" ht="13.5" customHeight="1">
      <c r="B117" s="2885"/>
      <c r="C117" s="2885"/>
      <c r="D117" s="2840" t="s">
        <v>1476</v>
      </c>
      <c r="E117" s="2841"/>
      <c r="F117" s="2893" t="s">
        <v>1476</v>
      </c>
      <c r="G117" s="2894"/>
      <c r="H117" s="2894"/>
      <c r="I117" s="2894"/>
      <c r="J117" s="2894"/>
      <c r="K117" s="2895"/>
      <c r="L117" s="2503">
        <v>3632310</v>
      </c>
      <c r="M117" s="2504"/>
      <c r="N117" s="2504"/>
      <c r="O117" s="2505"/>
      <c r="P117" s="2533"/>
      <c r="Q117" s="2534"/>
      <c r="R117" s="2534"/>
      <c r="S117" s="2535"/>
      <c r="T117" s="2623"/>
      <c r="U117" s="2624"/>
      <c r="V117" s="2624"/>
      <c r="W117" s="2890"/>
      <c r="X117" s="2623"/>
      <c r="Y117" s="2624"/>
      <c r="Z117" s="2624"/>
      <c r="AA117" s="2624"/>
      <c r="AB117" s="2611"/>
      <c r="AC117" s="2612"/>
      <c r="AD117" s="2612"/>
      <c r="AE117" s="2613"/>
      <c r="AF117" s="740"/>
      <c r="AG117" s="741"/>
      <c r="AH117" s="741"/>
      <c r="AI117" s="742"/>
      <c r="AJ117" s="2513">
        <f>ROUNDDOWN(IFERROR(PRODUCT(T118:AI118),0),2)</f>
        <v>0.09</v>
      </c>
      <c r="AK117" s="2514"/>
      <c r="AL117" s="2514"/>
      <c r="AM117" s="2515"/>
      <c r="AN117" s="2503">
        <f>IF(F117="",0,INT(L117*AJ117))</f>
        <v>326907</v>
      </c>
      <c r="AO117" s="2504"/>
      <c r="AP117" s="2504"/>
      <c r="AQ117" s="2505"/>
      <c r="AR117" s="2823"/>
      <c r="AS117" s="2824"/>
      <c r="AT117" s="2824"/>
      <c r="AU117" s="2504" t="s">
        <v>1475</v>
      </c>
      <c r="AV117" s="2503">
        <f>INT(AN117*AR117)</f>
        <v>0</v>
      </c>
      <c r="AW117" s="2504"/>
      <c r="AX117" s="2504"/>
      <c r="AY117" s="2504"/>
      <c r="AZ117" s="2505"/>
      <c r="BA117" s="2200"/>
      <c r="BB117" s="956" t="b">
        <f>+$BB$116</f>
        <v>0</v>
      </c>
    </row>
    <row r="118" spans="2:54" ht="13.5" customHeight="1">
      <c r="B118" s="2885"/>
      <c r="C118" s="2885"/>
      <c r="D118" s="2841"/>
      <c r="E118" s="2841"/>
      <c r="F118" s="2896"/>
      <c r="G118" s="2897"/>
      <c r="H118" s="2897"/>
      <c r="I118" s="2897"/>
      <c r="J118" s="2897"/>
      <c r="K118" s="2898"/>
      <c r="L118" s="2506"/>
      <c r="M118" s="2507"/>
      <c r="N118" s="2507"/>
      <c r="O118" s="2508"/>
      <c r="P118" s="2493"/>
      <c r="Q118" s="2494"/>
      <c r="R118" s="2494"/>
      <c r="S118" s="2495"/>
      <c r="T118" s="2482">
        <f>+ROUNDDOWN(IF(T117&gt;=T120,V120+(V119-V120)/(T119^2-T120^2)*(T117^2-T120^2),V120+(V121-V120)/(T121^2-T120^2)*(T117^2-T120^2)),2)</f>
        <v>0.18</v>
      </c>
      <c r="U118" s="2483"/>
      <c r="V118" s="2483"/>
      <c r="W118" s="2484"/>
      <c r="X118" s="2482">
        <f>+ROUNDDOWN(IF(X117&gt;=X120,Z120+(Z119-Z120)/(X119-X120)*(X117-X120),Z120+(Z121-Z120)/(X121-X120)*(X117-X120)),2)</f>
        <v>0.5</v>
      </c>
      <c r="Y118" s="2483"/>
      <c r="Z118" s="2483"/>
      <c r="AA118" s="2484"/>
      <c r="AB118" s="2482" t="str">
        <f>IF(AB117="","",VLOOKUP(AB117,AB119:AE120,3,0))</f>
        <v/>
      </c>
      <c r="AC118" s="2483"/>
      <c r="AD118" s="2483"/>
      <c r="AE118" s="2484"/>
      <c r="AF118" s="743"/>
      <c r="AG118" s="744"/>
      <c r="AH118" s="744"/>
      <c r="AI118" s="745"/>
      <c r="AJ118" s="2470"/>
      <c r="AK118" s="2471"/>
      <c r="AL118" s="2471"/>
      <c r="AM118" s="2516"/>
      <c r="AN118" s="2506"/>
      <c r="AO118" s="2507"/>
      <c r="AP118" s="2507"/>
      <c r="AQ118" s="2508"/>
      <c r="AR118" s="2825"/>
      <c r="AS118" s="2826"/>
      <c r="AT118" s="2826"/>
      <c r="AU118" s="2507"/>
      <c r="AV118" s="2506"/>
      <c r="AW118" s="2507"/>
      <c r="AX118" s="2507"/>
      <c r="AY118" s="2507"/>
      <c r="AZ118" s="2508"/>
      <c r="BA118" s="2200"/>
      <c r="BB118" s="956" t="b">
        <f t="shared" ref="BB118:BB122" si="19">+$BB$116</f>
        <v>0</v>
      </c>
    </row>
    <row r="119" spans="2:54" ht="13.5" customHeight="1">
      <c r="B119" s="2885"/>
      <c r="C119" s="2885"/>
      <c r="D119" s="2841"/>
      <c r="E119" s="2841"/>
      <c r="P119" s="746"/>
      <c r="Q119" s="747"/>
      <c r="R119" s="748"/>
      <c r="S119" s="749"/>
      <c r="T119" s="2845">
        <v>1400</v>
      </c>
      <c r="U119" s="2846"/>
      <c r="V119" s="17">
        <v>1.5</v>
      </c>
      <c r="W119" s="1115"/>
      <c r="X119" s="2855">
        <v>250</v>
      </c>
      <c r="Y119" s="2856"/>
      <c r="Z119" s="17">
        <v>1.1000000000000001</v>
      </c>
      <c r="AA119" s="1115"/>
      <c r="AB119" s="2609" t="s">
        <v>1480</v>
      </c>
      <c r="AC119" s="2610"/>
      <c r="AD119" s="17">
        <v>1</v>
      </c>
      <c r="AE119" s="14"/>
      <c r="AZ119" s="637"/>
      <c r="BA119" s="2200"/>
      <c r="BB119" s="956" t="b">
        <f t="shared" si="19"/>
        <v>0</v>
      </c>
    </row>
    <row r="120" spans="2:54" ht="13.5" customHeight="1">
      <c r="B120" s="2885"/>
      <c r="C120" s="2885"/>
      <c r="D120" s="2841"/>
      <c r="E120" s="2841"/>
      <c r="G120" s="752"/>
      <c r="H120" s="753"/>
      <c r="I120" s="753"/>
      <c r="J120" s="753"/>
      <c r="K120" s="38"/>
      <c r="L120" s="754"/>
      <c r="M120" s="754"/>
      <c r="N120" s="754"/>
      <c r="O120" s="755"/>
      <c r="P120" s="755"/>
      <c r="Q120" s="755"/>
      <c r="R120" s="755"/>
      <c r="S120" s="504"/>
      <c r="T120" s="2853">
        <v>1200</v>
      </c>
      <c r="U120" s="2854"/>
      <c r="V120" s="25">
        <v>1</v>
      </c>
      <c r="W120" s="1116"/>
      <c r="X120" s="2843">
        <v>200</v>
      </c>
      <c r="Y120" s="2844"/>
      <c r="Z120" s="25">
        <v>1</v>
      </c>
      <c r="AA120" s="1116"/>
      <c r="AB120" s="2625" t="s">
        <v>1481</v>
      </c>
      <c r="AC120" s="2626"/>
      <c r="AD120" s="28">
        <v>0.85</v>
      </c>
      <c r="AE120" s="29"/>
      <c r="AZ120" s="637"/>
      <c r="BA120" s="2200"/>
      <c r="BB120" s="956" t="b">
        <f t="shared" si="19"/>
        <v>0</v>
      </c>
    </row>
    <row r="121" spans="2:54" ht="13.5" customHeight="1">
      <c r="B121" s="2885"/>
      <c r="C121" s="2885"/>
      <c r="D121" s="2841"/>
      <c r="E121" s="2841"/>
      <c r="G121" s="2"/>
      <c r="H121" s="2"/>
      <c r="I121" s="2"/>
      <c r="J121" s="9"/>
      <c r="K121" s="2"/>
      <c r="L121" s="9"/>
      <c r="M121" s="9"/>
      <c r="N121" s="9"/>
      <c r="O121" s="2"/>
      <c r="P121" s="2"/>
      <c r="Q121" s="2"/>
      <c r="R121" s="9"/>
      <c r="T121" s="2859">
        <v>1000</v>
      </c>
      <c r="U121" s="2860"/>
      <c r="V121" s="28">
        <v>0.75</v>
      </c>
      <c r="W121" s="1117"/>
      <c r="X121" s="2509">
        <v>160</v>
      </c>
      <c r="Y121" s="2510"/>
      <c r="Z121" s="28">
        <v>0.9</v>
      </c>
      <c r="AA121" s="1117"/>
      <c r="AZ121" s="637"/>
      <c r="BA121" s="2200"/>
      <c r="BB121" s="956" t="b">
        <f t="shared" si="19"/>
        <v>0</v>
      </c>
    </row>
    <row r="122" spans="2:54" ht="13.5" customHeight="1">
      <c r="B122" s="2886"/>
      <c r="C122" s="2886"/>
      <c r="D122" s="2842"/>
      <c r="E122" s="2842"/>
      <c r="F122" s="750"/>
      <c r="G122" s="750"/>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0"/>
      <c r="AY122" s="750"/>
      <c r="AZ122" s="751"/>
      <c r="BA122" s="2200"/>
      <c r="BB122" s="956" t="b">
        <f t="shared" si="19"/>
        <v>0</v>
      </c>
    </row>
    <row r="123" spans="2:54" ht="13.5" customHeight="1">
      <c r="BA123" s="2200"/>
      <c r="BB123" s="956" t="b">
        <v>0</v>
      </c>
    </row>
    <row r="124" spans="2:54" ht="13.5" customHeight="1">
      <c r="BA124" s="2200"/>
      <c r="BB124" s="956" t="b">
        <v>0</v>
      </c>
    </row>
    <row r="125" spans="2:54" ht="13.5" customHeight="1">
      <c r="BA125" s="2200"/>
      <c r="BB125" s="956" t="b">
        <v>0</v>
      </c>
    </row>
    <row r="126" spans="2:54" ht="13.5" customHeight="1">
      <c r="B126" s="1523"/>
      <c r="C126" s="2089" t="s">
        <v>5695</v>
      </c>
      <c r="D126" s="2090"/>
      <c r="E126" s="2090"/>
      <c r="F126" s="2090"/>
      <c r="G126" s="2090"/>
      <c r="H126" s="2090"/>
      <c r="I126" s="2090"/>
      <c r="J126" s="2090"/>
      <c r="BA126" s="2200"/>
      <c r="BB126" s="956" t="b">
        <v>0</v>
      </c>
    </row>
    <row r="127" spans="2:54" ht="1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2200"/>
      <c r="BB127" s="956" t="b">
        <f>BB$158</f>
        <v>0</v>
      </c>
    </row>
    <row r="128" spans="2:54" ht="13.5" customHeight="1">
      <c r="B128" s="2429" t="s">
        <v>713</v>
      </c>
      <c r="C128" s="2430"/>
      <c r="D128" s="2531"/>
      <c r="E128" s="2532"/>
      <c r="F128" s="1611" t="s">
        <v>714</v>
      </c>
      <c r="G128" s="1611"/>
      <c r="H128" s="1611"/>
      <c r="I128" s="1611"/>
      <c r="J128" s="1611"/>
      <c r="K128" s="1611"/>
      <c r="L128" s="1612" t="s">
        <v>664</v>
      </c>
      <c r="M128" s="1611"/>
      <c r="N128" s="1611"/>
      <c r="O128" s="1613"/>
      <c r="P128" s="1614" t="s">
        <v>715</v>
      </c>
      <c r="Q128" s="1615"/>
      <c r="R128" s="1615"/>
      <c r="S128" s="1613"/>
      <c r="T128" s="1614" t="s">
        <v>716</v>
      </c>
      <c r="U128" s="1615"/>
      <c r="V128" s="1615"/>
      <c r="W128" s="1616"/>
      <c r="X128" s="1614" t="s">
        <v>717</v>
      </c>
      <c r="Y128" s="1615"/>
      <c r="Z128" s="1615"/>
      <c r="AA128" s="1616"/>
      <c r="AB128" s="1614" t="s">
        <v>718</v>
      </c>
      <c r="AC128" s="1615"/>
      <c r="AD128" s="1615"/>
      <c r="AE128" s="1616"/>
      <c r="AF128" s="1614" t="s">
        <v>719</v>
      </c>
      <c r="AG128" s="1615"/>
      <c r="AH128" s="1615"/>
      <c r="AI128" s="1613"/>
      <c r="AJ128" s="1617" t="s">
        <v>669</v>
      </c>
      <c r="AK128" s="1617"/>
      <c r="AL128" s="1617"/>
      <c r="AM128" s="1617"/>
      <c r="AN128" s="1550" t="s">
        <v>720</v>
      </c>
      <c r="AO128" s="1550"/>
      <c r="AP128" s="1550"/>
      <c r="AQ128" s="1550"/>
      <c r="AR128" s="1617" t="str">
        <f>+IF(P129=P131,"地階","建床")&amp;"面積"</f>
        <v>建床面積</v>
      </c>
      <c r="AS128" s="1612"/>
      <c r="AT128" s="1612"/>
      <c r="AU128" s="1611"/>
      <c r="AV128" s="1618" t="s">
        <v>721</v>
      </c>
      <c r="AW128" s="1619"/>
      <c r="AX128" s="1619"/>
      <c r="AY128" s="1620"/>
      <c r="AZ128" s="1621"/>
      <c r="BA128" s="2200"/>
      <c r="BB128" s="956" t="b">
        <f ca="1">OR(COUNTA(T129,AB129,AF129)&lt;&gt;0,G135&lt;&gt;0)</f>
        <v>0</v>
      </c>
    </row>
    <row r="129" spans="2:54" ht="13.5" customHeight="1">
      <c r="B129" s="2338"/>
      <c r="C129" s="2337"/>
      <c r="D129" s="2887" t="s">
        <v>722</v>
      </c>
      <c r="E129" s="2337"/>
      <c r="F129" s="2481" t="s">
        <v>723</v>
      </c>
      <c r="G129" s="2473"/>
      <c r="H129" s="2473"/>
      <c r="I129" s="2473"/>
      <c r="J129" s="2473"/>
      <c r="K129" s="2474"/>
      <c r="L129" s="2418">
        <f>IF(P129="",0,P130)</f>
        <v>1560</v>
      </c>
      <c r="M129" s="2419"/>
      <c r="N129" s="2419"/>
      <c r="O129" s="2420"/>
      <c r="P129" s="2873" t="str">
        <f>+IF(COUNT(AK12:AZ12)&gt;0,P131,P132)</f>
        <v>なし</v>
      </c>
      <c r="Q129" s="2874"/>
      <c r="R129" s="2874"/>
      <c r="S129" s="2875"/>
      <c r="T129" s="2611"/>
      <c r="U129" s="2612"/>
      <c r="V129" s="2612"/>
      <c r="W129" s="2613"/>
      <c r="X129" s="2620">
        <f>+AX6</f>
        <v>0</v>
      </c>
      <c r="Y129" s="2621"/>
      <c r="Z129" s="2621"/>
      <c r="AA129" s="2622"/>
      <c r="AB129" s="2611"/>
      <c r="AC129" s="2612"/>
      <c r="AD129" s="2612"/>
      <c r="AE129" s="2613"/>
      <c r="AF129" s="2611"/>
      <c r="AG129" s="2612"/>
      <c r="AH129" s="2612"/>
      <c r="AI129" s="2613"/>
      <c r="AJ129" s="2513">
        <f>ROUNDDOWN(IFERROR(PRODUCT(T130:AI130),0),2)</f>
        <v>0</v>
      </c>
      <c r="AK129" s="2514"/>
      <c r="AL129" s="2514"/>
      <c r="AM129" s="2515"/>
      <c r="AN129" s="2418">
        <f>IF(F129="",0,INT(L129*AJ129))</f>
        <v>0</v>
      </c>
      <c r="AO129" s="2419"/>
      <c r="AP129" s="2419"/>
      <c r="AQ129" s="2420"/>
      <c r="AR129" s="2513">
        <f>+IF(P129=P131,SUM($AK$12:$AZ$12),$I$10)</f>
        <v>0</v>
      </c>
      <c r="AS129" s="2419"/>
      <c r="AT129" s="2419"/>
      <c r="AU129" s="2419" t="s">
        <v>724</v>
      </c>
      <c r="AV129" s="2614">
        <f>INT(AN129*AR129)</f>
        <v>0</v>
      </c>
      <c r="AW129" s="2615"/>
      <c r="AX129" s="2615"/>
      <c r="AY129" s="2615"/>
      <c r="AZ129" s="2616"/>
      <c r="BA129" s="2200"/>
      <c r="BB129" s="956" t="b">
        <f t="shared" ref="BB129:BB130" ca="1" si="20">BB$128</f>
        <v>0</v>
      </c>
    </row>
    <row r="130" spans="2:54" ht="13.5" customHeight="1">
      <c r="B130" s="2338"/>
      <c r="C130" s="2337"/>
      <c r="D130" s="2888"/>
      <c r="E130" s="2337"/>
      <c r="F130" s="2475"/>
      <c r="G130" s="2476"/>
      <c r="H130" s="2476"/>
      <c r="I130" s="2476"/>
      <c r="J130" s="2476"/>
      <c r="K130" s="2477"/>
      <c r="L130" s="2421"/>
      <c r="M130" s="2422"/>
      <c r="N130" s="2422"/>
      <c r="O130" s="2423"/>
      <c r="P130" s="2673">
        <f>IF(P129="","",VLOOKUP(P129,P131:S132,3,0))</f>
        <v>1560</v>
      </c>
      <c r="Q130" s="2341"/>
      <c r="R130" s="2341"/>
      <c r="S130" s="2674"/>
      <c r="T130" s="2482" t="str">
        <f>IF(T129="","",VLOOKUP(T129,T131:W134,3,0))</f>
        <v/>
      </c>
      <c r="U130" s="2483"/>
      <c r="V130" s="2483"/>
      <c r="W130" s="2484"/>
      <c r="X130" s="2482" t="str">
        <f>+IF(X129&lt;=0,"-",Z132+(Z131-Z132)*(X129-X132)/(X131-X132))</f>
        <v>-</v>
      </c>
      <c r="Y130" s="2483"/>
      <c r="Z130" s="2483"/>
      <c r="AA130" s="2484"/>
      <c r="AB130" s="2482" t="str">
        <f>IF(AB129="","",VLOOKUP(AB129,AB131:AE133,3,0))</f>
        <v/>
      </c>
      <c r="AC130" s="2483"/>
      <c r="AD130" s="2483"/>
      <c r="AE130" s="2484"/>
      <c r="AF130" s="2482" t="str">
        <f>IF(AF129="","",VLOOKUP(AF129,AF131:AI132,3,0))</f>
        <v/>
      </c>
      <c r="AG130" s="2483"/>
      <c r="AH130" s="2483"/>
      <c r="AI130" s="2484"/>
      <c r="AJ130" s="2470"/>
      <c r="AK130" s="2471"/>
      <c r="AL130" s="2471"/>
      <c r="AM130" s="2516"/>
      <c r="AN130" s="2421"/>
      <c r="AO130" s="2422"/>
      <c r="AP130" s="2422"/>
      <c r="AQ130" s="2423"/>
      <c r="AR130" s="2421"/>
      <c r="AS130" s="2422"/>
      <c r="AT130" s="2422"/>
      <c r="AU130" s="2422"/>
      <c r="AV130" s="2617"/>
      <c r="AW130" s="2618"/>
      <c r="AX130" s="2618"/>
      <c r="AY130" s="2618"/>
      <c r="AZ130" s="2619"/>
      <c r="BA130" s="2200"/>
      <c r="BB130" s="956" t="b">
        <f t="shared" ca="1" si="20"/>
        <v>0</v>
      </c>
    </row>
    <row r="131" spans="2:54" ht="13.5" customHeight="1">
      <c r="B131" s="2338"/>
      <c r="C131" s="2337"/>
      <c r="D131" s="2888"/>
      <c r="E131" s="2337"/>
      <c r="P131" s="15" t="s">
        <v>725</v>
      </c>
      <c r="Q131" s="54"/>
      <c r="R131" s="1111">
        <v>34800</v>
      </c>
      <c r="S131" s="1112"/>
      <c r="T131" s="13" t="s">
        <v>726</v>
      </c>
      <c r="U131" s="54"/>
      <c r="V131" s="17">
        <v>1.2</v>
      </c>
      <c r="W131" s="14"/>
      <c r="X131" s="1118" t="str">
        <f>+IF(P129=P131,2,"-")</f>
        <v>-</v>
      </c>
      <c r="Y131" s="54"/>
      <c r="Z131" s="17" t="str">
        <f>+IF(P129=P131,1.2,"-")</f>
        <v>-</v>
      </c>
      <c r="AA131" s="14"/>
      <c r="AB131" s="13" t="s">
        <v>727</v>
      </c>
      <c r="AC131" s="54"/>
      <c r="AD131" s="17">
        <v>1.5</v>
      </c>
      <c r="AE131" s="14"/>
      <c r="AF131" s="13" t="s">
        <v>728</v>
      </c>
      <c r="AG131" s="54"/>
      <c r="AH131" s="17">
        <v>1.3</v>
      </c>
      <c r="AI131" s="14"/>
      <c r="AZ131" s="43"/>
      <c r="BA131" s="2200"/>
      <c r="BB131" s="956" t="b">
        <f t="shared" ref="BB131:BB136" ca="1" si="21">BB$128</f>
        <v>0</v>
      </c>
    </row>
    <row r="132" spans="2:54" ht="13.5" customHeight="1">
      <c r="B132" s="2338"/>
      <c r="C132" s="2337"/>
      <c r="D132" s="2888"/>
      <c r="E132" s="2337"/>
      <c r="P132" s="26" t="s">
        <v>729</v>
      </c>
      <c r="Q132" s="62"/>
      <c r="R132" s="1113">
        <v>1560</v>
      </c>
      <c r="S132" s="1114"/>
      <c r="T132" s="57" t="s">
        <v>712</v>
      </c>
      <c r="U132" s="58"/>
      <c r="V132" s="25">
        <v>1</v>
      </c>
      <c r="W132" s="23"/>
      <c r="X132" s="1119" t="str">
        <f>+IF(P129=P131,1,"-")</f>
        <v>-</v>
      </c>
      <c r="Y132" s="62"/>
      <c r="Z132" s="28" t="str">
        <f>+IF(P129=P131,1,"-")</f>
        <v>-</v>
      </c>
      <c r="AA132" s="29"/>
      <c r="AB132" s="57" t="s">
        <v>712</v>
      </c>
      <c r="AC132" s="58"/>
      <c r="AD132" s="25">
        <v>1</v>
      </c>
      <c r="AE132" s="23"/>
      <c r="AF132" s="61" t="s">
        <v>712</v>
      </c>
      <c r="AG132" s="62"/>
      <c r="AH132" s="28">
        <v>1</v>
      </c>
      <c r="AI132" s="29"/>
      <c r="AZ132" s="43"/>
      <c r="BA132" s="2200"/>
      <c r="BB132" s="956" t="b">
        <f t="shared" ca="1" si="21"/>
        <v>0</v>
      </c>
    </row>
    <row r="133" spans="2:54" ht="13.5" customHeight="1">
      <c r="B133" s="2338"/>
      <c r="C133" s="2337"/>
      <c r="D133" s="2888"/>
      <c r="E133" s="2337"/>
      <c r="T133" s="57" t="s">
        <v>731</v>
      </c>
      <c r="U133" s="58"/>
      <c r="V133" s="25">
        <v>0.8</v>
      </c>
      <c r="W133" s="23"/>
      <c r="X133" s="1120"/>
      <c r="Y133" s="66"/>
      <c r="Z133" s="66"/>
      <c r="AA133" s="1121"/>
      <c r="AB133" s="61" t="s">
        <v>732</v>
      </c>
      <c r="AC133" s="62"/>
      <c r="AD133" s="28">
        <v>0.85</v>
      </c>
      <c r="AE133" s="29"/>
      <c r="AZ133" s="43"/>
      <c r="BA133" s="2200"/>
      <c r="BB133" s="956" t="b">
        <f t="shared" ca="1" si="21"/>
        <v>0</v>
      </c>
    </row>
    <row r="134" spans="2:54" ht="13.5" customHeight="1">
      <c r="B134" s="2338"/>
      <c r="C134" s="2337"/>
      <c r="D134" s="2888"/>
      <c r="E134" s="2337"/>
      <c r="G134" s="1622" t="s">
        <v>1019</v>
      </c>
      <c r="H134" s="1552"/>
      <c r="I134" s="1552"/>
      <c r="J134" s="1554"/>
      <c r="K134" s="1623" t="str">
        <f>+AR128</f>
        <v>建床面積</v>
      </c>
      <c r="L134" s="1547"/>
      <c r="M134" s="1547"/>
      <c r="N134" s="1548"/>
      <c r="O134" s="1624" t="s">
        <v>1018</v>
      </c>
      <c r="P134" s="1625"/>
      <c r="Q134" s="1625"/>
      <c r="R134" s="1626"/>
      <c r="S134" t="s">
        <v>735</v>
      </c>
      <c r="T134" s="26" t="s">
        <v>736</v>
      </c>
      <c r="U134" s="62"/>
      <c r="V134" s="1499" t="e">
        <f ca="1">ROUNDDOWN(O135/IF(P129=P131,5,1),2)</f>
        <v>#DIV/0!</v>
      </c>
      <c r="W134" s="29"/>
      <c r="X134" s="1122"/>
      <c r="Y134" s="1123"/>
      <c r="Z134" s="1123"/>
      <c r="AA134" s="1123"/>
      <c r="AC134" s="1124"/>
      <c r="AD134" s="1124"/>
      <c r="AE134" s="1124"/>
      <c r="AZ134" s="43"/>
      <c r="BA134" s="2200"/>
      <c r="BB134" s="956" t="b">
        <f t="shared" ca="1" si="21"/>
        <v>0</v>
      </c>
    </row>
    <row r="135" spans="2:54" ht="13.5" customHeight="1">
      <c r="B135" s="2338"/>
      <c r="C135" s="2337"/>
      <c r="D135" s="2888"/>
      <c r="E135" s="2337"/>
      <c r="G135" s="2470">
        <f ca="1">SUMIF(見積拾!C$7:D$27,根伐土量名称,見積拾!T$7:T$27)</f>
        <v>0</v>
      </c>
      <c r="H135" s="2471"/>
      <c r="I135" s="2471"/>
      <c r="J135" s="69" t="s">
        <v>1020</v>
      </c>
      <c r="K135" s="2470">
        <f>+AR129</f>
        <v>0</v>
      </c>
      <c r="L135" s="2422"/>
      <c r="M135" s="2422"/>
      <c r="N135" s="69" t="s">
        <v>1017</v>
      </c>
      <c r="O135" s="2470" t="e">
        <f ca="1">ROUNDDOWN(G135/K135,2)</f>
        <v>#DIV/0!</v>
      </c>
      <c r="P135" s="2471"/>
      <c r="Q135" s="2471"/>
      <c r="R135" s="69" t="s">
        <v>38</v>
      </c>
      <c r="AZ135" s="43"/>
      <c r="BA135" s="2200"/>
      <c r="BB135" s="956" t="b">
        <f t="shared" ca="1" si="21"/>
        <v>0</v>
      </c>
    </row>
    <row r="136" spans="2:54" ht="13.5" customHeight="1">
      <c r="B136" s="2338"/>
      <c r="C136" s="2337"/>
      <c r="D136" s="2889"/>
      <c r="E136" s="2340"/>
      <c r="F136" s="5"/>
      <c r="G136" s="5"/>
      <c r="H136" s="5"/>
      <c r="I136" s="5"/>
      <c r="J136" s="5"/>
      <c r="K136" s="5"/>
      <c r="L136" s="5"/>
      <c r="M136" s="5"/>
      <c r="N136" s="5"/>
      <c r="O136" s="5"/>
      <c r="P136" s="5"/>
      <c r="Q136" s="5"/>
      <c r="R136" s="5"/>
      <c r="S136" s="5"/>
      <c r="T136" s="5"/>
      <c r="U136" s="5"/>
      <c r="V136" s="5"/>
      <c r="W136" s="5"/>
      <c r="X136" s="5"/>
      <c r="Y136" s="5"/>
      <c r="Z136" s="5"/>
      <c r="AA136" s="5"/>
      <c r="AZ136" s="43"/>
      <c r="BA136" s="2200"/>
      <c r="BB136" s="956" t="b">
        <f t="shared" ca="1" si="21"/>
        <v>0</v>
      </c>
    </row>
    <row r="137" spans="2:54" ht="13.5" customHeight="1">
      <c r="B137" s="2338"/>
      <c r="C137" s="2337"/>
      <c r="D137" s="2531"/>
      <c r="E137" s="2532"/>
      <c r="F137" s="2132" t="s">
        <v>714</v>
      </c>
      <c r="G137" s="2132"/>
      <c r="H137" s="2132"/>
      <c r="I137" s="2132"/>
      <c r="J137" s="2132"/>
      <c r="K137" s="2132"/>
      <c r="L137" s="1549" t="s">
        <v>664</v>
      </c>
      <c r="M137" s="1547"/>
      <c r="N137" s="1547"/>
      <c r="O137" s="1548"/>
      <c r="P137" s="1627" t="s">
        <v>5589</v>
      </c>
      <c r="Q137" s="1615"/>
      <c r="R137" s="1615"/>
      <c r="S137" s="1613"/>
      <c r="T137" s="1627" t="s">
        <v>5759</v>
      </c>
      <c r="U137" s="1615"/>
      <c r="V137" s="1615"/>
      <c r="W137" s="1613"/>
      <c r="X137" s="1628" t="s">
        <v>737</v>
      </c>
      <c r="Y137" s="1629"/>
      <c r="Z137" s="1629"/>
      <c r="AA137" s="1630"/>
      <c r="AB137" s="1623" t="s">
        <v>738</v>
      </c>
      <c r="AC137" s="1631"/>
      <c r="AD137" s="1631"/>
      <c r="AE137" s="1632"/>
      <c r="AF137" s="1623" t="s">
        <v>739</v>
      </c>
      <c r="AG137" s="1631"/>
      <c r="AH137" s="1631"/>
      <c r="AI137" s="1632"/>
      <c r="AJ137" s="1550" t="s">
        <v>669</v>
      </c>
      <c r="AK137" s="1550"/>
      <c r="AL137" s="1550"/>
      <c r="AM137" s="1550"/>
      <c r="AN137" s="1550" t="s">
        <v>720</v>
      </c>
      <c r="AO137" s="1550"/>
      <c r="AP137" s="1550"/>
      <c r="AQ137" s="1550"/>
      <c r="AR137" s="1550" t="s">
        <v>641</v>
      </c>
      <c r="AS137" s="1549"/>
      <c r="AT137" s="1549"/>
      <c r="AU137" s="1547"/>
      <c r="AV137" s="1633" t="s">
        <v>5499</v>
      </c>
      <c r="AW137" s="1634"/>
      <c r="AX137" s="1634"/>
      <c r="AY137" s="1635"/>
      <c r="AZ137" s="1636"/>
      <c r="BA137" s="2200"/>
      <c r="BB137" s="956" t="b">
        <f>OR(COUNTA(P138:AI138)&lt;&gt;0,K143&lt;&gt;0)</f>
        <v>0</v>
      </c>
    </row>
    <row r="138" spans="2:54" ht="13.5" customHeight="1">
      <c r="B138" s="2338"/>
      <c r="C138" s="2337"/>
      <c r="D138" s="2887" t="s">
        <v>1279</v>
      </c>
      <c r="E138" s="2337"/>
      <c r="F138" s="2877"/>
      <c r="G138" s="2877"/>
      <c r="H138" s="2877"/>
      <c r="I138" s="2877"/>
      <c r="J138" s="2877"/>
      <c r="K138" s="2877"/>
      <c r="L138" s="2418">
        <f>IF(F138="立上り部分のみ",P139-L140,P139)</f>
        <v>0</v>
      </c>
      <c r="M138" s="2419"/>
      <c r="N138" s="2419"/>
      <c r="O138" s="2420"/>
      <c r="P138" s="2847"/>
      <c r="Q138" s="2848"/>
      <c r="R138" s="2848"/>
      <c r="S138" s="2849"/>
      <c r="T138" s="2125"/>
      <c r="U138" s="2126"/>
      <c r="V138" s="2126"/>
      <c r="W138" s="2127"/>
      <c r="X138" s="2611"/>
      <c r="Y138" s="2612"/>
      <c r="Z138" s="2612"/>
      <c r="AA138" s="2613"/>
      <c r="AB138" s="2611"/>
      <c r="AC138" s="2612"/>
      <c r="AD138" s="2612"/>
      <c r="AE138" s="2612"/>
      <c r="AF138" s="2611"/>
      <c r="AG138" s="2612"/>
      <c r="AH138" s="2612"/>
      <c r="AI138" s="2613"/>
      <c r="AJ138" s="2513">
        <f>ROUNDDOWN(IFERROR(PRODUCT(X139:AI139),0),2)</f>
        <v>0</v>
      </c>
      <c r="AK138" s="2514"/>
      <c r="AL138" s="2514"/>
      <c r="AM138" s="2515"/>
      <c r="AN138" s="2418">
        <f>IF(L138="",0,INT(L138*AJ138))</f>
        <v>0</v>
      </c>
      <c r="AO138" s="2419"/>
      <c r="AP138" s="2419"/>
      <c r="AQ138" s="2420"/>
      <c r="AR138" s="2636">
        <f>$I$10</f>
        <v>0</v>
      </c>
      <c r="AS138" s="2637"/>
      <c r="AT138" s="2637"/>
      <c r="AU138" s="2505" t="s">
        <v>724</v>
      </c>
      <c r="AV138" s="2627">
        <f>INT(SUM(AN138:AQ141)*AR138)</f>
        <v>0</v>
      </c>
      <c r="AW138" s="2628"/>
      <c r="AX138" s="2628"/>
      <c r="AY138" s="2628"/>
      <c r="AZ138" s="2629"/>
      <c r="BA138" s="2200"/>
      <c r="BB138" s="956" t="b">
        <f t="shared" ref="BB138:BB147" si="22">BB$137</f>
        <v>0</v>
      </c>
    </row>
    <row r="139" spans="2:54" ht="13.5" customHeight="1">
      <c r="B139" s="2338"/>
      <c r="C139" s="2337"/>
      <c r="D139" s="2888"/>
      <c r="E139" s="2337"/>
      <c r="F139" s="2877"/>
      <c r="G139" s="2877"/>
      <c r="H139" s="2877"/>
      <c r="I139" s="2877"/>
      <c r="J139" s="2877"/>
      <c r="K139" s="2877"/>
      <c r="L139" s="2421"/>
      <c r="M139" s="2422"/>
      <c r="N139" s="2422"/>
      <c r="O139" s="2423"/>
      <c r="P139" s="2850">
        <f>IF(P138="",0,VLOOKUP(P138,P142:S145,3,0))</f>
        <v>0</v>
      </c>
      <c r="Q139" s="2851"/>
      <c r="R139" s="2851"/>
      <c r="S139" s="2852"/>
      <c r="T139" s="2128"/>
      <c r="U139" s="2129"/>
      <c r="V139" s="2129"/>
      <c r="W139" s="2130"/>
      <c r="X139" s="2482" t="str">
        <f>IF(X138="","",VLOOKUP(X138,X142:AA145,3,0))</f>
        <v/>
      </c>
      <c r="Y139" s="2483"/>
      <c r="Z139" s="2483"/>
      <c r="AA139" s="2484"/>
      <c r="AB139" s="2482" t="str">
        <f>IF(AB138="","",VLOOKUP(AB138,AB142:AE144,3,0))</f>
        <v/>
      </c>
      <c r="AC139" s="2483"/>
      <c r="AD139" s="2483"/>
      <c r="AE139" s="2483"/>
      <c r="AF139" s="2482" t="str">
        <f>IF(AF138="","",VLOOKUP(AF138,AF142:AI143,3,0))</f>
        <v/>
      </c>
      <c r="AG139" s="2483"/>
      <c r="AH139" s="2483"/>
      <c r="AI139" s="2484"/>
      <c r="AJ139" s="2470"/>
      <c r="AK139" s="2471"/>
      <c r="AL139" s="2471"/>
      <c r="AM139" s="2516"/>
      <c r="AN139" s="2421"/>
      <c r="AO139" s="2422"/>
      <c r="AP139" s="2422"/>
      <c r="AQ139" s="2423"/>
      <c r="AR139" s="2459"/>
      <c r="AS139" s="2460"/>
      <c r="AT139" s="2460"/>
      <c r="AU139" s="2640"/>
      <c r="AV139" s="2630"/>
      <c r="AW139" s="2631"/>
      <c r="AX139" s="2631"/>
      <c r="AY139" s="2631"/>
      <c r="AZ139" s="2632"/>
      <c r="BA139" s="2200"/>
      <c r="BB139" s="956" t="b">
        <f t="shared" si="22"/>
        <v>0</v>
      </c>
    </row>
    <row r="140" spans="2:54" ht="13.5" customHeight="1">
      <c r="B140" s="2338"/>
      <c r="C140" s="2431"/>
      <c r="D140" s="2888"/>
      <c r="E140" s="2431"/>
      <c r="F140" s="2861" t="str">
        <f>IF(F138="立上り部分のみ","スラブ部分のみ","-")</f>
        <v>-</v>
      </c>
      <c r="G140" s="2861"/>
      <c r="H140" s="2861"/>
      <c r="I140" s="2861"/>
      <c r="J140" s="2861"/>
      <c r="K140" s="2861"/>
      <c r="L140" s="2418">
        <f>IF(F138="立上り部分のみ",T141,0)</f>
        <v>0</v>
      </c>
      <c r="M140" s="2419"/>
      <c r="N140" s="2419"/>
      <c r="O140" s="2420"/>
      <c r="P140" s="2125"/>
      <c r="Q140" s="2126"/>
      <c r="R140" s="2126"/>
      <c r="S140" s="2127"/>
      <c r="T140" s="2611"/>
      <c r="U140" s="2612"/>
      <c r="V140" s="2612"/>
      <c r="W140" s="2613"/>
      <c r="X140" s="2125"/>
      <c r="Y140" s="2126"/>
      <c r="Z140" s="2126"/>
      <c r="AA140" s="2127"/>
      <c r="AB140" s="2611"/>
      <c r="AC140" s="2612"/>
      <c r="AD140" s="2612"/>
      <c r="AE140" s="2612"/>
      <c r="AF140" s="2611"/>
      <c r="AG140" s="2612"/>
      <c r="AH140" s="2612"/>
      <c r="AI140" s="2613"/>
      <c r="AJ140" s="2513">
        <f>ROUNDDOWN(IFERROR(PRODUCT(X141:AI141),0),2)</f>
        <v>0</v>
      </c>
      <c r="AK140" s="2514"/>
      <c r="AL140" s="2514"/>
      <c r="AM140" s="2515"/>
      <c r="AN140" s="2418">
        <f>IF(L140="",0,INT(L140*AJ140))</f>
        <v>0</v>
      </c>
      <c r="AO140" s="2419"/>
      <c r="AP140" s="2419"/>
      <c r="AQ140" s="2420"/>
      <c r="AR140" s="2459"/>
      <c r="AS140" s="2460"/>
      <c r="AT140" s="2460"/>
      <c r="AU140" s="2640"/>
      <c r="AV140" s="2630"/>
      <c r="AW140" s="2631"/>
      <c r="AX140" s="2631"/>
      <c r="AY140" s="2631"/>
      <c r="AZ140" s="2632"/>
      <c r="BA140" s="2200"/>
      <c r="BB140" s="956" t="b">
        <f t="shared" si="22"/>
        <v>0</v>
      </c>
    </row>
    <row r="141" spans="2:54" ht="13.5" customHeight="1">
      <c r="B141" s="2338"/>
      <c r="C141" s="2431"/>
      <c r="D141" s="2888"/>
      <c r="E141" s="2431"/>
      <c r="F141" s="2861"/>
      <c r="G141" s="2861"/>
      <c r="H141" s="2861"/>
      <c r="I141" s="2861"/>
      <c r="J141" s="2861"/>
      <c r="K141" s="2861"/>
      <c r="L141" s="2421"/>
      <c r="M141" s="2422"/>
      <c r="N141" s="2422"/>
      <c r="O141" s="2423"/>
      <c r="P141" s="2128"/>
      <c r="Q141" s="2129"/>
      <c r="R141" s="2129"/>
      <c r="S141" s="2130"/>
      <c r="T141" s="2456">
        <f>IF(T140="",0,VLOOKUP(T140,T142:W144,3,0))</f>
        <v>0</v>
      </c>
      <c r="U141" s="2457"/>
      <c r="V141" s="2457"/>
      <c r="W141" s="2458"/>
      <c r="X141" s="2128"/>
      <c r="Y141" s="2129"/>
      <c r="Z141" s="2129"/>
      <c r="AA141" s="2130"/>
      <c r="AB141" s="2482" t="str">
        <f>IF(AB140="","",VLOOKUP(AB140,AB142:AE144,3,0))</f>
        <v/>
      </c>
      <c r="AC141" s="2483"/>
      <c r="AD141" s="2483"/>
      <c r="AE141" s="2483"/>
      <c r="AF141" s="2482" t="str">
        <f>IF(AF140="","",VLOOKUP(AF140,AF142:AI143,3,0))</f>
        <v/>
      </c>
      <c r="AG141" s="2483"/>
      <c r="AH141" s="2483"/>
      <c r="AI141" s="2484"/>
      <c r="AJ141" s="2470"/>
      <c r="AK141" s="2471"/>
      <c r="AL141" s="2471"/>
      <c r="AM141" s="2516"/>
      <c r="AN141" s="2421"/>
      <c r="AO141" s="2422"/>
      <c r="AP141" s="2422"/>
      <c r="AQ141" s="2423"/>
      <c r="AR141" s="2638"/>
      <c r="AS141" s="2639"/>
      <c r="AT141" s="2639"/>
      <c r="AU141" s="2641"/>
      <c r="AV141" s="2633"/>
      <c r="AW141" s="2634"/>
      <c r="AX141" s="2634"/>
      <c r="AY141" s="2634"/>
      <c r="AZ141" s="2635"/>
      <c r="BA141" s="2200"/>
      <c r="BB141" s="956" t="b">
        <f t="shared" si="22"/>
        <v>0</v>
      </c>
    </row>
    <row r="142" spans="2:54" ht="13.5" customHeight="1">
      <c r="B142" s="2338"/>
      <c r="C142" s="2337"/>
      <c r="D142" s="2888"/>
      <c r="E142" s="2337"/>
      <c r="P142" s="1502" t="str">
        <f>DB!$D$616</f>
        <v>45cm</v>
      </c>
      <c r="Q142" s="1500"/>
      <c r="R142" s="2857" t="e">
        <f>VLOOKUP($AD$7,基礎工事,2,FALSE)</f>
        <v>#N/A</v>
      </c>
      <c r="S142" s="2858"/>
      <c r="T142" s="2831" t="s">
        <v>5760</v>
      </c>
      <c r="U142" s="2832"/>
      <c r="V142" s="2833">
        <v>8550</v>
      </c>
      <c r="W142" s="2834"/>
      <c r="X142" s="1503" t="e">
        <f>VLOOKUP($AD$7,基礎工事,16,FALSE)</f>
        <v>#N/A</v>
      </c>
      <c r="Y142" s="1504"/>
      <c r="Z142" s="1505" t="e">
        <f>VLOOKUP($AD$7,基礎工事,17,FALSE)</f>
        <v>#N/A</v>
      </c>
      <c r="AA142" s="1506"/>
      <c r="AB142" s="1514" t="e">
        <f>VLOOKUP($AD$7,基礎工事,22,FALSE)</f>
        <v>#N/A</v>
      </c>
      <c r="AC142" s="1515"/>
      <c r="AD142" s="1505" t="e">
        <f>VLOOKUP($AD$7,基礎工事,23,FALSE)</f>
        <v>#N/A</v>
      </c>
      <c r="AE142" s="1506"/>
      <c r="AF142" s="1521" t="e">
        <f>VLOOKUP($AD$7,基礎工事,10,FALSE)</f>
        <v>#N/A</v>
      </c>
      <c r="AG142" s="1091"/>
      <c r="AH142" s="17" t="e">
        <f>VLOOKUP($AD$7,基礎工事,11,FALSE)</f>
        <v>#N/A</v>
      </c>
      <c r="AI142" s="14"/>
      <c r="AZ142" s="43"/>
      <c r="BA142" s="2200"/>
      <c r="BB142" s="956" t="b">
        <f t="shared" si="22"/>
        <v>0</v>
      </c>
    </row>
    <row r="143" spans="2:54" ht="13.5" customHeight="1">
      <c r="B143" s="2338"/>
      <c r="C143" s="2337"/>
      <c r="D143" s="2888"/>
      <c r="E143" s="2337"/>
      <c r="G143" s="2112" t="s">
        <v>744</v>
      </c>
      <c r="H143" s="2113"/>
      <c r="I143" s="2113"/>
      <c r="J143" s="2114"/>
      <c r="K143" s="2543">
        <f>基礎・屋根・外壁!AF6</f>
        <v>0</v>
      </c>
      <c r="L143" s="2544"/>
      <c r="M143" s="2544"/>
      <c r="N143" s="989" t="s">
        <v>745</v>
      </c>
      <c r="P143" s="1507" t="str">
        <f>DB!$E$616</f>
        <v>40cm</v>
      </c>
      <c r="Q143" s="1501"/>
      <c r="R143" s="2899" t="e">
        <f>VLOOKUP($AD$7,基礎工事,3,FALSE)</f>
        <v>#N/A</v>
      </c>
      <c r="S143" s="2900"/>
      <c r="T143" s="2827" t="s">
        <v>5761</v>
      </c>
      <c r="U143" s="2828"/>
      <c r="V143" s="2835">
        <f>V142*0.8</f>
        <v>6840</v>
      </c>
      <c r="W143" s="2836"/>
      <c r="X143" s="1508" t="e">
        <f>VLOOKUP($AD$7,基礎工事,18,FALSE)</f>
        <v>#N/A</v>
      </c>
      <c r="Y143" s="1509"/>
      <c r="Z143" s="1509" t="e">
        <f>VLOOKUP($AD$7,基礎工事,19,FALSE)</f>
        <v>#N/A</v>
      </c>
      <c r="AA143" s="1510"/>
      <c r="AB143" s="1516" t="e">
        <f>VLOOKUP($AD$7,基礎工事,24,FALSE)</f>
        <v>#N/A</v>
      </c>
      <c r="AC143" s="1517"/>
      <c r="AD143" s="1509" t="e">
        <f>VLOOKUP($AD$7,基礎工事,25,FALSE)</f>
        <v>#N/A</v>
      </c>
      <c r="AE143" s="1510"/>
      <c r="AF143" s="2625" t="e">
        <f>VLOOKUP($AD$7,基礎工事,12,FALSE)</f>
        <v>#N/A</v>
      </c>
      <c r="AG143" s="2626"/>
      <c r="AH143" s="28" t="e">
        <f>VLOOKUP($AD$7,基礎工事,13,FALSE)</f>
        <v>#N/A</v>
      </c>
      <c r="AI143" s="29"/>
      <c r="AZ143" s="43"/>
      <c r="BA143" s="2200"/>
      <c r="BB143" s="956" t="b">
        <f t="shared" si="22"/>
        <v>0</v>
      </c>
    </row>
    <row r="144" spans="2:54" ht="13.5" customHeight="1">
      <c r="B144" s="2338"/>
      <c r="C144" s="2337"/>
      <c r="D144" s="2888"/>
      <c r="E144" s="2337"/>
      <c r="G144" s="1605" t="s">
        <v>734</v>
      </c>
      <c r="H144" s="1593"/>
      <c r="I144" s="1593"/>
      <c r="J144" s="1595"/>
      <c r="K144" s="2638">
        <f>I$10</f>
        <v>0</v>
      </c>
      <c r="L144" s="2876"/>
      <c r="M144" s="2876"/>
      <c r="N144" s="2115" t="s">
        <v>1017</v>
      </c>
      <c r="P144" s="1507" t="str">
        <f>DB!$F$616</f>
        <v>30cm</v>
      </c>
      <c r="Q144" s="1501"/>
      <c r="R144" s="2899" t="e">
        <f>VLOOKUP($AD$7,基礎工事,4,FALSE)</f>
        <v>#N/A</v>
      </c>
      <c r="S144" s="2900"/>
      <c r="T144" s="2862" t="s">
        <v>778</v>
      </c>
      <c r="U144" s="2863"/>
      <c r="V144" s="2864">
        <v>0</v>
      </c>
      <c r="W144" s="2865"/>
      <c r="X144" s="1508" t="e">
        <f>VLOOKUP($AD$7,基礎工事,20,FALSE)</f>
        <v>#N/A</v>
      </c>
      <c r="Y144" s="1509"/>
      <c r="Z144" s="1509" t="e">
        <f>VLOOKUP($AD$7,基礎工事,21,FALSE)</f>
        <v>#N/A</v>
      </c>
      <c r="AA144" s="1510"/>
      <c r="AB144" s="1518" t="e">
        <f>VLOOKUP($AD$7,基礎工事,26,FALSE)</f>
        <v>#N/A</v>
      </c>
      <c r="AC144" s="1519"/>
      <c r="AD144" s="1513" t="e">
        <f>VLOOKUP($AD$7,基礎工事,27,FALSE)</f>
        <v>#N/A</v>
      </c>
      <c r="AE144" s="1520"/>
      <c r="AZ144" s="43"/>
      <c r="BA144" s="2200"/>
      <c r="BB144" s="956" t="b">
        <f t="shared" si="22"/>
        <v>0</v>
      </c>
    </row>
    <row r="145" spans="2:54" ht="13.5" customHeight="1">
      <c r="B145" s="2338"/>
      <c r="C145" s="2337"/>
      <c r="D145" s="2888"/>
      <c r="E145" s="2337"/>
      <c r="G145" s="2116" t="s">
        <v>1021</v>
      </c>
      <c r="H145" s="2117"/>
      <c r="I145" s="2117"/>
      <c r="J145" s="2118"/>
      <c r="K145" s="2638" t="e">
        <f>ROUNDDOWN(K143/K144,2)</f>
        <v>#DIV/0!</v>
      </c>
      <c r="L145" s="2639"/>
      <c r="M145" s="2639"/>
      <c r="N145" s="2115" t="s">
        <v>746</v>
      </c>
      <c r="P145" s="1511" t="str">
        <f>DB!$G$616</f>
        <v>15cm</v>
      </c>
      <c r="Q145" s="1512"/>
      <c r="R145" s="2468" t="e">
        <f>VLOOKUP($AD$7,基礎工事,5,FALSE)</f>
        <v>#N/A</v>
      </c>
      <c r="S145" s="2469"/>
      <c r="X145" s="2131" t="s">
        <v>5762</v>
      </c>
      <c r="Y145" s="1513"/>
      <c r="Z145" s="2607" t="e">
        <f>IF(K145&lt;&gt;"",ROUNDDOWN(1+(K145-X143)*IF(K145&gt;X143,(Z142-Z143)/(X142-X143),(Z143-Z144)/(X143-X144)),2),"－")</f>
        <v>#DIV/0!</v>
      </c>
      <c r="AA145" s="2608"/>
      <c r="AZ145" s="43"/>
      <c r="BA145" s="2200"/>
      <c r="BB145" s="956" t="b">
        <f t="shared" si="22"/>
        <v>0</v>
      </c>
    </row>
    <row r="146" spans="2:54" ht="13.5" customHeight="1">
      <c r="B146" s="2338"/>
      <c r="C146" s="2431"/>
      <c r="D146" s="2888"/>
      <c r="E146" s="2431"/>
      <c r="M146" s="925"/>
      <c r="N146" s="2110"/>
      <c r="O146" s="2110"/>
      <c r="P146" s="2110"/>
      <c r="Q146" s="2110"/>
      <c r="R146" s="2110"/>
      <c r="S146" s="2110"/>
      <c r="T146" s="2119"/>
      <c r="U146" s="2120"/>
      <c r="V146" s="2121"/>
      <c r="W146" s="2121"/>
      <c r="X146" s="2122"/>
      <c r="Y146" s="2123"/>
      <c r="Z146" s="2124"/>
      <c r="AA146" s="2111"/>
      <c r="AZ146" s="637"/>
      <c r="BA146" s="2200"/>
      <c r="BB146" s="956" t="b">
        <f t="shared" si="22"/>
        <v>0</v>
      </c>
    </row>
    <row r="147" spans="2:54" ht="13.5" customHeight="1">
      <c r="B147" s="2339"/>
      <c r="C147" s="2340"/>
      <c r="D147" s="2889"/>
      <c r="E147" s="2340"/>
      <c r="F147" s="5"/>
      <c r="G147" s="5"/>
      <c r="H147" s="5"/>
      <c r="I147" s="5"/>
      <c r="J147" s="5"/>
      <c r="K147" s="5"/>
      <c r="L147" s="5"/>
      <c r="M147" s="5"/>
      <c r="N147" s="5"/>
      <c r="O147" s="5"/>
      <c r="P147" s="5"/>
      <c r="Q147" s="5"/>
      <c r="R147" s="2110"/>
      <c r="S147" s="2110"/>
      <c r="T147" s="2110"/>
      <c r="U147" s="2110"/>
      <c r="V147" s="2110"/>
      <c r="W147" s="2110"/>
      <c r="X147" s="2110"/>
      <c r="Y147" s="2110"/>
      <c r="Z147" s="2110"/>
      <c r="AA147" s="5"/>
      <c r="AB147" s="5"/>
      <c r="AC147" s="5"/>
      <c r="AD147" s="5"/>
      <c r="AE147" s="5"/>
      <c r="AZ147" s="43"/>
      <c r="BA147" s="2200"/>
      <c r="BB147" s="956" t="b">
        <f t="shared" si="22"/>
        <v>0</v>
      </c>
    </row>
    <row r="148" spans="2:54" ht="13.5" customHeight="1">
      <c r="B148" s="2338"/>
      <c r="C148" s="2337"/>
      <c r="D148" s="2531"/>
      <c r="E148" s="2532"/>
      <c r="F148" s="1547" t="s">
        <v>714</v>
      </c>
      <c r="G148" s="1547"/>
      <c r="H148" s="1547"/>
      <c r="I148" s="1547"/>
      <c r="J148" s="1547"/>
      <c r="K148" s="1547"/>
      <c r="L148" s="1549" t="s">
        <v>664</v>
      </c>
      <c r="M148" s="1547"/>
      <c r="N148" s="1547"/>
      <c r="O148" s="1548"/>
      <c r="P148" s="1637"/>
      <c r="Q148" s="1638"/>
      <c r="R148" s="1638"/>
      <c r="S148" s="1638"/>
      <c r="T148" s="1639"/>
      <c r="U148" s="1638"/>
      <c r="V148" s="1638"/>
      <c r="W148" s="1638"/>
      <c r="X148" s="1639"/>
      <c r="Y148" s="1638"/>
      <c r="Z148" s="1638"/>
      <c r="AA148" s="1638"/>
      <c r="AB148" s="1639"/>
      <c r="AC148" s="1638"/>
      <c r="AD148" s="1638"/>
      <c r="AE148" s="1638"/>
      <c r="AF148" s="1639"/>
      <c r="AG148" s="1638"/>
      <c r="AH148" s="1638"/>
      <c r="AI148" s="1640"/>
      <c r="AJ148" s="1550" t="s">
        <v>669</v>
      </c>
      <c r="AK148" s="1550"/>
      <c r="AL148" s="1550"/>
      <c r="AM148" s="1550"/>
      <c r="AN148" s="1550" t="s">
        <v>720</v>
      </c>
      <c r="AO148" s="1550"/>
      <c r="AP148" s="1550"/>
      <c r="AQ148" s="1550"/>
      <c r="AR148" s="1550" t="s">
        <v>1027</v>
      </c>
      <c r="AS148" s="1549"/>
      <c r="AT148" s="1549"/>
      <c r="AU148" s="1547"/>
      <c r="AV148" s="1551" t="s">
        <v>1025</v>
      </c>
      <c r="AW148" s="1589"/>
      <c r="AX148" s="1589"/>
      <c r="AY148" s="1641"/>
      <c r="AZ148" s="1590"/>
      <c r="BA148" s="2200"/>
      <c r="BB148" s="956" t="b">
        <f>AR149&lt;&gt;0</f>
        <v>0</v>
      </c>
    </row>
    <row r="149" spans="2:54" ht="13.5" customHeight="1">
      <c r="B149" s="2338"/>
      <c r="C149" s="2337"/>
      <c r="D149" s="2443" t="s">
        <v>1278</v>
      </c>
      <c r="E149" s="2444"/>
      <c r="F149" s="2472" t="s">
        <v>1028</v>
      </c>
      <c r="G149" s="2473"/>
      <c r="H149" s="2473"/>
      <c r="I149" s="2473"/>
      <c r="J149" s="2473"/>
      <c r="K149" s="2474"/>
      <c r="L149" s="2418">
        <v>820</v>
      </c>
      <c r="M149" s="2419"/>
      <c r="N149" s="2419"/>
      <c r="O149" s="2420"/>
      <c r="P149" s="71"/>
      <c r="Q149" s="72"/>
      <c r="R149" s="72"/>
      <c r="S149" s="72"/>
      <c r="T149" s="72"/>
      <c r="U149" s="72"/>
      <c r="V149" s="72"/>
      <c r="W149" s="72"/>
      <c r="X149" s="72"/>
      <c r="Y149" s="72"/>
      <c r="Z149" s="72"/>
      <c r="AA149" s="72"/>
      <c r="AB149" s="72"/>
      <c r="AC149" s="72"/>
      <c r="AD149" s="72"/>
      <c r="AE149" s="72"/>
      <c r="AF149" s="72"/>
      <c r="AG149" s="72"/>
      <c r="AH149" s="72"/>
      <c r="AI149" s="73"/>
      <c r="AJ149" s="2513">
        <v>1</v>
      </c>
      <c r="AK149" s="2514"/>
      <c r="AL149" s="2514"/>
      <c r="AM149" s="2515"/>
      <c r="AN149" s="2418">
        <f>IF(F149="",0,INT(L149*AJ149))</f>
        <v>820</v>
      </c>
      <c r="AO149" s="2419"/>
      <c r="AP149" s="2419"/>
      <c r="AQ149" s="2420"/>
      <c r="AR149" s="2866">
        <f>+基礎・屋根・外壁!AF13</f>
        <v>0</v>
      </c>
      <c r="AS149" s="2867"/>
      <c r="AT149" s="2867"/>
      <c r="AU149" s="2419" t="s">
        <v>1026</v>
      </c>
      <c r="AV149" s="2614">
        <f>INT(AN149*AR149)</f>
        <v>0</v>
      </c>
      <c r="AW149" s="2615"/>
      <c r="AX149" s="2615"/>
      <c r="AY149" s="2615"/>
      <c r="AZ149" s="2616"/>
      <c r="BA149" s="2200"/>
      <c r="BB149" s="956" t="b">
        <f>BB$148</f>
        <v>0</v>
      </c>
    </row>
    <row r="150" spans="2:54" ht="13.5" customHeight="1">
      <c r="B150" s="2338"/>
      <c r="C150" s="2337"/>
      <c r="D150" s="2445"/>
      <c r="E150" s="2444"/>
      <c r="F150" s="2475"/>
      <c r="G150" s="2476"/>
      <c r="H150" s="2476"/>
      <c r="I150" s="2476"/>
      <c r="J150" s="2476"/>
      <c r="K150" s="2477"/>
      <c r="L150" s="2421"/>
      <c r="M150" s="2422"/>
      <c r="N150" s="2422"/>
      <c r="O150" s="2423"/>
      <c r="P150" s="74"/>
      <c r="Q150" s="75"/>
      <c r="R150" s="75"/>
      <c r="S150" s="75"/>
      <c r="T150" s="75"/>
      <c r="U150" s="75"/>
      <c r="V150" s="75"/>
      <c r="W150" s="75"/>
      <c r="X150" s="75"/>
      <c r="Y150" s="75"/>
      <c r="Z150" s="75"/>
      <c r="AA150" s="75"/>
      <c r="AB150" s="75"/>
      <c r="AC150" s="75"/>
      <c r="AD150" s="75"/>
      <c r="AE150" s="75"/>
      <c r="AF150" s="75"/>
      <c r="AG150" s="75"/>
      <c r="AH150" s="75"/>
      <c r="AI150" s="76"/>
      <c r="AJ150" s="2470"/>
      <c r="AK150" s="2471"/>
      <c r="AL150" s="2471"/>
      <c r="AM150" s="2516"/>
      <c r="AN150" s="2421"/>
      <c r="AO150" s="2422"/>
      <c r="AP150" s="2422"/>
      <c r="AQ150" s="2423"/>
      <c r="AR150" s="2868"/>
      <c r="AS150" s="2869"/>
      <c r="AT150" s="2869"/>
      <c r="AU150" s="2422"/>
      <c r="AV150" s="2617"/>
      <c r="AW150" s="2618"/>
      <c r="AX150" s="2618"/>
      <c r="AY150" s="2618"/>
      <c r="AZ150" s="2619"/>
      <c r="BA150" s="2200"/>
      <c r="BB150" s="956" t="b">
        <f>BB$148</f>
        <v>0</v>
      </c>
    </row>
    <row r="151" spans="2:54" ht="13.5" customHeight="1">
      <c r="B151" s="2338"/>
      <c r="C151" s="2337"/>
      <c r="D151" s="2531"/>
      <c r="E151" s="2532"/>
      <c r="F151" s="1547" t="s">
        <v>714</v>
      </c>
      <c r="G151" s="1547"/>
      <c r="H151" s="1547"/>
      <c r="I151" s="1547"/>
      <c r="J151" s="1547"/>
      <c r="K151" s="1547"/>
      <c r="L151" s="1549" t="s">
        <v>664</v>
      </c>
      <c r="M151" s="1547"/>
      <c r="N151" s="1547"/>
      <c r="O151" s="1548"/>
      <c r="P151" s="1623" t="s">
        <v>747</v>
      </c>
      <c r="Q151" s="1631"/>
      <c r="R151" s="1631"/>
      <c r="S151" s="1632"/>
      <c r="T151" s="1637"/>
      <c r="U151" s="1638"/>
      <c r="V151" s="1638"/>
      <c r="W151" s="1638"/>
      <c r="X151" s="1639"/>
      <c r="Y151" s="1638"/>
      <c r="Z151" s="1638"/>
      <c r="AA151" s="1638"/>
      <c r="AB151" s="1639"/>
      <c r="AC151" s="1638"/>
      <c r="AD151" s="1638"/>
      <c r="AE151" s="1638"/>
      <c r="AF151" s="1639"/>
      <c r="AG151" s="1638"/>
      <c r="AH151" s="1638"/>
      <c r="AI151" s="1640"/>
      <c r="AJ151" s="1550" t="s">
        <v>669</v>
      </c>
      <c r="AK151" s="1550"/>
      <c r="AL151" s="1550"/>
      <c r="AM151" s="1550"/>
      <c r="AN151" s="1550" t="s">
        <v>720</v>
      </c>
      <c r="AO151" s="1550"/>
      <c r="AP151" s="1550"/>
      <c r="AQ151" s="1550"/>
      <c r="AR151" s="1550" t="s">
        <v>748</v>
      </c>
      <c r="AS151" s="1549"/>
      <c r="AT151" s="1549"/>
      <c r="AU151" s="1547"/>
      <c r="AV151" s="1642" t="s">
        <v>749</v>
      </c>
      <c r="AW151" s="1589"/>
      <c r="AX151" s="1589"/>
      <c r="AY151" s="1641"/>
      <c r="AZ151" s="1590"/>
      <c r="BA151" s="2200"/>
      <c r="BB151" s="956" t="b">
        <f>OR(COUNTA(P152)&lt;&gt;0,AR152&lt;&gt;0)</f>
        <v>0</v>
      </c>
    </row>
    <row r="152" spans="2:54" ht="13.5" customHeight="1">
      <c r="B152" s="2338"/>
      <c r="C152" s="2337"/>
      <c r="D152" s="2443" t="s">
        <v>1280</v>
      </c>
      <c r="E152" s="2444"/>
      <c r="F152" s="2472" t="s">
        <v>1022</v>
      </c>
      <c r="G152" s="2473"/>
      <c r="H152" s="2473"/>
      <c r="I152" s="2473"/>
      <c r="J152" s="2473"/>
      <c r="K152" s="2474"/>
      <c r="L152" s="2418">
        <v>8610</v>
      </c>
      <c r="M152" s="2419"/>
      <c r="N152" s="2419"/>
      <c r="O152" s="2420"/>
      <c r="P152" s="2611"/>
      <c r="Q152" s="2612"/>
      <c r="R152" s="2612"/>
      <c r="S152" s="2613"/>
      <c r="T152" s="71"/>
      <c r="U152" s="72"/>
      <c r="V152" s="72"/>
      <c r="W152" s="72"/>
      <c r="X152" s="72"/>
      <c r="Y152" s="72"/>
      <c r="Z152" s="72"/>
      <c r="AA152" s="72"/>
      <c r="AB152" s="72"/>
      <c r="AC152" s="72"/>
      <c r="AD152" s="72"/>
      <c r="AE152" s="72"/>
      <c r="AF152" s="72"/>
      <c r="AG152" s="72"/>
      <c r="AH152" s="72"/>
      <c r="AI152" s="73"/>
      <c r="AJ152" s="2513">
        <f>IF(P152="",0,P153)</f>
        <v>0</v>
      </c>
      <c r="AK152" s="2514"/>
      <c r="AL152" s="2514"/>
      <c r="AM152" s="2515"/>
      <c r="AN152" s="2418">
        <f>IF(F152="",0,INT(L152*AJ152))</f>
        <v>0</v>
      </c>
      <c r="AO152" s="2419"/>
      <c r="AP152" s="2419"/>
      <c r="AQ152" s="2420"/>
      <c r="AR152" s="2592">
        <f>基礎・屋根・外壁!AF17</f>
        <v>0</v>
      </c>
      <c r="AS152" s="2419"/>
      <c r="AT152" s="2419"/>
      <c r="AU152" s="2419" t="s">
        <v>750</v>
      </c>
      <c r="AV152" s="2614">
        <f>INT(AN152*AR152)</f>
        <v>0</v>
      </c>
      <c r="AW152" s="2615"/>
      <c r="AX152" s="2615"/>
      <c r="AY152" s="2615"/>
      <c r="AZ152" s="2616"/>
      <c r="BA152" s="2200"/>
      <c r="BB152" s="956" t="b">
        <f t="shared" ref="BB152:BB157" si="23">BB$151</f>
        <v>0</v>
      </c>
    </row>
    <row r="153" spans="2:54" ht="13.5" customHeight="1">
      <c r="B153" s="2338"/>
      <c r="C153" s="2337"/>
      <c r="D153" s="2445"/>
      <c r="E153" s="2444"/>
      <c r="F153" s="2475"/>
      <c r="G153" s="2476"/>
      <c r="H153" s="2476"/>
      <c r="I153" s="2476"/>
      <c r="J153" s="2476"/>
      <c r="K153" s="2477"/>
      <c r="L153" s="2421"/>
      <c r="M153" s="2422"/>
      <c r="N153" s="2422"/>
      <c r="O153" s="2423"/>
      <c r="P153" s="2482" t="e">
        <f>VLOOKUP(P152,P154:S156,3,0)</f>
        <v>#N/A</v>
      </c>
      <c r="Q153" s="2483"/>
      <c r="R153" s="2483"/>
      <c r="S153" s="2484"/>
      <c r="T153" s="74"/>
      <c r="U153" s="75"/>
      <c r="V153" s="75"/>
      <c r="W153" s="75"/>
      <c r="X153" s="75"/>
      <c r="Y153" s="75"/>
      <c r="Z153" s="75"/>
      <c r="AA153" s="75"/>
      <c r="AB153" s="75"/>
      <c r="AC153" s="75"/>
      <c r="AD153" s="75"/>
      <c r="AE153" s="75"/>
      <c r="AF153" s="75"/>
      <c r="AG153" s="75"/>
      <c r="AH153" s="75"/>
      <c r="AI153" s="76"/>
      <c r="AJ153" s="2470"/>
      <c r="AK153" s="2471"/>
      <c r="AL153" s="2471"/>
      <c r="AM153" s="2516"/>
      <c r="AN153" s="2421"/>
      <c r="AO153" s="2422"/>
      <c r="AP153" s="2422"/>
      <c r="AQ153" s="2423"/>
      <c r="AR153" s="2421"/>
      <c r="AS153" s="2422"/>
      <c r="AT153" s="2422"/>
      <c r="AU153" s="2422"/>
      <c r="AV153" s="2617"/>
      <c r="AW153" s="2618"/>
      <c r="AX153" s="2618"/>
      <c r="AY153" s="2618"/>
      <c r="AZ153" s="2619"/>
      <c r="BA153" s="2200"/>
      <c r="BB153" s="956" t="b">
        <f t="shared" si="23"/>
        <v>0</v>
      </c>
    </row>
    <row r="154" spans="2:54" ht="13.5" customHeight="1">
      <c r="B154" s="2338"/>
      <c r="C154" s="2337"/>
      <c r="D154" s="2445"/>
      <c r="E154" s="2444"/>
      <c r="P154" s="13" t="s">
        <v>751</v>
      </c>
      <c r="Q154" s="54"/>
      <c r="R154" s="17">
        <v>1.2</v>
      </c>
      <c r="S154" s="14"/>
      <c r="AZ154" s="43"/>
      <c r="BA154" s="2200"/>
      <c r="BB154" s="956" t="b">
        <f t="shared" si="23"/>
        <v>0</v>
      </c>
    </row>
    <row r="155" spans="2:54" ht="13.5" customHeight="1">
      <c r="B155" s="2338"/>
      <c r="C155" s="2337"/>
      <c r="D155" s="2445"/>
      <c r="E155" s="2444"/>
      <c r="P155" s="57" t="s">
        <v>752</v>
      </c>
      <c r="Q155" s="58"/>
      <c r="R155" s="25">
        <v>1</v>
      </c>
      <c r="S155" s="23"/>
      <c r="AZ155" s="43"/>
      <c r="BA155" s="2200"/>
      <c r="BB155" s="956" t="b">
        <f t="shared" si="23"/>
        <v>0</v>
      </c>
    </row>
    <row r="156" spans="2:54" ht="13.5" customHeight="1">
      <c r="B156" s="2338"/>
      <c r="C156" s="2337"/>
      <c r="D156" s="2445"/>
      <c r="E156" s="2444"/>
      <c r="P156" s="61" t="s">
        <v>753</v>
      </c>
      <c r="Q156" s="62"/>
      <c r="R156" s="28">
        <v>0.8</v>
      </c>
      <c r="S156" s="29"/>
      <c r="AZ156" s="43"/>
      <c r="BA156" s="2200"/>
      <c r="BB156" s="956" t="b">
        <f t="shared" si="23"/>
        <v>0</v>
      </c>
    </row>
    <row r="157" spans="2:54" ht="13.5" customHeight="1" thickBot="1">
      <c r="B157" s="2338"/>
      <c r="C157" s="2337"/>
      <c r="D157" s="2446"/>
      <c r="E157" s="2447"/>
      <c r="AZ157" s="43"/>
      <c r="BA157" s="2200"/>
      <c r="BB157" s="956" t="b">
        <f t="shared" si="23"/>
        <v>0</v>
      </c>
    </row>
    <row r="158" spans="2:54" ht="13.5" customHeight="1" thickBot="1">
      <c r="B158" s="2339"/>
      <c r="C158" s="2340"/>
      <c r="D158" s="1643"/>
      <c r="E158" s="1644"/>
      <c r="F158" s="1645"/>
      <c r="G158" s="1645"/>
      <c r="H158" s="1645"/>
      <c r="I158" s="164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576" t="s">
        <v>681</v>
      </c>
      <c r="AQ158" s="1577"/>
      <c r="AR158" s="1577"/>
      <c r="AS158" s="1577"/>
      <c r="AT158" s="1577"/>
      <c r="AU158" s="1577"/>
      <c r="AV158" s="2376">
        <f>SUM(AV128:AZ157)</f>
        <v>0</v>
      </c>
      <c r="AW158" s="2377"/>
      <c r="AX158" s="2377"/>
      <c r="AY158" s="2377"/>
      <c r="AZ158" s="2378"/>
      <c r="BA158" s="2200"/>
      <c r="BB158" s="956" t="b">
        <f>AV158&lt;&gt;0</f>
        <v>0</v>
      </c>
    </row>
    <row r="159" spans="2:54" ht="13.5" customHeight="1">
      <c r="BA159" s="2200"/>
      <c r="BB159" s="956" t="b">
        <v>0</v>
      </c>
    </row>
    <row r="160" spans="2:54" ht="13.5" customHeight="1">
      <c r="BA160" s="2200"/>
      <c r="BB160" s="956" t="b">
        <v>0</v>
      </c>
    </row>
    <row r="161" spans="2:54" ht="13.5" customHeight="1">
      <c r="B161" s="1523"/>
      <c r="C161" s="2089" t="s">
        <v>5725</v>
      </c>
      <c r="D161" s="2090"/>
      <c r="E161" s="2090"/>
      <c r="F161" s="2090"/>
      <c r="G161" s="2090"/>
      <c r="H161" s="2090"/>
      <c r="I161" s="2090"/>
      <c r="J161" s="2090"/>
      <c r="K161" s="2091"/>
      <c r="L161" s="2091"/>
      <c r="M161" s="2091"/>
      <c r="N161" s="2091"/>
      <c r="AZ161" s="4"/>
      <c r="BA161" s="2200"/>
      <c r="BB161" s="956" t="b">
        <v>0</v>
      </c>
    </row>
    <row r="162" spans="2:54" ht="13.5" customHeight="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2200"/>
      <c r="BB162" s="1017" t="b">
        <f>$BB$183</f>
        <v>0</v>
      </c>
    </row>
    <row r="163" spans="2:54" ht="13.5" customHeight="1">
      <c r="B163" s="2443" t="s">
        <v>754</v>
      </c>
      <c r="C163" s="2444"/>
      <c r="D163" s="2901"/>
      <c r="E163" s="2902"/>
      <c r="F163" s="1646" t="s">
        <v>755</v>
      </c>
      <c r="G163" s="1646"/>
      <c r="H163" s="1646"/>
      <c r="I163" s="1646"/>
      <c r="J163" s="1646"/>
      <c r="K163" s="1646"/>
      <c r="L163" s="1646"/>
      <c r="M163" s="1646"/>
      <c r="N163" s="1646"/>
      <c r="O163" s="1646"/>
      <c r="P163" s="1647" t="s">
        <v>664</v>
      </c>
      <c r="Q163" s="1646"/>
      <c r="R163" s="1646"/>
      <c r="S163" s="1648"/>
      <c r="T163" s="1647" t="s">
        <v>756</v>
      </c>
      <c r="U163" s="1646"/>
      <c r="V163" s="1647" t="s">
        <v>757</v>
      </c>
      <c r="W163" s="1646"/>
      <c r="X163" s="1646"/>
      <c r="Y163" s="1646"/>
      <c r="Z163" s="1646"/>
      <c r="AA163" s="1647" t="s">
        <v>758</v>
      </c>
      <c r="AB163" s="1646"/>
      <c r="AC163" s="1646"/>
      <c r="AD163" s="1646"/>
      <c r="AE163" s="1648"/>
      <c r="AF163" s="1647" t="s">
        <v>759</v>
      </c>
      <c r="AG163" s="1646"/>
      <c r="AH163" s="1646"/>
      <c r="AI163" s="1646"/>
      <c r="AJ163" s="1648"/>
      <c r="AK163" s="1649" t="s">
        <v>669</v>
      </c>
      <c r="AL163" s="1649"/>
      <c r="AM163" s="1649"/>
      <c r="AN163" s="1649"/>
      <c r="AO163" s="1617" t="s">
        <v>760</v>
      </c>
      <c r="AP163" s="1617"/>
      <c r="AQ163" s="1617"/>
      <c r="AR163" s="1617"/>
      <c r="AS163" s="1617" t="s">
        <v>761</v>
      </c>
      <c r="AT163" s="1617"/>
      <c r="AU163" s="1612"/>
      <c r="AV163" s="1650" t="s">
        <v>762</v>
      </c>
      <c r="AW163" s="1651"/>
      <c r="AX163" s="1651"/>
      <c r="AY163" s="1652"/>
      <c r="AZ163" s="1653"/>
      <c r="BA163" s="2200"/>
      <c r="BB163" s="1017" t="b">
        <f>SUM(AV164:AZ170)&lt;&gt;0</f>
        <v>0</v>
      </c>
    </row>
    <row r="164" spans="2:54" ht="13.5" customHeight="1">
      <c r="B164" s="2445"/>
      <c r="C164" s="2444"/>
      <c r="D164" s="2443" t="s">
        <v>763</v>
      </c>
      <c r="E164" s="2444"/>
      <c r="F164" s="2418" t="s">
        <v>1023</v>
      </c>
      <c r="G164" s="2419"/>
      <c r="H164" s="2419"/>
      <c r="I164" s="2419"/>
      <c r="J164" s="2419"/>
      <c r="K164" s="2419"/>
      <c r="L164" s="2419"/>
      <c r="M164" s="2419"/>
      <c r="N164" s="2419"/>
      <c r="O164" s="2420"/>
      <c r="P164" s="2418">
        <v>33000</v>
      </c>
      <c r="Q164" s="2419"/>
      <c r="R164" s="2419"/>
      <c r="S164" s="2420"/>
      <c r="T164" s="2311"/>
      <c r="U164" s="2312"/>
      <c r="V164" s="2309"/>
      <c r="W164" s="2310"/>
      <c r="X164" s="2310"/>
      <c r="Y164" s="6" t="s">
        <v>127</v>
      </c>
      <c r="Z164" s="7"/>
      <c r="AA164" s="2573"/>
      <c r="AB164" s="2574"/>
      <c r="AC164" s="2574"/>
      <c r="AD164" s="6" t="s">
        <v>765</v>
      </c>
      <c r="AE164" s="7"/>
      <c r="AF164" s="2386">
        <f t="shared" ref="AF164:AF170" si="24">ROUNDDOWN(V164^2*AA164,2)</f>
        <v>0</v>
      </c>
      <c r="AG164" s="2387"/>
      <c r="AH164" s="2387"/>
      <c r="AI164" s="2387"/>
      <c r="AJ164" s="2388"/>
      <c r="AK164" s="2386">
        <f>MIN($AI$171,ROUNDDOWN(IF(AF164&gt;AF$172,1+(AI$171-AI$172)/(AF$171-AF$172)*(AF164-AF$172),1+(AI$172-AI$173)/(AF$172-AF$173)*(AF164-AF$172)),2))</f>
        <v>0.31</v>
      </c>
      <c r="AL164" s="2387"/>
      <c r="AM164" s="2387"/>
      <c r="AN164" s="2388"/>
      <c r="AO164" s="2304">
        <f>INT($P$164*AK164)</f>
        <v>10230</v>
      </c>
      <c r="AP164" s="2305"/>
      <c r="AQ164" s="2305"/>
      <c r="AR164" s="2306"/>
      <c r="AS164" s="2304">
        <f t="shared" ref="AS164:AS170" si="25">T164</f>
        <v>0</v>
      </c>
      <c r="AT164" s="2305"/>
      <c r="AU164" s="2306"/>
      <c r="AV164" s="2583">
        <f t="shared" ref="AV164:AV170" si="26">AO164*AS164</f>
        <v>0</v>
      </c>
      <c r="AW164" s="2584"/>
      <c r="AX164" s="2584"/>
      <c r="AY164" s="2584"/>
      <c r="AZ164" s="2585"/>
      <c r="BA164" s="2200"/>
      <c r="BB164" s="1017" t="b">
        <f t="shared" ref="BB164:BB170" si="27">COUNTA(T164:AC164)-1&lt;&gt;0</f>
        <v>0</v>
      </c>
    </row>
    <row r="165" spans="2:54" ht="13.5" customHeight="1">
      <c r="B165" s="2445"/>
      <c r="C165" s="2444"/>
      <c r="D165" s="2445"/>
      <c r="E165" s="2444"/>
      <c r="F165" s="2448"/>
      <c r="G165" s="2449"/>
      <c r="H165" s="2449"/>
      <c r="I165" s="2449"/>
      <c r="J165" s="2449"/>
      <c r="K165" s="2449"/>
      <c r="L165" s="2449"/>
      <c r="M165" s="2449"/>
      <c r="N165" s="2449"/>
      <c r="O165" s="2450"/>
      <c r="P165" s="2448"/>
      <c r="Q165" s="2449"/>
      <c r="R165" s="2449"/>
      <c r="S165" s="2450"/>
      <c r="T165" s="2287"/>
      <c r="U165" s="2288"/>
      <c r="V165" s="2292"/>
      <c r="W165" s="2293"/>
      <c r="X165" s="2293"/>
      <c r="Y165" s="77" t="s">
        <v>764</v>
      </c>
      <c r="Z165" s="78"/>
      <c r="AA165" s="2307"/>
      <c r="AB165" s="2308"/>
      <c r="AC165" s="2308"/>
      <c r="AD165" s="77" t="s">
        <v>765</v>
      </c>
      <c r="AE165" s="78"/>
      <c r="AF165" s="2299">
        <f t="shared" si="24"/>
        <v>0</v>
      </c>
      <c r="AG165" s="2300"/>
      <c r="AH165" s="2300"/>
      <c r="AI165" s="2300"/>
      <c r="AJ165" s="2301"/>
      <c r="AK165" s="2299">
        <f t="shared" ref="AK165:AK170" si="28">MIN(ROUNDDOWN(IF(AF165&gt;AF$172,1+(AI$171-AI$172)/(AF$171-AF$172)*(AF165-AF$172),1-(AI$172-AI$173)/(AF$172-AF$173)*(AF$172-AF165)),2),$AI$171)</f>
        <v>0.31</v>
      </c>
      <c r="AL165" s="2300"/>
      <c r="AM165" s="2300"/>
      <c r="AN165" s="2301"/>
      <c r="AO165" s="2278">
        <f t="shared" ref="AO165:AO170" si="29">INT($P$164*AK165)</f>
        <v>10230</v>
      </c>
      <c r="AP165" s="2279"/>
      <c r="AQ165" s="2279"/>
      <c r="AR165" s="2280"/>
      <c r="AS165" s="2278">
        <f t="shared" si="25"/>
        <v>0</v>
      </c>
      <c r="AT165" s="2279"/>
      <c r="AU165" s="2280"/>
      <c r="AV165" s="2284">
        <f t="shared" si="26"/>
        <v>0</v>
      </c>
      <c r="AW165" s="2285"/>
      <c r="AX165" s="2285"/>
      <c r="AY165" s="2285"/>
      <c r="AZ165" s="2286"/>
      <c r="BA165" s="2200"/>
      <c r="BB165" s="1017" t="b">
        <f t="shared" si="27"/>
        <v>0</v>
      </c>
    </row>
    <row r="166" spans="2:54" ht="13.5" customHeight="1">
      <c r="B166" s="2445"/>
      <c r="C166" s="2444"/>
      <c r="D166" s="2445"/>
      <c r="E166" s="2444"/>
      <c r="F166" s="2448"/>
      <c r="G166" s="2449"/>
      <c r="H166" s="2449"/>
      <c r="I166" s="2449"/>
      <c r="J166" s="2449"/>
      <c r="K166" s="2449"/>
      <c r="L166" s="2449"/>
      <c r="M166" s="2449"/>
      <c r="N166" s="2449"/>
      <c r="O166" s="2450"/>
      <c r="P166" s="2448"/>
      <c r="Q166" s="2449"/>
      <c r="R166" s="2449"/>
      <c r="S166" s="2450"/>
      <c r="T166" s="2287"/>
      <c r="U166" s="2288"/>
      <c r="V166" s="2292"/>
      <c r="W166" s="2293"/>
      <c r="X166" s="2293"/>
      <c r="Y166" s="77" t="s">
        <v>764</v>
      </c>
      <c r="Z166" s="78"/>
      <c r="AA166" s="2307"/>
      <c r="AB166" s="2308"/>
      <c r="AC166" s="2308"/>
      <c r="AD166" s="77" t="s">
        <v>765</v>
      </c>
      <c r="AE166" s="78"/>
      <c r="AF166" s="2299">
        <f t="shared" si="24"/>
        <v>0</v>
      </c>
      <c r="AG166" s="2300"/>
      <c r="AH166" s="2300"/>
      <c r="AI166" s="2300"/>
      <c r="AJ166" s="2301"/>
      <c r="AK166" s="2299">
        <f t="shared" si="28"/>
        <v>0.31</v>
      </c>
      <c r="AL166" s="2300"/>
      <c r="AM166" s="2300"/>
      <c r="AN166" s="2301"/>
      <c r="AO166" s="2278">
        <f t="shared" si="29"/>
        <v>10230</v>
      </c>
      <c r="AP166" s="2279"/>
      <c r="AQ166" s="2279"/>
      <c r="AR166" s="2280"/>
      <c r="AS166" s="2278">
        <f t="shared" si="25"/>
        <v>0</v>
      </c>
      <c r="AT166" s="2279"/>
      <c r="AU166" s="2280"/>
      <c r="AV166" s="2284">
        <f t="shared" si="26"/>
        <v>0</v>
      </c>
      <c r="AW166" s="2285"/>
      <c r="AX166" s="2285"/>
      <c r="AY166" s="2285"/>
      <c r="AZ166" s="2286"/>
      <c r="BA166" s="2200"/>
      <c r="BB166" s="1017" t="b">
        <f t="shared" si="27"/>
        <v>0</v>
      </c>
    </row>
    <row r="167" spans="2:54" ht="13.5" customHeight="1">
      <c r="B167" s="2445"/>
      <c r="C167" s="2444"/>
      <c r="D167" s="2445"/>
      <c r="E167" s="2444"/>
      <c r="F167" s="2448"/>
      <c r="G167" s="2449"/>
      <c r="H167" s="2449"/>
      <c r="I167" s="2449"/>
      <c r="J167" s="2449"/>
      <c r="K167" s="2449"/>
      <c r="L167" s="2449"/>
      <c r="M167" s="2449"/>
      <c r="N167" s="2449"/>
      <c r="O167" s="2450"/>
      <c r="P167" s="2448"/>
      <c r="Q167" s="2449"/>
      <c r="R167" s="2449"/>
      <c r="S167" s="2450"/>
      <c r="T167" s="2287"/>
      <c r="U167" s="2288"/>
      <c r="V167" s="2292"/>
      <c r="W167" s="2293"/>
      <c r="X167" s="2293"/>
      <c r="Y167" s="77" t="s">
        <v>764</v>
      </c>
      <c r="Z167" s="78"/>
      <c r="AA167" s="2307"/>
      <c r="AB167" s="2308"/>
      <c r="AC167" s="2308"/>
      <c r="AD167" s="77" t="s">
        <v>765</v>
      </c>
      <c r="AE167" s="78"/>
      <c r="AF167" s="2299">
        <f t="shared" si="24"/>
        <v>0</v>
      </c>
      <c r="AG167" s="2300"/>
      <c r="AH167" s="2300"/>
      <c r="AI167" s="2300"/>
      <c r="AJ167" s="2301"/>
      <c r="AK167" s="2299">
        <f t="shared" si="28"/>
        <v>0.31</v>
      </c>
      <c r="AL167" s="2300"/>
      <c r="AM167" s="2300"/>
      <c r="AN167" s="2301"/>
      <c r="AO167" s="2278">
        <f t="shared" si="29"/>
        <v>10230</v>
      </c>
      <c r="AP167" s="2279"/>
      <c r="AQ167" s="2279"/>
      <c r="AR167" s="2280"/>
      <c r="AS167" s="2278">
        <f t="shared" si="25"/>
        <v>0</v>
      </c>
      <c r="AT167" s="2279"/>
      <c r="AU167" s="2280"/>
      <c r="AV167" s="2284">
        <f t="shared" si="26"/>
        <v>0</v>
      </c>
      <c r="AW167" s="2285"/>
      <c r="AX167" s="2285"/>
      <c r="AY167" s="2285"/>
      <c r="AZ167" s="2286"/>
      <c r="BA167" s="2200"/>
      <c r="BB167" s="1017" t="b">
        <f t="shared" si="27"/>
        <v>0</v>
      </c>
    </row>
    <row r="168" spans="2:54" ht="13.5" customHeight="1">
      <c r="B168" s="2445"/>
      <c r="C168" s="2444"/>
      <c r="D168" s="2445"/>
      <c r="E168" s="2444"/>
      <c r="F168" s="2448"/>
      <c r="G168" s="2449"/>
      <c r="H168" s="2449"/>
      <c r="I168" s="2449"/>
      <c r="J168" s="2449"/>
      <c r="K168" s="2449"/>
      <c r="L168" s="2449"/>
      <c r="M168" s="2449"/>
      <c r="N168" s="2449"/>
      <c r="O168" s="2450"/>
      <c r="P168" s="2448"/>
      <c r="Q168" s="2449"/>
      <c r="R168" s="2449"/>
      <c r="S168" s="2450"/>
      <c r="T168" s="2287"/>
      <c r="U168" s="2288"/>
      <c r="V168" s="2292"/>
      <c r="W168" s="2293"/>
      <c r="X168" s="2293"/>
      <c r="Y168" s="77" t="s">
        <v>764</v>
      </c>
      <c r="Z168" s="78"/>
      <c r="AA168" s="2307"/>
      <c r="AB168" s="2308"/>
      <c r="AC168" s="2308"/>
      <c r="AD168" s="77" t="s">
        <v>765</v>
      </c>
      <c r="AE168" s="78"/>
      <c r="AF168" s="2299">
        <f t="shared" si="24"/>
        <v>0</v>
      </c>
      <c r="AG168" s="2300"/>
      <c r="AH168" s="2300"/>
      <c r="AI168" s="2300"/>
      <c r="AJ168" s="2301"/>
      <c r="AK168" s="2299">
        <f t="shared" si="28"/>
        <v>0.31</v>
      </c>
      <c r="AL168" s="2300"/>
      <c r="AM168" s="2300"/>
      <c r="AN168" s="2301"/>
      <c r="AO168" s="2278">
        <f t="shared" si="29"/>
        <v>10230</v>
      </c>
      <c r="AP168" s="2279"/>
      <c r="AQ168" s="2279"/>
      <c r="AR168" s="2280"/>
      <c r="AS168" s="2278">
        <f t="shared" si="25"/>
        <v>0</v>
      </c>
      <c r="AT168" s="2279"/>
      <c r="AU168" s="2280"/>
      <c r="AV168" s="2284">
        <f t="shared" si="26"/>
        <v>0</v>
      </c>
      <c r="AW168" s="2285"/>
      <c r="AX168" s="2285"/>
      <c r="AY168" s="2285"/>
      <c r="AZ168" s="2286"/>
      <c r="BA168" s="2200"/>
      <c r="BB168" s="1017" t="b">
        <f t="shared" si="27"/>
        <v>0</v>
      </c>
    </row>
    <row r="169" spans="2:54" ht="13.5" customHeight="1">
      <c r="B169" s="2445"/>
      <c r="C169" s="2444"/>
      <c r="D169" s="2445"/>
      <c r="E169" s="2444"/>
      <c r="F169" s="2448"/>
      <c r="G169" s="2449"/>
      <c r="H169" s="2449"/>
      <c r="I169" s="2449"/>
      <c r="J169" s="2449"/>
      <c r="K169" s="2449"/>
      <c r="L169" s="2449"/>
      <c r="M169" s="2449"/>
      <c r="N169" s="2449"/>
      <c r="O169" s="2450"/>
      <c r="P169" s="2448"/>
      <c r="Q169" s="2449"/>
      <c r="R169" s="2449"/>
      <c r="S169" s="2450"/>
      <c r="T169" s="2287"/>
      <c r="U169" s="2288"/>
      <c r="V169" s="2292"/>
      <c r="W169" s="2293"/>
      <c r="X169" s="2293"/>
      <c r="Y169" s="77" t="s">
        <v>764</v>
      </c>
      <c r="Z169" s="78"/>
      <c r="AA169" s="2307"/>
      <c r="AB169" s="2308"/>
      <c r="AC169" s="2308"/>
      <c r="AD169" s="77" t="s">
        <v>765</v>
      </c>
      <c r="AE169" s="78"/>
      <c r="AF169" s="2299">
        <f t="shared" si="24"/>
        <v>0</v>
      </c>
      <c r="AG169" s="2300"/>
      <c r="AH169" s="2300"/>
      <c r="AI169" s="2300"/>
      <c r="AJ169" s="2301"/>
      <c r="AK169" s="2299">
        <f t="shared" si="28"/>
        <v>0.31</v>
      </c>
      <c r="AL169" s="2300"/>
      <c r="AM169" s="2300"/>
      <c r="AN169" s="2301"/>
      <c r="AO169" s="2278">
        <f t="shared" si="29"/>
        <v>10230</v>
      </c>
      <c r="AP169" s="2279"/>
      <c r="AQ169" s="2279"/>
      <c r="AR169" s="2280"/>
      <c r="AS169" s="2278">
        <f t="shared" si="25"/>
        <v>0</v>
      </c>
      <c r="AT169" s="2279"/>
      <c r="AU169" s="2280"/>
      <c r="AV169" s="2284">
        <f t="shared" si="26"/>
        <v>0</v>
      </c>
      <c r="AW169" s="2285"/>
      <c r="AX169" s="2285"/>
      <c r="AY169" s="2285"/>
      <c r="AZ169" s="2286"/>
      <c r="BA169" s="2200"/>
      <c r="BB169" s="1017" t="b">
        <f t="shared" si="27"/>
        <v>0</v>
      </c>
    </row>
    <row r="170" spans="2:54" ht="13.5" customHeight="1">
      <c r="B170" s="2445"/>
      <c r="C170" s="2444"/>
      <c r="D170" s="2445"/>
      <c r="E170" s="2444"/>
      <c r="F170" s="2421"/>
      <c r="G170" s="2422"/>
      <c r="H170" s="2422"/>
      <c r="I170" s="2422"/>
      <c r="J170" s="2422"/>
      <c r="K170" s="2422"/>
      <c r="L170" s="2422"/>
      <c r="M170" s="2422"/>
      <c r="N170" s="2422"/>
      <c r="O170" s="2423"/>
      <c r="P170" s="2421"/>
      <c r="Q170" s="2422"/>
      <c r="R170" s="2422"/>
      <c r="S170" s="2423"/>
      <c r="T170" s="2302"/>
      <c r="U170" s="2303"/>
      <c r="V170" s="2602"/>
      <c r="W170" s="2603"/>
      <c r="X170" s="2603"/>
      <c r="Y170" s="79" t="s">
        <v>764</v>
      </c>
      <c r="Z170" s="80"/>
      <c r="AA170" s="2313"/>
      <c r="AB170" s="2314"/>
      <c r="AC170" s="2314"/>
      <c r="AD170" s="79" t="s">
        <v>765</v>
      </c>
      <c r="AE170" s="80"/>
      <c r="AF170" s="2294">
        <f t="shared" si="24"/>
        <v>0</v>
      </c>
      <c r="AG170" s="2295"/>
      <c r="AH170" s="2295"/>
      <c r="AI170" s="2295"/>
      <c r="AJ170" s="2296"/>
      <c r="AK170" s="2294">
        <f t="shared" si="28"/>
        <v>0.31</v>
      </c>
      <c r="AL170" s="2295"/>
      <c r="AM170" s="2295"/>
      <c r="AN170" s="2296"/>
      <c r="AO170" s="2289">
        <f t="shared" si="29"/>
        <v>10230</v>
      </c>
      <c r="AP170" s="2290"/>
      <c r="AQ170" s="2290"/>
      <c r="AR170" s="2291"/>
      <c r="AS170" s="2289">
        <f t="shared" si="25"/>
        <v>0</v>
      </c>
      <c r="AT170" s="2290"/>
      <c r="AU170" s="2291"/>
      <c r="AV170" s="2588">
        <f t="shared" si="26"/>
        <v>0</v>
      </c>
      <c r="AW170" s="2589"/>
      <c r="AX170" s="2589"/>
      <c r="AY170" s="2589"/>
      <c r="AZ170" s="2590"/>
      <c r="BA170" s="2200"/>
      <c r="BB170" s="1017" t="b">
        <f t="shared" si="27"/>
        <v>0</v>
      </c>
    </row>
    <row r="171" spans="2:54" ht="13.5" customHeight="1">
      <c r="B171" s="2445"/>
      <c r="C171" s="2444"/>
      <c r="D171" s="2445"/>
      <c r="E171" s="2444"/>
      <c r="F171" s="81"/>
      <c r="G171" s="82"/>
      <c r="H171" s="82"/>
      <c r="I171" s="82"/>
      <c r="J171" s="82"/>
      <c r="K171" s="82"/>
      <c r="L171" s="82"/>
      <c r="M171" s="82"/>
      <c r="N171" s="82"/>
      <c r="O171" s="82"/>
      <c r="P171" s="41"/>
      <c r="Q171" s="41"/>
      <c r="R171" s="41"/>
      <c r="S171" s="41"/>
      <c r="T171" s="1137" t="s">
        <v>766</v>
      </c>
      <c r="U171" s="1128"/>
      <c r="V171" s="2282">
        <v>50</v>
      </c>
      <c r="W171" s="2283"/>
      <c r="X171" s="2283"/>
      <c r="Y171" s="84" t="s">
        <v>767</v>
      </c>
      <c r="Z171" s="1125"/>
      <c r="AA171" s="2906">
        <v>14</v>
      </c>
      <c r="AB171" s="2907"/>
      <c r="AC171" s="2907"/>
      <c r="AD171" s="1126" t="s">
        <v>768</v>
      </c>
      <c r="AE171" s="1127"/>
      <c r="AF171" s="2282">
        <f>V171^2*AA171</f>
        <v>35000</v>
      </c>
      <c r="AG171" s="2283"/>
      <c r="AH171" s="2593"/>
      <c r="AI171" s="55">
        <v>5</v>
      </c>
      <c r="AJ171" s="1128"/>
      <c r="AK171" s="83"/>
      <c r="AL171" s="83"/>
      <c r="AM171" s="83"/>
      <c r="AN171" s="83"/>
      <c r="AO171" s="83"/>
      <c r="AP171" s="83"/>
      <c r="AQ171" s="83"/>
      <c r="AR171" s="83"/>
      <c r="AS171" s="83"/>
      <c r="AT171" s="83"/>
      <c r="AU171" s="83"/>
      <c r="AV171" s="83"/>
      <c r="AW171" s="83"/>
      <c r="AX171" s="83"/>
      <c r="AY171" s="83"/>
      <c r="AZ171" s="85"/>
      <c r="BA171" s="2200"/>
      <c r="BB171" s="1017" t="b">
        <f>BB$163</f>
        <v>0</v>
      </c>
    </row>
    <row r="172" spans="2:54" ht="13.5" customHeight="1">
      <c r="B172" s="2445"/>
      <c r="C172" s="2444"/>
      <c r="D172" s="2445"/>
      <c r="E172" s="2444"/>
      <c r="F172" s="86"/>
      <c r="G172" s="87"/>
      <c r="H172" s="87"/>
      <c r="I172" s="87"/>
      <c r="J172" s="87"/>
      <c r="K172" s="87"/>
      <c r="L172" s="87"/>
      <c r="M172" s="87"/>
      <c r="N172" s="87"/>
      <c r="O172" s="87"/>
      <c r="T172" s="1138" t="s">
        <v>122</v>
      </c>
      <c r="U172" s="1132"/>
      <c r="V172" s="2586">
        <v>30</v>
      </c>
      <c r="W172" s="2587"/>
      <c r="X172" s="2587"/>
      <c r="Y172" s="49" t="s">
        <v>767</v>
      </c>
      <c r="Z172" s="1129"/>
      <c r="AA172" s="2904">
        <v>7</v>
      </c>
      <c r="AB172" s="2905"/>
      <c r="AC172" s="2905"/>
      <c r="AD172" s="1130" t="s">
        <v>768</v>
      </c>
      <c r="AE172" s="1131"/>
      <c r="AF172" s="2586">
        <f>V172^2*AA172</f>
        <v>6300</v>
      </c>
      <c r="AG172" s="2587"/>
      <c r="AH172" s="2591"/>
      <c r="AI172" s="59">
        <v>1</v>
      </c>
      <c r="AJ172" s="1132"/>
      <c r="AK172" s="88"/>
      <c r="AL172" s="88"/>
      <c r="AM172" s="88"/>
      <c r="AN172" s="88"/>
      <c r="AO172" s="88"/>
      <c r="AP172" s="88"/>
      <c r="AQ172" s="88"/>
      <c r="AR172" s="88"/>
      <c r="AS172" s="88"/>
      <c r="AT172" s="88"/>
      <c r="AU172" s="88"/>
      <c r="AV172" s="88"/>
      <c r="AW172" s="88"/>
      <c r="AX172" s="88"/>
      <c r="AY172" s="88"/>
      <c r="AZ172" s="89"/>
      <c r="BA172" s="2200"/>
      <c r="BB172" s="1017" t="b">
        <f>BB$163</f>
        <v>0</v>
      </c>
    </row>
    <row r="173" spans="2:54" ht="13.5" customHeight="1">
      <c r="B173" s="2445"/>
      <c r="C173" s="2444"/>
      <c r="D173" s="2445"/>
      <c r="E173" s="2444"/>
      <c r="F173" s="86"/>
      <c r="G173" s="87"/>
      <c r="H173" s="87"/>
      <c r="I173" s="87"/>
      <c r="J173" s="87"/>
      <c r="K173" s="87"/>
      <c r="L173" s="87"/>
      <c r="M173" s="87"/>
      <c r="N173" s="87"/>
      <c r="O173" s="87"/>
      <c r="T173" s="1139" t="s">
        <v>123</v>
      </c>
      <c r="U173" s="1136"/>
      <c r="V173" s="2594">
        <v>20</v>
      </c>
      <c r="W173" s="2595"/>
      <c r="X173" s="2595"/>
      <c r="Y173" s="51" t="s">
        <v>39</v>
      </c>
      <c r="Z173" s="1133"/>
      <c r="AA173" s="2466">
        <v>2</v>
      </c>
      <c r="AB173" s="2467"/>
      <c r="AC173" s="2467"/>
      <c r="AD173" s="1134" t="s">
        <v>38</v>
      </c>
      <c r="AE173" s="1135"/>
      <c r="AF173" s="2594">
        <f>V173^2*AA173</f>
        <v>800</v>
      </c>
      <c r="AG173" s="2595"/>
      <c r="AH173" s="2903"/>
      <c r="AI173" s="68">
        <v>0.4</v>
      </c>
      <c r="AJ173" s="1136"/>
      <c r="AK173" s="88"/>
      <c r="AL173" s="88"/>
      <c r="AM173" s="88"/>
      <c r="AN173" s="88"/>
      <c r="AO173" s="88"/>
      <c r="AP173" s="88"/>
      <c r="AQ173" s="88"/>
      <c r="AR173" s="88"/>
      <c r="AS173" s="88"/>
      <c r="AT173" s="88"/>
      <c r="AU173" s="88"/>
      <c r="AV173" s="88"/>
      <c r="AW173" s="88"/>
      <c r="AX173" s="88"/>
      <c r="AY173" s="88"/>
      <c r="AZ173" s="89"/>
      <c r="BA173" s="2200"/>
      <c r="BB173" s="1017" t="b">
        <f>BB$163</f>
        <v>0</v>
      </c>
    </row>
    <row r="174" spans="2:54" ht="13.5" customHeight="1">
      <c r="B174" s="2445"/>
      <c r="C174" s="2444"/>
      <c r="D174" s="2445"/>
      <c r="E174" s="2444"/>
      <c r="F174" s="90"/>
      <c r="G174" s="91"/>
      <c r="H174" s="91"/>
      <c r="I174" s="91"/>
      <c r="J174" s="91"/>
      <c r="K174" s="91"/>
      <c r="L174" s="91"/>
      <c r="M174" s="91"/>
      <c r="N174" s="91"/>
      <c r="O174" s="91"/>
      <c r="P174" s="5"/>
      <c r="Q174" s="5"/>
      <c r="R174" s="5"/>
      <c r="S174" s="5"/>
      <c r="T174" s="93"/>
      <c r="U174" s="93"/>
      <c r="V174" s="94"/>
      <c r="W174" s="94"/>
      <c r="X174" s="95"/>
      <c r="Y174" s="94"/>
      <c r="Z174" s="94"/>
      <c r="AA174" s="95"/>
      <c r="AB174" s="94"/>
      <c r="AC174" s="94"/>
      <c r="AD174" s="94"/>
      <c r="AE174" s="96"/>
      <c r="AF174" s="93"/>
      <c r="AG174" s="92"/>
      <c r="AH174" s="92"/>
      <c r="AI174" s="92"/>
      <c r="AJ174" s="92"/>
      <c r="AK174" s="88"/>
      <c r="AL174" s="88"/>
      <c r="AM174" s="88"/>
      <c r="AN174" s="88"/>
      <c r="AO174" s="88"/>
      <c r="AP174" s="88"/>
      <c r="AQ174" s="88"/>
      <c r="AR174" s="88"/>
      <c r="AS174" s="88"/>
      <c r="AT174" s="88"/>
      <c r="AU174" s="88"/>
      <c r="AV174" s="88"/>
      <c r="AW174" s="88"/>
      <c r="AX174" s="88"/>
      <c r="AY174" s="88"/>
      <c r="AZ174" s="89"/>
      <c r="BA174" s="2200"/>
      <c r="BB174" s="1017" t="b">
        <f>BB$163</f>
        <v>0</v>
      </c>
    </row>
    <row r="175" spans="2:54" ht="13.5" customHeight="1">
      <c r="B175" s="2445"/>
      <c r="C175" s="2444"/>
      <c r="D175" s="2445"/>
      <c r="E175" s="2444"/>
      <c r="F175" s="1654" t="s">
        <v>755</v>
      </c>
      <c r="G175" s="1591"/>
      <c r="H175" s="1591"/>
      <c r="I175" s="1591"/>
      <c r="J175" s="1591"/>
      <c r="K175" s="1591"/>
      <c r="L175" s="1591"/>
      <c r="M175" s="1591"/>
      <c r="N175" s="1591"/>
      <c r="O175" s="1591"/>
      <c r="P175" s="1549" t="s">
        <v>664</v>
      </c>
      <c r="Q175" s="1547"/>
      <c r="R175" s="1547"/>
      <c r="S175" s="1548"/>
      <c r="T175" s="1654" t="s">
        <v>756</v>
      </c>
      <c r="U175" s="1591"/>
      <c r="V175" s="1654" t="s">
        <v>757</v>
      </c>
      <c r="W175" s="1591"/>
      <c r="X175" s="1591"/>
      <c r="Y175" s="1591"/>
      <c r="Z175" s="1592"/>
      <c r="AA175" s="1654" t="s">
        <v>758</v>
      </c>
      <c r="AB175" s="1591"/>
      <c r="AC175" s="1592"/>
      <c r="AD175" s="1591"/>
      <c r="AE175" s="1591"/>
      <c r="AF175" s="1654" t="s">
        <v>124</v>
      </c>
      <c r="AG175" s="1591"/>
      <c r="AH175" s="1591"/>
      <c r="AI175" s="1591"/>
      <c r="AJ175" s="1592"/>
      <c r="AK175" s="1655" t="s">
        <v>669</v>
      </c>
      <c r="AL175" s="1655"/>
      <c r="AM175" s="1655"/>
      <c r="AN175" s="1655"/>
      <c r="AO175" s="1550" t="s">
        <v>125</v>
      </c>
      <c r="AP175" s="1550"/>
      <c r="AQ175" s="1550"/>
      <c r="AR175" s="1550"/>
      <c r="AS175" s="1550" t="s">
        <v>761</v>
      </c>
      <c r="AT175" s="1550"/>
      <c r="AU175" s="1549"/>
      <c r="AV175" s="1551" t="s">
        <v>762</v>
      </c>
      <c r="AW175" s="1552"/>
      <c r="AX175" s="1552"/>
      <c r="AY175" s="1553"/>
      <c r="AZ175" s="1554"/>
      <c r="BA175" s="2200"/>
      <c r="BB175" s="1017" t="b">
        <f>SUM(AV176:AZ178)&lt;&gt;0</f>
        <v>0</v>
      </c>
    </row>
    <row r="176" spans="2:54" ht="13.5" customHeight="1">
      <c r="B176" s="2445"/>
      <c r="C176" s="2444"/>
      <c r="D176" s="2445"/>
      <c r="E176" s="2444"/>
      <c r="F176" s="2418" t="s">
        <v>126</v>
      </c>
      <c r="G176" s="2419"/>
      <c r="H176" s="2419"/>
      <c r="I176" s="2419"/>
      <c r="J176" s="2419"/>
      <c r="K176" s="2419"/>
      <c r="L176" s="2419"/>
      <c r="M176" s="2419"/>
      <c r="N176" s="2419"/>
      <c r="O176" s="2420"/>
      <c r="P176" s="2418">
        <v>717600</v>
      </c>
      <c r="Q176" s="2419"/>
      <c r="R176" s="2419"/>
      <c r="S176" s="2420"/>
      <c r="T176" s="2311"/>
      <c r="U176" s="2312"/>
      <c r="V176" s="2309"/>
      <c r="W176" s="2310"/>
      <c r="X176" s="97" t="s">
        <v>127</v>
      </c>
      <c r="Y176" s="98">
        <f>MIN(ROUNDDOWN(IF(V176&gt;V$180,1+(Y$179-Y$180)/(V$179-V$180)*(V176-V$180),1-(Y$180-Y$181)/(V$180-V$181)*(V$180-V176)),2),Y$179)</f>
        <v>0</v>
      </c>
      <c r="Z176" s="99"/>
      <c r="AA176" s="2573"/>
      <c r="AB176" s="2574"/>
      <c r="AC176" s="100" t="s">
        <v>128</v>
      </c>
      <c r="AD176" s="98">
        <f>MIN(ROUNDDOWN(IF(AA176&gt;AA$180,1+(AD$179-AD$180)/(AA$179-AA$180)*(AA176-AA$180),1-(AD$180-AD$181)/(AA$180-AA$181)*(AA$180-AA176)),2),AD$179)</f>
        <v>0.25</v>
      </c>
      <c r="AE176" s="99"/>
      <c r="AF176" s="101" t="s">
        <v>129</v>
      </c>
      <c r="AG176" s="102"/>
      <c r="AH176" s="102"/>
      <c r="AI176" s="102"/>
      <c r="AJ176" s="103"/>
      <c r="AK176" s="2386">
        <f>MIN(ROUNDDOWN(Y176*AD176,2),5)</f>
        <v>0</v>
      </c>
      <c r="AL176" s="2387"/>
      <c r="AM176" s="2387"/>
      <c r="AN176" s="2388"/>
      <c r="AO176" s="2304">
        <f>INT($P$176*AK176)</f>
        <v>0</v>
      </c>
      <c r="AP176" s="2305"/>
      <c r="AQ176" s="2305"/>
      <c r="AR176" s="2306"/>
      <c r="AS176" s="2304">
        <f>T176</f>
        <v>0</v>
      </c>
      <c r="AT176" s="2305"/>
      <c r="AU176" s="2306"/>
      <c r="AV176" s="2583">
        <f>AO176*AS176</f>
        <v>0</v>
      </c>
      <c r="AW176" s="2584"/>
      <c r="AX176" s="2584"/>
      <c r="AY176" s="2584"/>
      <c r="AZ176" s="2585"/>
      <c r="BA176" s="2200"/>
      <c r="BB176" s="1017" t="b">
        <f>COUNTA(T176:AC176)-3&lt;&gt;0</f>
        <v>0</v>
      </c>
    </row>
    <row r="177" spans="2:54" ht="13.5" customHeight="1">
      <c r="B177" s="2445"/>
      <c r="C177" s="2444"/>
      <c r="D177" s="2445"/>
      <c r="E177" s="2444"/>
      <c r="F177" s="2448"/>
      <c r="G177" s="2449"/>
      <c r="H177" s="2449"/>
      <c r="I177" s="2449"/>
      <c r="J177" s="2449"/>
      <c r="K177" s="2449"/>
      <c r="L177" s="2449"/>
      <c r="M177" s="2449"/>
      <c r="N177" s="2449"/>
      <c r="O177" s="2450"/>
      <c r="P177" s="2448"/>
      <c r="Q177" s="2449"/>
      <c r="R177" s="2449"/>
      <c r="S177" s="2450"/>
      <c r="T177" s="2287"/>
      <c r="U177" s="2288"/>
      <c r="V177" s="2292"/>
      <c r="W177" s="2293"/>
      <c r="X177" s="104" t="s">
        <v>127</v>
      </c>
      <c r="Y177" s="105">
        <f>MIN(ROUNDDOWN(IF(V177&gt;V$180,1+(Y$179-Y$180)/(V$179-V$180)*(V177-V$180),1-(Y$180-Y$181)/(V$180-V$181)*(V$180-V177)),2),Y$179)</f>
        <v>0</v>
      </c>
      <c r="Z177" s="106"/>
      <c r="AA177" s="2307"/>
      <c r="AB177" s="2308"/>
      <c r="AC177" s="107" t="s">
        <v>128</v>
      </c>
      <c r="AD177" s="105">
        <f>MIN(ROUNDDOWN(IF(AA177&gt;AA$180,1+(AD$179-AD$180)/(AA$179-AA$180)*(AA177-AA$180),1-(AD$180-AD$181)/(AA$180-AA$181)*(AA$180-AA177)),2),AD$179)</f>
        <v>0.25</v>
      </c>
      <c r="AE177" s="106"/>
      <c r="AF177" s="108" t="s">
        <v>129</v>
      </c>
      <c r="AG177" s="109"/>
      <c r="AH177" s="109"/>
      <c r="AI177" s="109"/>
      <c r="AJ177" s="110"/>
      <c r="AK177" s="2299">
        <f>ROUNDDOWN(Y177*AD177,2)</f>
        <v>0</v>
      </c>
      <c r="AL177" s="2300"/>
      <c r="AM177" s="2300"/>
      <c r="AN177" s="2301"/>
      <c r="AO177" s="2278">
        <f t="shared" ref="AO177:AO178" si="30">INT($P$176*AK177)</f>
        <v>0</v>
      </c>
      <c r="AP177" s="2279"/>
      <c r="AQ177" s="2279"/>
      <c r="AR177" s="2280"/>
      <c r="AS177" s="2278">
        <f>T177</f>
        <v>0</v>
      </c>
      <c r="AT177" s="2279"/>
      <c r="AU177" s="2280"/>
      <c r="AV177" s="2284">
        <f>AO177*AS177</f>
        <v>0</v>
      </c>
      <c r="AW177" s="2285"/>
      <c r="AX177" s="2285"/>
      <c r="AY177" s="2285"/>
      <c r="AZ177" s="2286"/>
      <c r="BA177" s="2200"/>
      <c r="BB177" s="1017" t="b">
        <f>COUNTA(T177:AC177)-3&lt;&gt;0</f>
        <v>0</v>
      </c>
    </row>
    <row r="178" spans="2:54" ht="13.5" customHeight="1">
      <c r="B178" s="2445"/>
      <c r="C178" s="2444"/>
      <c r="D178" s="2445"/>
      <c r="E178" s="2444"/>
      <c r="F178" s="2421"/>
      <c r="G178" s="2422"/>
      <c r="H178" s="2422"/>
      <c r="I178" s="2422"/>
      <c r="J178" s="2422"/>
      <c r="K178" s="2422"/>
      <c r="L178" s="2422"/>
      <c r="M178" s="2422"/>
      <c r="N178" s="2422"/>
      <c r="O178" s="2423"/>
      <c r="P178" s="2421"/>
      <c r="Q178" s="2422"/>
      <c r="R178" s="2422"/>
      <c r="S178" s="2423"/>
      <c r="T178" s="2302"/>
      <c r="U178" s="2303"/>
      <c r="V178" s="2602"/>
      <c r="W178" s="2603"/>
      <c r="X178" s="8" t="s">
        <v>127</v>
      </c>
      <c r="Y178" s="111">
        <f>MIN(ROUNDDOWN(IF(V178&gt;V$180,1+(Y$179-Y$180)/(V$179-V$180)*(V178-V$180),1-(Y$180-Y$181)/(V$180-V$181)*(V$180-V178)),2),Y$179)</f>
        <v>0</v>
      </c>
      <c r="Z178" s="112"/>
      <c r="AA178" s="2313"/>
      <c r="AB178" s="2314"/>
      <c r="AC178" s="113" t="s">
        <v>128</v>
      </c>
      <c r="AD178" s="111">
        <f>MIN(ROUNDDOWN(IF(AA178&gt;AA$180,1+(AD$179-AD$180)/(AA$179-AA$180)*(AA178-AA$180),1-(AD$180-AD$181)/(AA$180-AA$181)*(AA$180-AA178)),2),AD$179)</f>
        <v>0.25</v>
      </c>
      <c r="AE178" s="112"/>
      <c r="AF178" s="114" t="s">
        <v>129</v>
      </c>
      <c r="AG178" s="115"/>
      <c r="AH178" s="115"/>
      <c r="AI178" s="115"/>
      <c r="AJ178" s="116"/>
      <c r="AK178" s="2294">
        <f>ROUNDDOWN(Y178*AD178,2)</f>
        <v>0</v>
      </c>
      <c r="AL178" s="2295"/>
      <c r="AM178" s="2295"/>
      <c r="AN178" s="2296"/>
      <c r="AO178" s="2289">
        <f t="shared" si="30"/>
        <v>0</v>
      </c>
      <c r="AP178" s="2290"/>
      <c r="AQ178" s="2290"/>
      <c r="AR178" s="2291"/>
      <c r="AS178" s="2289">
        <f>T178</f>
        <v>0</v>
      </c>
      <c r="AT178" s="2290"/>
      <c r="AU178" s="2291"/>
      <c r="AV178" s="2588">
        <f>AO178*AS178</f>
        <v>0</v>
      </c>
      <c r="AW178" s="2589"/>
      <c r="AX178" s="2589"/>
      <c r="AY178" s="2589"/>
      <c r="AZ178" s="2590"/>
      <c r="BA178" s="2200"/>
      <c r="BB178" s="1017" t="b">
        <f>COUNTA(T178:AC178)-3&lt;&gt;0</f>
        <v>0</v>
      </c>
    </row>
    <row r="179" spans="2:54" ht="13.5" customHeight="1">
      <c r="B179" s="2445"/>
      <c r="C179" s="2444"/>
      <c r="D179" s="2445"/>
      <c r="E179" s="2444"/>
      <c r="F179" s="81"/>
      <c r="G179" s="82"/>
      <c r="H179" s="82"/>
      <c r="I179" s="82"/>
      <c r="J179" s="82"/>
      <c r="K179" s="82"/>
      <c r="L179" s="82"/>
      <c r="M179" s="82"/>
      <c r="N179" s="82"/>
      <c r="O179" s="82"/>
      <c r="P179" s="83"/>
      <c r="Q179" s="83"/>
      <c r="R179" s="83"/>
      <c r="S179" s="83"/>
      <c r="T179" s="1137" t="s">
        <v>766</v>
      </c>
      <c r="U179" s="1128"/>
      <c r="V179" s="2282">
        <v>200</v>
      </c>
      <c r="W179" s="2283"/>
      <c r="X179" s="1140" t="s">
        <v>767</v>
      </c>
      <c r="Y179" s="17">
        <v>1.5</v>
      </c>
      <c r="Z179" s="14"/>
      <c r="AA179" s="2282">
        <v>20</v>
      </c>
      <c r="AB179" s="2283"/>
      <c r="AC179" s="1140" t="s">
        <v>768</v>
      </c>
      <c r="AD179" s="17">
        <v>1.25</v>
      </c>
      <c r="AE179" s="14"/>
      <c r="AF179" s="83"/>
      <c r="AG179" s="83"/>
      <c r="AH179" s="83"/>
      <c r="AI179" s="83"/>
      <c r="AJ179" s="83"/>
      <c r="AK179" s="83"/>
      <c r="AL179" s="83"/>
      <c r="AM179" s="83"/>
      <c r="AN179" s="83"/>
      <c r="AO179" s="83"/>
      <c r="AP179" s="83"/>
      <c r="AQ179" s="83"/>
      <c r="AR179" s="83"/>
      <c r="AS179" s="83"/>
      <c r="AT179" s="83"/>
      <c r="AU179" s="83"/>
      <c r="AV179" s="83"/>
      <c r="AW179" s="83"/>
      <c r="AX179" s="83"/>
      <c r="AY179" s="83"/>
      <c r="AZ179" s="85"/>
      <c r="BA179" s="2200"/>
      <c r="BB179" s="1017" t="b">
        <f>BB$175</f>
        <v>0</v>
      </c>
    </row>
    <row r="180" spans="2:54" ht="13.5" customHeight="1">
      <c r="B180" s="2445"/>
      <c r="C180" s="2444"/>
      <c r="D180" s="2445"/>
      <c r="E180" s="2444"/>
      <c r="F180" s="86"/>
      <c r="G180" s="87"/>
      <c r="H180" s="87"/>
      <c r="I180" s="87"/>
      <c r="J180" s="87"/>
      <c r="K180" s="87"/>
      <c r="L180" s="87"/>
      <c r="M180" s="87"/>
      <c r="N180" s="87"/>
      <c r="O180" s="87"/>
      <c r="P180" s="88"/>
      <c r="Q180" s="88"/>
      <c r="R180" s="88"/>
      <c r="S180" s="88"/>
      <c r="T180" s="1138" t="s">
        <v>122</v>
      </c>
      <c r="U180" s="1132"/>
      <c r="V180" s="2586">
        <v>100</v>
      </c>
      <c r="W180" s="2587"/>
      <c r="X180" s="1141" t="s">
        <v>767</v>
      </c>
      <c r="Y180" s="25">
        <v>1</v>
      </c>
      <c r="Z180" s="23"/>
      <c r="AA180" s="2586">
        <v>15</v>
      </c>
      <c r="AB180" s="2587"/>
      <c r="AC180" s="1141" t="s">
        <v>768</v>
      </c>
      <c r="AD180" s="25">
        <v>1</v>
      </c>
      <c r="AE180" s="23"/>
      <c r="AF180" s="88"/>
      <c r="AG180" s="88"/>
      <c r="AH180" s="88"/>
      <c r="AI180" s="88"/>
      <c r="AJ180" s="88"/>
      <c r="AK180" s="88"/>
      <c r="AL180" s="88"/>
      <c r="AM180" s="88"/>
      <c r="AN180" s="88"/>
      <c r="AO180" s="88"/>
      <c r="AP180" s="88"/>
      <c r="AQ180" s="88"/>
      <c r="AR180" s="88"/>
      <c r="AS180" s="88"/>
      <c r="AT180" s="88"/>
      <c r="AU180" s="88"/>
      <c r="AV180" s="88"/>
      <c r="AW180" s="88"/>
      <c r="AX180" s="88"/>
      <c r="AY180" s="88"/>
      <c r="AZ180" s="89"/>
      <c r="BA180" s="2200"/>
      <c r="BB180" s="1017" t="b">
        <f>BB$175</f>
        <v>0</v>
      </c>
    </row>
    <row r="181" spans="2:54" ht="13.5" customHeight="1">
      <c r="B181" s="2445"/>
      <c r="C181" s="2444"/>
      <c r="D181" s="2445"/>
      <c r="E181" s="2444"/>
      <c r="F181" s="86"/>
      <c r="G181" s="87"/>
      <c r="H181" s="87"/>
      <c r="I181" s="87"/>
      <c r="J181" s="87"/>
      <c r="K181" s="87"/>
      <c r="L181" s="87"/>
      <c r="M181" s="87"/>
      <c r="N181" s="87"/>
      <c r="O181" s="87"/>
      <c r="P181" s="88"/>
      <c r="Q181" s="88"/>
      <c r="R181" s="88"/>
      <c r="S181" s="88"/>
      <c r="T181" s="1139" t="s">
        <v>123</v>
      </c>
      <c r="U181" s="1136"/>
      <c r="V181" s="2594">
        <v>80</v>
      </c>
      <c r="W181" s="2595"/>
      <c r="X181" s="1142" t="s">
        <v>39</v>
      </c>
      <c r="Y181" s="28">
        <v>0.8</v>
      </c>
      <c r="Z181" s="29"/>
      <c r="AA181" s="2594">
        <v>10</v>
      </c>
      <c r="AB181" s="2595"/>
      <c r="AC181" s="1142" t="s">
        <v>38</v>
      </c>
      <c r="AD181" s="28">
        <v>0.75</v>
      </c>
      <c r="AE181" s="29"/>
      <c r="AF181" s="88"/>
      <c r="AG181" s="88"/>
      <c r="AH181" s="88"/>
      <c r="AI181" s="88"/>
      <c r="AJ181" s="88"/>
      <c r="AK181" s="88"/>
      <c r="AL181" s="88"/>
      <c r="AM181" s="88"/>
      <c r="AN181" s="88"/>
      <c r="AO181" s="88"/>
      <c r="AP181" s="88"/>
      <c r="AQ181" s="88"/>
      <c r="AR181" s="88"/>
      <c r="AS181" s="88"/>
      <c r="AT181" s="88"/>
      <c r="AU181" s="88"/>
      <c r="AV181" s="88"/>
      <c r="AW181" s="88"/>
      <c r="AX181" s="88"/>
      <c r="AY181" s="88"/>
      <c r="AZ181" s="89"/>
      <c r="BA181" s="2200"/>
      <c r="BB181" s="1017" t="b">
        <f>BB$175</f>
        <v>0</v>
      </c>
    </row>
    <row r="182" spans="2:54" ht="13.5" customHeight="1" thickBot="1">
      <c r="B182" s="2445"/>
      <c r="C182" s="2444"/>
      <c r="D182" s="2445"/>
      <c r="E182" s="2444"/>
      <c r="F182" s="86"/>
      <c r="G182" s="87"/>
      <c r="H182" s="87"/>
      <c r="I182" s="87"/>
      <c r="J182" s="87"/>
      <c r="K182" s="87"/>
      <c r="L182" s="87"/>
      <c r="M182" s="87"/>
      <c r="N182" s="87"/>
      <c r="O182" s="87"/>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92"/>
      <c r="AQ182" s="88"/>
      <c r="AR182" s="88"/>
      <c r="AS182" s="88"/>
      <c r="AT182" s="88"/>
      <c r="AU182" s="88"/>
      <c r="AV182" s="88"/>
      <c r="AW182" s="88"/>
      <c r="AX182" s="88"/>
      <c r="AY182" s="88"/>
      <c r="AZ182" s="89"/>
      <c r="BA182" s="2200"/>
      <c r="BB182" s="1017" t="b">
        <f>BB$175</f>
        <v>0</v>
      </c>
    </row>
    <row r="183" spans="2:54" ht="13.5" customHeight="1" thickBot="1">
      <c r="B183" s="2446"/>
      <c r="C183" s="2447"/>
      <c r="D183" s="1656"/>
      <c r="E183" s="1645"/>
      <c r="F183" s="1645"/>
      <c r="G183" s="1645"/>
      <c r="H183" s="1645"/>
      <c r="I183" s="164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57"/>
      <c r="AP183" s="1576" t="s">
        <v>681</v>
      </c>
      <c r="AQ183" s="1577"/>
      <c r="AR183" s="1577"/>
      <c r="AS183" s="1577"/>
      <c r="AT183" s="1577"/>
      <c r="AU183" s="1577"/>
      <c r="AV183" s="2376">
        <f>SUM(AV163:AZ182)</f>
        <v>0</v>
      </c>
      <c r="AW183" s="2377"/>
      <c r="AX183" s="2377"/>
      <c r="AY183" s="2377"/>
      <c r="AZ183" s="2378"/>
      <c r="BA183" s="2200"/>
      <c r="BB183" s="1017" t="b">
        <f>AV$183&lt;&gt;0</f>
        <v>0</v>
      </c>
    </row>
    <row r="184" spans="2:54" ht="13.5" customHeight="1">
      <c r="BA184" s="2200"/>
      <c r="BB184" s="956" t="b">
        <v>0</v>
      </c>
    </row>
    <row r="185" spans="2:54" ht="13.5" customHeight="1">
      <c r="C185" s="2596" t="s">
        <v>1204</v>
      </c>
      <c r="D185" s="2597"/>
      <c r="E185" s="2597"/>
      <c r="F185" s="2597"/>
      <c r="G185" s="2597"/>
      <c r="H185" s="2597"/>
      <c r="I185" s="2597"/>
      <c r="J185" s="2597"/>
      <c r="K185" s="2597"/>
      <c r="L185" s="2597"/>
      <c r="M185" s="2597"/>
      <c r="N185" s="2597"/>
      <c r="O185" s="2597"/>
      <c r="P185" s="2597"/>
      <c r="Q185" s="2597"/>
      <c r="R185" s="2597"/>
      <c r="S185" s="2597"/>
      <c r="T185" s="2597"/>
      <c r="U185" s="2597"/>
      <c r="V185" s="2597"/>
      <c r="W185" s="2597"/>
      <c r="X185" s="2597"/>
      <c r="Y185" s="2597"/>
      <c r="Z185" s="2597"/>
      <c r="AA185" s="2597"/>
      <c r="AB185" s="2597"/>
      <c r="AC185" s="2597"/>
      <c r="AD185" s="2597"/>
      <c r="AE185" s="2597"/>
      <c r="AF185" s="2597"/>
      <c r="AG185" s="2597"/>
      <c r="AH185" s="2597"/>
      <c r="AI185" s="2597"/>
      <c r="AJ185" s="2597"/>
      <c r="AK185" s="2597"/>
      <c r="AL185" s="2597"/>
      <c r="AM185" s="2597"/>
      <c r="AN185" s="2597"/>
      <c r="AO185" s="2597"/>
      <c r="AP185" s="2597"/>
      <c r="AQ185" s="2597"/>
      <c r="AR185" s="2597"/>
      <c r="AS185" s="2597"/>
      <c r="AT185" s="2597"/>
      <c r="AU185" s="2597"/>
      <c r="AV185" s="2597"/>
      <c r="AW185" s="2597"/>
      <c r="AX185" s="2597"/>
      <c r="AY185" s="2598"/>
      <c r="BA185" s="2200"/>
      <c r="BB185" s="956" t="b">
        <v>0</v>
      </c>
    </row>
    <row r="186" spans="2:54" ht="13.5" customHeight="1">
      <c r="C186" s="2575" t="s">
        <v>5729</v>
      </c>
      <c r="D186" s="2576"/>
      <c r="E186" s="2576"/>
      <c r="F186" s="2576"/>
      <c r="G186" s="2576"/>
      <c r="H186" s="2576"/>
      <c r="I186" s="2576"/>
      <c r="J186" s="2576"/>
      <c r="K186" s="2576"/>
      <c r="L186" s="2576"/>
      <c r="M186" s="2576"/>
      <c r="N186" s="2576"/>
      <c r="O186" s="2576"/>
      <c r="P186" s="2576"/>
      <c r="Q186" s="2576"/>
      <c r="R186" s="2576"/>
      <c r="S186" s="2576"/>
      <c r="T186" s="2576"/>
      <c r="U186" s="2576"/>
      <c r="V186" s="2576"/>
      <c r="W186" s="2576"/>
      <c r="X186" s="2576"/>
      <c r="Y186" s="2576"/>
      <c r="Z186" s="2576"/>
      <c r="AA186" s="2576"/>
      <c r="AB186" s="2576"/>
      <c r="AC186" s="2576"/>
      <c r="AD186" s="2576"/>
      <c r="AE186" s="2576"/>
      <c r="AF186" s="2576"/>
      <c r="AG186" s="2576"/>
      <c r="AH186" s="2576"/>
      <c r="AI186" s="2576"/>
      <c r="AJ186" s="2576"/>
      <c r="AK186" s="2576"/>
      <c r="AL186" s="2576"/>
      <c r="AM186" s="2576"/>
      <c r="AN186" s="2576"/>
      <c r="AO186" s="2576"/>
      <c r="AP186" s="2576"/>
      <c r="AQ186" s="2576"/>
      <c r="AR186" s="2576"/>
      <c r="AS186" s="2576"/>
      <c r="AT186" s="2576"/>
      <c r="AU186" s="2576"/>
      <c r="AV186" s="2576"/>
      <c r="AW186" s="2576"/>
      <c r="AX186" s="2576"/>
      <c r="AY186" s="2577"/>
      <c r="BA186" s="2200"/>
      <c r="BB186" s="956" t="b">
        <v>0</v>
      </c>
    </row>
    <row r="187" spans="2:54" ht="13.5" customHeight="1">
      <c r="BA187" s="2200"/>
      <c r="BB187" s="956" t="b">
        <v>0</v>
      </c>
    </row>
    <row r="188" spans="2:54" ht="13.5" customHeight="1">
      <c r="B188" s="1523"/>
      <c r="C188" s="2096" t="s">
        <v>5696</v>
      </c>
      <c r="D188" s="2090"/>
      <c r="E188" s="2090"/>
      <c r="F188" s="2090"/>
      <c r="G188" s="2090"/>
      <c r="H188" s="2090"/>
      <c r="I188" s="2090"/>
      <c r="J188" s="2090"/>
      <c r="K188" s="2091"/>
      <c r="L188" s="2091"/>
      <c r="M188" s="2091"/>
      <c r="N188" s="2091"/>
      <c r="BA188" s="2200"/>
      <c r="BB188" s="956" t="b">
        <v>0</v>
      </c>
    </row>
    <row r="189" spans="2:54" ht="13.5" customHeight="1">
      <c r="B189" s="5"/>
      <c r="C189" s="5"/>
      <c r="AF189" s="5"/>
      <c r="AG189" s="5"/>
      <c r="AH189" s="5"/>
      <c r="AI189" s="5"/>
      <c r="AJ189" s="5"/>
      <c r="AK189" s="5"/>
      <c r="AL189" s="5"/>
      <c r="AM189" s="5"/>
      <c r="AN189" s="5"/>
      <c r="AO189" s="5"/>
      <c r="AP189" s="5"/>
      <c r="AQ189" s="5"/>
      <c r="AR189" s="5"/>
      <c r="AS189" s="5"/>
      <c r="AT189" s="5"/>
      <c r="AU189" s="5"/>
      <c r="AV189" s="5"/>
      <c r="AW189" s="5"/>
      <c r="AX189" s="5"/>
      <c r="AY189" s="5"/>
      <c r="AZ189" s="5"/>
      <c r="BA189" s="2200"/>
      <c r="BB189" s="956" t="b">
        <v>1</v>
      </c>
    </row>
    <row r="190" spans="2:54" ht="13.5" customHeight="1">
      <c r="B190" s="1578"/>
      <c r="C190" s="1579"/>
      <c r="D190" s="1580"/>
      <c r="E190" s="1654" t="s">
        <v>663</v>
      </c>
      <c r="F190" s="1591"/>
      <c r="G190" s="1591"/>
      <c r="H190" s="1591"/>
      <c r="I190" s="1591"/>
      <c r="J190" s="1591"/>
      <c r="K190" s="1591"/>
      <c r="L190" s="1591"/>
      <c r="M190" s="1591"/>
      <c r="N190" s="1591"/>
      <c r="O190" s="1591"/>
      <c r="P190" s="1592"/>
      <c r="Q190" s="1591" t="s">
        <v>769</v>
      </c>
      <c r="R190" s="1591"/>
      <c r="S190" s="1591"/>
      <c r="T190" s="1658"/>
      <c r="U190" s="1591" t="s">
        <v>770</v>
      </c>
      <c r="V190" s="1591"/>
      <c r="W190" s="1591"/>
      <c r="X190" s="1658"/>
      <c r="Y190" s="1591" t="s">
        <v>771</v>
      </c>
      <c r="Z190" s="1591"/>
      <c r="AA190" s="1591"/>
      <c r="AB190" s="1658"/>
      <c r="AC190" s="1591" t="s">
        <v>772</v>
      </c>
      <c r="AD190" s="1591"/>
      <c r="AE190" s="1591"/>
      <c r="AF190" s="1591" t="s">
        <v>772</v>
      </c>
      <c r="AG190" s="1591"/>
      <c r="AH190" s="1592"/>
      <c r="AI190" s="1592"/>
      <c r="AJ190" s="1654" t="s">
        <v>773</v>
      </c>
      <c r="AK190" s="1591"/>
      <c r="AL190" s="1592"/>
      <c r="AM190" s="1654" t="s">
        <v>669</v>
      </c>
      <c r="AN190" s="1591"/>
      <c r="AO190" s="1592"/>
      <c r="AP190" s="1654" t="s">
        <v>774</v>
      </c>
      <c r="AQ190" s="1591"/>
      <c r="AR190" s="1592"/>
      <c r="AS190" s="1655" t="s">
        <v>775</v>
      </c>
      <c r="AT190" s="1654"/>
      <c r="AU190" s="1654"/>
      <c r="AV190" s="1654"/>
      <c r="AW190" s="2241" t="s">
        <v>666</v>
      </c>
      <c r="AX190" s="2242"/>
      <c r="AY190" s="2242"/>
      <c r="AZ190" s="2242"/>
      <c r="BA190" s="2200"/>
      <c r="BB190" s="956" t="b">
        <v>1</v>
      </c>
    </row>
    <row r="191" spans="2:54" ht="13.5" customHeight="1">
      <c r="B191" s="2578" t="s">
        <v>776</v>
      </c>
      <c r="C191" s="2579"/>
      <c r="D191" s="2580"/>
      <c r="E191" s="122" t="s">
        <v>777</v>
      </c>
      <c r="F191" s="2252" t="s">
        <v>778</v>
      </c>
      <c r="G191" s="2252"/>
      <c r="H191" s="2252"/>
      <c r="I191" s="2252"/>
      <c r="J191" s="2252"/>
      <c r="K191" s="2252"/>
      <c r="L191" s="2252"/>
      <c r="M191" s="2252"/>
      <c r="N191" s="2252"/>
      <c r="O191" s="2252"/>
      <c r="P191" s="2253"/>
      <c r="Q191" s="2320"/>
      <c r="R191" s="2275"/>
      <c r="S191" s="2275"/>
      <c r="T191" s="505"/>
      <c r="U191" s="2275"/>
      <c r="V191" s="2275"/>
      <c r="W191" s="2275"/>
      <c r="X191" s="505"/>
      <c r="Y191" s="2275"/>
      <c r="Z191" s="2275"/>
      <c r="AA191" s="2275"/>
      <c r="AB191" s="510"/>
      <c r="AC191" s="2297"/>
      <c r="AD191" s="2297"/>
      <c r="AE191" s="2297"/>
      <c r="AF191" s="510"/>
      <c r="AG191" s="2297"/>
      <c r="AH191" s="2297"/>
      <c r="AI191" s="2298"/>
      <c r="AJ191" s="2212">
        <f t="shared" ref="AJ191:AJ214" si="31">ROUNDDOWN(SUM(Q191:AI191),-1)</f>
        <v>0</v>
      </c>
      <c r="AK191" s="2213"/>
      <c r="AL191" s="2214"/>
      <c r="AM191" s="2215">
        <v>1</v>
      </c>
      <c r="AN191" s="2216"/>
      <c r="AO191" s="2217"/>
      <c r="AP191" s="2212">
        <f t="shared" ref="AP191:AP214" si="32">INT(AJ191*AM191)</f>
        <v>0</v>
      </c>
      <c r="AQ191" s="2213"/>
      <c r="AR191" s="2214"/>
      <c r="AS191" s="2218"/>
      <c r="AT191" s="2219"/>
      <c r="AU191" s="2219"/>
      <c r="AV191" s="2220"/>
      <c r="AW191" s="2206">
        <f t="shared" ref="AW191:AW214" si="33">INT(AP191*AS191)</f>
        <v>0</v>
      </c>
      <c r="AX191" s="2207"/>
      <c r="AY191" s="2207"/>
      <c r="AZ191" s="2208"/>
      <c r="BA191" s="2200"/>
      <c r="BB191" s="956" t="b">
        <f ca="1">AW215=0</f>
        <v>1</v>
      </c>
    </row>
    <row r="192" spans="2:54" ht="13.5" customHeight="1">
      <c r="B192" s="2445"/>
      <c r="C192" s="2521"/>
      <c r="D192" s="2500"/>
      <c r="E192" s="957" t="s">
        <v>777</v>
      </c>
      <c r="F192" s="2210" t="s">
        <v>5600</v>
      </c>
      <c r="G192" s="2210"/>
      <c r="H192" s="2210"/>
      <c r="I192" s="2210"/>
      <c r="J192" s="2210"/>
      <c r="K192" s="2210"/>
      <c r="L192" s="2210"/>
      <c r="M192" s="2210"/>
      <c r="N192" s="2210"/>
      <c r="O192" s="2210"/>
      <c r="P192" s="2211"/>
      <c r="Q192" s="2257">
        <v>11962</v>
      </c>
      <c r="R192" s="2224"/>
      <c r="S192" s="2224"/>
      <c r="T192" s="508" t="s">
        <v>1292</v>
      </c>
      <c r="U192" s="2224" t="s">
        <v>1031</v>
      </c>
      <c r="V192" s="2224"/>
      <c r="W192" s="2224"/>
      <c r="X192" s="508" t="s">
        <v>779</v>
      </c>
      <c r="Y192" s="2225" t="s">
        <v>5685</v>
      </c>
      <c r="Z192" s="2225"/>
      <c r="AA192" s="2225"/>
      <c r="AB192" s="511" t="s">
        <v>780</v>
      </c>
      <c r="AC192" s="2271"/>
      <c r="AD192" s="2271"/>
      <c r="AE192" s="2271"/>
      <c r="AF192" s="511" t="s">
        <v>780</v>
      </c>
      <c r="AG192" s="2271"/>
      <c r="AH192" s="2271"/>
      <c r="AI192" s="2274"/>
      <c r="AJ192" s="2212">
        <f t="shared" si="31"/>
        <v>11960</v>
      </c>
      <c r="AK192" s="2213"/>
      <c r="AL192" s="2214"/>
      <c r="AM192" s="2215">
        <v>1</v>
      </c>
      <c r="AN192" s="2216"/>
      <c r="AO192" s="2217"/>
      <c r="AP192" s="2209">
        <f>INT(AJ192*AM192)</f>
        <v>11960</v>
      </c>
      <c r="AQ192" s="2210"/>
      <c r="AR192" s="2211"/>
      <c r="AS192" s="2203">
        <f ca="1">SUMIF(基礎・屋根・外壁!B$37:AE$37,F192,基礎・屋根・外壁!B$41:AE$41)+SUMIF(基礎・屋根・外壁!B$61:AE$61,F192,基礎・屋根・外壁!B$65:AE$65)+SUMIF(見積拾!C$33:D$37,F192,見積拾!T$33:T$37)</f>
        <v>0</v>
      </c>
      <c r="AT192" s="2204"/>
      <c r="AU192" s="2204"/>
      <c r="AV192" s="2205"/>
      <c r="AW192" s="2206">
        <f t="shared" ca="1" si="33"/>
        <v>0</v>
      </c>
      <c r="AX192" s="2207"/>
      <c r="AY192" s="2207"/>
      <c r="AZ192" s="2208"/>
      <c r="BA192" s="2200"/>
      <c r="BB192" s="956" t="b">
        <f t="shared" ref="BB192:BB214" ca="1" si="34">AW192&lt;&gt;0</f>
        <v>0</v>
      </c>
    </row>
    <row r="193" spans="2:54" ht="13.5" customHeight="1">
      <c r="B193" s="2445"/>
      <c r="C193" s="2521"/>
      <c r="D193" s="2500"/>
      <c r="E193" s="957" t="s">
        <v>777</v>
      </c>
      <c r="F193" s="2210" t="s">
        <v>1293</v>
      </c>
      <c r="G193" s="2210"/>
      <c r="H193" s="2210"/>
      <c r="I193" s="2210"/>
      <c r="J193" s="2210"/>
      <c r="K193" s="2210"/>
      <c r="L193" s="2210"/>
      <c r="M193" s="2210"/>
      <c r="N193" s="2210"/>
      <c r="O193" s="2210"/>
      <c r="P193" s="2211"/>
      <c r="Q193" s="2257">
        <v>8940</v>
      </c>
      <c r="R193" s="2224"/>
      <c r="S193" s="2224"/>
      <c r="T193" s="508" t="s">
        <v>1292</v>
      </c>
      <c r="U193" s="2224" t="s">
        <v>1031</v>
      </c>
      <c r="V193" s="2224"/>
      <c r="W193" s="2224"/>
      <c r="X193" s="508" t="s">
        <v>779</v>
      </c>
      <c r="Y193" s="2225" t="s">
        <v>5685</v>
      </c>
      <c r="Z193" s="2225"/>
      <c r="AA193" s="2225"/>
      <c r="AB193" s="511" t="s">
        <v>780</v>
      </c>
      <c r="AC193" s="2271"/>
      <c r="AD193" s="2271"/>
      <c r="AE193" s="2271"/>
      <c r="AF193" s="511" t="s">
        <v>780</v>
      </c>
      <c r="AG193" s="2271"/>
      <c r="AH193" s="2271"/>
      <c r="AI193" s="2274"/>
      <c r="AJ193" s="2212">
        <f t="shared" si="31"/>
        <v>8940</v>
      </c>
      <c r="AK193" s="2213"/>
      <c r="AL193" s="2214"/>
      <c r="AM193" s="2215">
        <v>1</v>
      </c>
      <c r="AN193" s="2216"/>
      <c r="AO193" s="2217"/>
      <c r="AP193" s="2209">
        <f t="shared" si="32"/>
        <v>8940</v>
      </c>
      <c r="AQ193" s="2210"/>
      <c r="AR193" s="2211"/>
      <c r="AS193" s="2203">
        <f ca="1">SUMIF(基礎・屋根・外壁!B$37:AE$37,F193,基礎・屋根・外壁!B$41:AE$41)+SUMIF(基礎・屋根・外壁!B$61:AE$61,F193,基礎・屋根・外壁!B$65:AE$65)+SUMIF(見積拾!C$33:D$37,F193,見積拾!T$33:T$37)</f>
        <v>0</v>
      </c>
      <c r="AT193" s="2204"/>
      <c r="AU193" s="2204"/>
      <c r="AV193" s="2205"/>
      <c r="AW193" s="2206">
        <f t="shared" ca="1" si="33"/>
        <v>0</v>
      </c>
      <c r="AX193" s="2207"/>
      <c r="AY193" s="2207"/>
      <c r="AZ193" s="2208"/>
      <c r="BA193" s="2200"/>
      <c r="BB193" s="956" t="b">
        <f t="shared" ca="1" si="34"/>
        <v>0</v>
      </c>
    </row>
    <row r="194" spans="2:54" ht="13.5" customHeight="1">
      <c r="B194" s="2445"/>
      <c r="C194" s="2521"/>
      <c r="D194" s="2500"/>
      <c r="E194" s="957" t="s">
        <v>777</v>
      </c>
      <c r="F194" s="2210" t="s">
        <v>1294</v>
      </c>
      <c r="G194" s="2210"/>
      <c r="H194" s="2210"/>
      <c r="I194" s="2210"/>
      <c r="J194" s="2210"/>
      <c r="K194" s="2210"/>
      <c r="L194" s="2210"/>
      <c r="M194" s="2210"/>
      <c r="N194" s="2210"/>
      <c r="O194" s="2210"/>
      <c r="P194" s="2211"/>
      <c r="Q194" s="2257">
        <v>7660</v>
      </c>
      <c r="R194" s="2224"/>
      <c r="S194" s="2224"/>
      <c r="T194" s="508" t="s">
        <v>1292</v>
      </c>
      <c r="U194" s="2224" t="s">
        <v>1031</v>
      </c>
      <c r="V194" s="2224"/>
      <c r="W194" s="2224"/>
      <c r="X194" s="508" t="s">
        <v>779</v>
      </c>
      <c r="Y194" s="2225" t="s">
        <v>5685</v>
      </c>
      <c r="Z194" s="2225"/>
      <c r="AA194" s="2225"/>
      <c r="AB194" s="511" t="s">
        <v>780</v>
      </c>
      <c r="AC194" s="2271"/>
      <c r="AD194" s="2271"/>
      <c r="AE194" s="2271"/>
      <c r="AF194" s="511" t="s">
        <v>780</v>
      </c>
      <c r="AG194" s="2271"/>
      <c r="AH194" s="2271"/>
      <c r="AI194" s="2274"/>
      <c r="AJ194" s="2212">
        <f t="shared" si="31"/>
        <v>7660</v>
      </c>
      <c r="AK194" s="2213"/>
      <c r="AL194" s="2214"/>
      <c r="AM194" s="2215">
        <v>1</v>
      </c>
      <c r="AN194" s="2216"/>
      <c r="AO194" s="2217"/>
      <c r="AP194" s="2209">
        <f t="shared" si="32"/>
        <v>7660</v>
      </c>
      <c r="AQ194" s="2210"/>
      <c r="AR194" s="2211"/>
      <c r="AS194" s="2203">
        <f ca="1">SUMIF(基礎・屋根・外壁!B$37:AE$37,F194,基礎・屋根・外壁!B$41:AE$41)+SUMIF(基礎・屋根・外壁!B$61:AE$61,F194,基礎・屋根・外壁!B$65:AE$65)+SUMIF(見積拾!C$33:D$37,F194,見積拾!T$33:T$37)</f>
        <v>0</v>
      </c>
      <c r="AT194" s="2204"/>
      <c r="AU194" s="2204"/>
      <c r="AV194" s="2205"/>
      <c r="AW194" s="2206">
        <f t="shared" ca="1" si="33"/>
        <v>0</v>
      </c>
      <c r="AX194" s="2207"/>
      <c r="AY194" s="2207"/>
      <c r="AZ194" s="2208"/>
      <c r="BA194" s="2200"/>
      <c r="BB194" s="956" t="b">
        <f t="shared" ca="1" si="34"/>
        <v>0</v>
      </c>
    </row>
    <row r="195" spans="2:54" ht="13.5" customHeight="1">
      <c r="B195" s="2445"/>
      <c r="C195" s="2521"/>
      <c r="D195" s="2500"/>
      <c r="E195" s="957" t="s">
        <v>777</v>
      </c>
      <c r="F195" s="2210" t="s">
        <v>1295</v>
      </c>
      <c r="G195" s="2210"/>
      <c r="H195" s="2210"/>
      <c r="I195" s="2210"/>
      <c r="J195" s="2210"/>
      <c r="K195" s="2210"/>
      <c r="L195" s="2210"/>
      <c r="M195" s="2210"/>
      <c r="N195" s="2210"/>
      <c r="O195" s="2210"/>
      <c r="P195" s="2211"/>
      <c r="Q195" s="2257">
        <v>6550</v>
      </c>
      <c r="R195" s="2224"/>
      <c r="S195" s="2224"/>
      <c r="T195" s="508" t="s">
        <v>1292</v>
      </c>
      <c r="U195" s="2224" t="s">
        <v>1031</v>
      </c>
      <c r="V195" s="2224"/>
      <c r="W195" s="2224"/>
      <c r="X195" s="508" t="s">
        <v>779</v>
      </c>
      <c r="Y195" s="2225" t="s">
        <v>5685</v>
      </c>
      <c r="Z195" s="2225"/>
      <c r="AA195" s="2225"/>
      <c r="AB195" s="511" t="s">
        <v>780</v>
      </c>
      <c r="AC195" s="2271"/>
      <c r="AD195" s="2271"/>
      <c r="AE195" s="2271"/>
      <c r="AF195" s="511" t="s">
        <v>780</v>
      </c>
      <c r="AG195" s="2271"/>
      <c r="AH195" s="2271"/>
      <c r="AI195" s="2274"/>
      <c r="AJ195" s="2212">
        <f t="shared" si="31"/>
        <v>6550</v>
      </c>
      <c r="AK195" s="2213"/>
      <c r="AL195" s="2214"/>
      <c r="AM195" s="2215">
        <v>1</v>
      </c>
      <c r="AN195" s="2216"/>
      <c r="AO195" s="2217"/>
      <c r="AP195" s="2209">
        <f t="shared" si="32"/>
        <v>6550</v>
      </c>
      <c r="AQ195" s="2210"/>
      <c r="AR195" s="2211"/>
      <c r="AS195" s="2203">
        <f ca="1">SUMIF(基礎・屋根・外壁!B$37:AE$37,F195,基礎・屋根・外壁!B$41:AE$41)+SUMIF(基礎・屋根・外壁!B$61:AE$61,F195,基礎・屋根・外壁!B$65:AE$65)+SUMIF(見積拾!C$33:D$37,F195,見積拾!T$33:T$37)</f>
        <v>0</v>
      </c>
      <c r="AT195" s="2204"/>
      <c r="AU195" s="2204"/>
      <c r="AV195" s="2205"/>
      <c r="AW195" s="2206">
        <f t="shared" ca="1" si="33"/>
        <v>0</v>
      </c>
      <c r="AX195" s="2207"/>
      <c r="AY195" s="2207"/>
      <c r="AZ195" s="2208"/>
      <c r="BA195" s="2200"/>
      <c r="BB195" s="956" t="b">
        <f t="shared" ca="1" si="34"/>
        <v>0</v>
      </c>
    </row>
    <row r="196" spans="2:54" ht="13.5" customHeight="1">
      <c r="B196" s="2445"/>
      <c r="C196" s="2521"/>
      <c r="D196" s="2500"/>
      <c r="E196" s="957" t="s">
        <v>777</v>
      </c>
      <c r="F196" s="2210" t="s">
        <v>1296</v>
      </c>
      <c r="G196" s="2210"/>
      <c r="H196" s="2210"/>
      <c r="I196" s="2210"/>
      <c r="J196" s="2210"/>
      <c r="K196" s="2210"/>
      <c r="L196" s="2210"/>
      <c r="M196" s="2210"/>
      <c r="N196" s="2210"/>
      <c r="O196" s="2210"/>
      <c r="P196" s="2211"/>
      <c r="Q196" s="2257">
        <v>5860</v>
      </c>
      <c r="R196" s="2224"/>
      <c r="S196" s="2224"/>
      <c r="T196" s="508" t="s">
        <v>1292</v>
      </c>
      <c r="U196" s="2224" t="s">
        <v>1031</v>
      </c>
      <c r="V196" s="2224"/>
      <c r="W196" s="2224"/>
      <c r="X196" s="508" t="s">
        <v>779</v>
      </c>
      <c r="Y196" s="2225" t="s">
        <v>5685</v>
      </c>
      <c r="Z196" s="2225"/>
      <c r="AA196" s="2225"/>
      <c r="AB196" s="511" t="s">
        <v>780</v>
      </c>
      <c r="AC196" s="2271"/>
      <c r="AD196" s="2271"/>
      <c r="AE196" s="2271"/>
      <c r="AF196" s="511" t="s">
        <v>780</v>
      </c>
      <c r="AG196" s="2271"/>
      <c r="AH196" s="2271"/>
      <c r="AI196" s="2274"/>
      <c r="AJ196" s="2212">
        <f>ROUNDDOWN(SUM(Q196:AI196),-1)</f>
        <v>5860</v>
      </c>
      <c r="AK196" s="2213"/>
      <c r="AL196" s="2214"/>
      <c r="AM196" s="2215">
        <v>1</v>
      </c>
      <c r="AN196" s="2216"/>
      <c r="AO196" s="2217"/>
      <c r="AP196" s="2209">
        <f t="shared" ref="AP196:AP200" si="35">INT(AJ196*AM196)</f>
        <v>5860</v>
      </c>
      <c r="AQ196" s="2210"/>
      <c r="AR196" s="2211"/>
      <c r="AS196" s="2203">
        <f ca="1">SUMIF(基礎・屋根・外壁!B$37:AE$37,F196,基礎・屋根・外壁!B$41:AE$41)+SUMIF(基礎・屋根・外壁!B$61:AE$61,F196,基礎・屋根・外壁!B$65:AE$65)+SUMIF(見積拾!C$33:D$37,F196,見積拾!T$33:T$37)</f>
        <v>0</v>
      </c>
      <c r="AT196" s="2204"/>
      <c r="AU196" s="2204"/>
      <c r="AV196" s="2205"/>
      <c r="AW196" s="2206">
        <f t="shared" ref="AW196:AW200" ca="1" si="36">INT(AP196*AS196)</f>
        <v>0</v>
      </c>
      <c r="AX196" s="2207"/>
      <c r="AY196" s="2207"/>
      <c r="AZ196" s="2208"/>
      <c r="BA196" s="2200"/>
      <c r="BB196" s="956" t="b">
        <f t="shared" ref="BB196:BB200" ca="1" si="37">AW196&lt;&gt;0</f>
        <v>0</v>
      </c>
    </row>
    <row r="197" spans="2:54" ht="13.5" customHeight="1">
      <c r="B197" s="2445"/>
      <c r="C197" s="2521"/>
      <c r="D197" s="2500"/>
      <c r="E197" s="957" t="s">
        <v>777</v>
      </c>
      <c r="F197" s="2210" t="s">
        <v>1297</v>
      </c>
      <c r="G197" s="2210"/>
      <c r="H197" s="2210"/>
      <c r="I197" s="2210"/>
      <c r="J197" s="2210"/>
      <c r="K197" s="2210"/>
      <c r="L197" s="2210"/>
      <c r="M197" s="2210"/>
      <c r="N197" s="2210"/>
      <c r="O197" s="2210"/>
      <c r="P197" s="2211"/>
      <c r="Q197" s="2257">
        <v>13718</v>
      </c>
      <c r="R197" s="2224"/>
      <c r="S197" s="2224"/>
      <c r="T197" s="508" t="s">
        <v>1292</v>
      </c>
      <c r="U197" s="2224" t="s">
        <v>1031</v>
      </c>
      <c r="V197" s="2224"/>
      <c r="W197" s="2224"/>
      <c r="X197" s="508" t="s">
        <v>779</v>
      </c>
      <c r="Y197" s="2224">
        <v>1048</v>
      </c>
      <c r="Z197" s="2224"/>
      <c r="AA197" s="2224"/>
      <c r="AB197" s="508" t="s">
        <v>785</v>
      </c>
      <c r="AC197" s="2224"/>
      <c r="AD197" s="2224"/>
      <c r="AE197" s="2224"/>
      <c r="AF197" s="508" t="s">
        <v>785</v>
      </c>
      <c r="AG197" s="2224"/>
      <c r="AH197" s="2224"/>
      <c r="AI197" s="2226"/>
      <c r="AJ197" s="2212">
        <f>ROUNDDOWN(SUM(Q197:AI197),-1)</f>
        <v>14760</v>
      </c>
      <c r="AK197" s="2213"/>
      <c r="AL197" s="2214"/>
      <c r="AM197" s="2215">
        <v>1</v>
      </c>
      <c r="AN197" s="2216"/>
      <c r="AO197" s="2217"/>
      <c r="AP197" s="2209">
        <f t="shared" ref="AP197" si="38">INT(AJ197*AM197)</f>
        <v>14760</v>
      </c>
      <c r="AQ197" s="2210"/>
      <c r="AR197" s="2211"/>
      <c r="AS197" s="2203">
        <f ca="1">SUMIF(基礎・屋根・外壁!B$37:AE$37,F197,基礎・屋根・外壁!B$41:AE$41)+SUMIF(基礎・屋根・外壁!B$61:AE$61,F197,基礎・屋根・外壁!B$65:AE$65)+SUMIF(見積拾!C$33:D$37,F197,見積拾!T$33:T$37)</f>
        <v>0</v>
      </c>
      <c r="AT197" s="2204"/>
      <c r="AU197" s="2204"/>
      <c r="AV197" s="2205"/>
      <c r="AW197" s="2206">
        <f t="shared" ca="1" si="36"/>
        <v>0</v>
      </c>
      <c r="AX197" s="2207"/>
      <c r="AY197" s="2207"/>
      <c r="AZ197" s="2208"/>
      <c r="BA197" s="2200"/>
      <c r="BB197" s="956" t="b">
        <f t="shared" ca="1" si="37"/>
        <v>0</v>
      </c>
    </row>
    <row r="198" spans="2:54" ht="13.5" customHeight="1">
      <c r="B198" s="2445"/>
      <c r="C198" s="2521"/>
      <c r="D198" s="2500"/>
      <c r="E198" s="957" t="s">
        <v>777</v>
      </c>
      <c r="F198" s="2210" t="s">
        <v>1298</v>
      </c>
      <c r="G198" s="2210"/>
      <c r="H198" s="2210"/>
      <c r="I198" s="2210"/>
      <c r="J198" s="2210"/>
      <c r="K198" s="2210"/>
      <c r="L198" s="2210"/>
      <c r="M198" s="2210"/>
      <c r="N198" s="2210"/>
      <c r="O198" s="2210"/>
      <c r="P198" s="2211"/>
      <c r="Q198" s="2257">
        <v>9014</v>
      </c>
      <c r="R198" s="2224"/>
      <c r="S198" s="2224"/>
      <c r="T198" s="508" t="s">
        <v>1292</v>
      </c>
      <c r="U198" s="2224" t="s">
        <v>1031</v>
      </c>
      <c r="V198" s="2224"/>
      <c r="W198" s="2224"/>
      <c r="X198" s="508" t="s">
        <v>779</v>
      </c>
      <c r="Y198" s="2224">
        <v>1048</v>
      </c>
      <c r="Z198" s="2224"/>
      <c r="AA198" s="2224"/>
      <c r="AB198" s="511" t="s">
        <v>780</v>
      </c>
      <c r="AC198" s="2271"/>
      <c r="AD198" s="2271"/>
      <c r="AE198" s="2271"/>
      <c r="AF198" s="511" t="s">
        <v>780</v>
      </c>
      <c r="AG198" s="2271"/>
      <c r="AH198" s="2271"/>
      <c r="AI198" s="2274"/>
      <c r="AJ198" s="2212">
        <f t="shared" ref="AJ198:AJ200" si="39">ROUNDDOWN(SUM(Q198:AI198),-1)</f>
        <v>10060</v>
      </c>
      <c r="AK198" s="2213"/>
      <c r="AL198" s="2214"/>
      <c r="AM198" s="2215">
        <v>1</v>
      </c>
      <c r="AN198" s="2216"/>
      <c r="AO198" s="2217"/>
      <c r="AP198" s="2209">
        <f t="shared" si="35"/>
        <v>10060</v>
      </c>
      <c r="AQ198" s="2210"/>
      <c r="AR198" s="2211"/>
      <c r="AS198" s="2203">
        <f ca="1">SUMIF(基礎・屋根・外壁!B$37:AE$37,F198,基礎・屋根・外壁!B$41:AE$41)+SUMIF(基礎・屋根・外壁!B$61:AE$61,F198,基礎・屋根・外壁!B$65:AE$65)+SUMIF(見積拾!C$33:D$37,F198,見積拾!T$33:T$37)</f>
        <v>0</v>
      </c>
      <c r="AT198" s="2204"/>
      <c r="AU198" s="2204"/>
      <c r="AV198" s="2205"/>
      <c r="AW198" s="2206">
        <f t="shared" ca="1" si="36"/>
        <v>0</v>
      </c>
      <c r="AX198" s="2207"/>
      <c r="AY198" s="2207"/>
      <c r="AZ198" s="2208"/>
      <c r="BA198" s="2200"/>
      <c r="BB198" s="956" t="b">
        <f t="shared" ca="1" si="37"/>
        <v>0</v>
      </c>
    </row>
    <row r="199" spans="2:54" ht="13.5" customHeight="1">
      <c r="B199" s="2445"/>
      <c r="C199" s="2521"/>
      <c r="D199" s="2500"/>
      <c r="E199" s="957" t="s">
        <v>777</v>
      </c>
      <c r="F199" s="2210" t="s">
        <v>1299</v>
      </c>
      <c r="G199" s="2210"/>
      <c r="H199" s="2210"/>
      <c r="I199" s="2210"/>
      <c r="J199" s="2210"/>
      <c r="K199" s="2210"/>
      <c r="L199" s="2210"/>
      <c r="M199" s="2210"/>
      <c r="N199" s="2210"/>
      <c r="O199" s="2210"/>
      <c r="P199" s="2211"/>
      <c r="Q199" s="2257">
        <v>3919</v>
      </c>
      <c r="R199" s="2224"/>
      <c r="S199" s="2224"/>
      <c r="T199" s="508" t="s">
        <v>1292</v>
      </c>
      <c r="U199" s="2224" t="s">
        <v>1031</v>
      </c>
      <c r="V199" s="2224"/>
      <c r="W199" s="2224"/>
      <c r="X199" s="508" t="s">
        <v>779</v>
      </c>
      <c r="Y199" s="2224">
        <v>1048</v>
      </c>
      <c r="Z199" s="2224"/>
      <c r="AA199" s="2224"/>
      <c r="AB199" s="511" t="s">
        <v>780</v>
      </c>
      <c r="AC199" s="2271"/>
      <c r="AD199" s="2271"/>
      <c r="AE199" s="2271"/>
      <c r="AF199" s="511" t="s">
        <v>780</v>
      </c>
      <c r="AG199" s="2271"/>
      <c r="AH199" s="2271"/>
      <c r="AI199" s="2274"/>
      <c r="AJ199" s="2212">
        <f t="shared" si="39"/>
        <v>4960</v>
      </c>
      <c r="AK199" s="2213"/>
      <c r="AL199" s="2214"/>
      <c r="AM199" s="2215">
        <v>1</v>
      </c>
      <c r="AN199" s="2216"/>
      <c r="AO199" s="2217"/>
      <c r="AP199" s="2209">
        <f t="shared" si="35"/>
        <v>4960</v>
      </c>
      <c r="AQ199" s="2210"/>
      <c r="AR199" s="2211"/>
      <c r="AS199" s="2203">
        <f ca="1">SUMIF(基礎・屋根・外壁!B$37:AE$37,F199,基礎・屋根・外壁!B$41:AE$41)+SUMIF(基礎・屋根・外壁!B$61:AE$61,F199,基礎・屋根・外壁!B$65:AE$65)+SUMIF(見積拾!C$33:D$37,F199,見積拾!T$33:T$37)</f>
        <v>0</v>
      </c>
      <c r="AT199" s="2204"/>
      <c r="AU199" s="2204"/>
      <c r="AV199" s="2205"/>
      <c r="AW199" s="2206">
        <f t="shared" ca="1" si="36"/>
        <v>0</v>
      </c>
      <c r="AX199" s="2207"/>
      <c r="AY199" s="2207"/>
      <c r="AZ199" s="2208"/>
      <c r="BA199" s="2200"/>
      <c r="BB199" s="956" t="b">
        <f t="shared" ca="1" si="37"/>
        <v>0</v>
      </c>
    </row>
    <row r="200" spans="2:54" ht="13.5" customHeight="1">
      <c r="B200" s="2445"/>
      <c r="C200" s="2521"/>
      <c r="D200" s="2500"/>
      <c r="E200" s="957" t="s">
        <v>777</v>
      </c>
      <c r="F200" s="2210" t="s">
        <v>1300</v>
      </c>
      <c r="G200" s="2210"/>
      <c r="H200" s="2210"/>
      <c r="I200" s="2210"/>
      <c r="J200" s="2210"/>
      <c r="K200" s="2210"/>
      <c r="L200" s="2210"/>
      <c r="M200" s="2210"/>
      <c r="N200" s="2210"/>
      <c r="O200" s="2210"/>
      <c r="P200" s="2211"/>
      <c r="Q200" s="2257">
        <v>3236</v>
      </c>
      <c r="R200" s="2224"/>
      <c r="S200" s="2224"/>
      <c r="T200" s="508" t="s">
        <v>1292</v>
      </c>
      <c r="U200" s="2224" t="s">
        <v>1031</v>
      </c>
      <c r="V200" s="2224"/>
      <c r="W200" s="2224"/>
      <c r="X200" s="508" t="s">
        <v>779</v>
      </c>
      <c r="Y200" s="2224">
        <v>1048</v>
      </c>
      <c r="Z200" s="2224"/>
      <c r="AA200" s="2224"/>
      <c r="AB200" s="511" t="s">
        <v>780</v>
      </c>
      <c r="AC200" s="2271"/>
      <c r="AD200" s="2271"/>
      <c r="AE200" s="2271"/>
      <c r="AF200" s="511" t="s">
        <v>780</v>
      </c>
      <c r="AG200" s="2271"/>
      <c r="AH200" s="2271"/>
      <c r="AI200" s="2274"/>
      <c r="AJ200" s="2212">
        <f t="shared" si="39"/>
        <v>4280</v>
      </c>
      <c r="AK200" s="2213"/>
      <c r="AL200" s="2214"/>
      <c r="AM200" s="2215">
        <v>1</v>
      </c>
      <c r="AN200" s="2216"/>
      <c r="AO200" s="2217"/>
      <c r="AP200" s="2209">
        <f t="shared" si="35"/>
        <v>4280</v>
      </c>
      <c r="AQ200" s="2210"/>
      <c r="AR200" s="2211"/>
      <c r="AS200" s="2203">
        <f ca="1">SUMIF(基礎・屋根・外壁!B$37:AE$37,F200,基礎・屋根・外壁!B$41:AE$41)+SUMIF(基礎・屋根・外壁!B$61:AE$61,F200,基礎・屋根・外壁!B$65:AE$65)+SUMIF(見積拾!C$33:D$37,F200,見積拾!T$33:T$37)</f>
        <v>0</v>
      </c>
      <c r="AT200" s="2204"/>
      <c r="AU200" s="2204"/>
      <c r="AV200" s="2205"/>
      <c r="AW200" s="2206">
        <f t="shared" ca="1" si="36"/>
        <v>0</v>
      </c>
      <c r="AX200" s="2207"/>
      <c r="AY200" s="2207"/>
      <c r="AZ200" s="2208"/>
      <c r="BA200" s="2200"/>
      <c r="BB200" s="956" t="b">
        <f t="shared" ca="1" si="37"/>
        <v>0</v>
      </c>
    </row>
    <row r="201" spans="2:54" ht="13.5" customHeight="1">
      <c r="B201" s="2445"/>
      <c r="C201" s="2521"/>
      <c r="D201" s="2500"/>
      <c r="E201" s="957" t="s">
        <v>777</v>
      </c>
      <c r="F201" s="2210" t="s">
        <v>1301</v>
      </c>
      <c r="G201" s="2210"/>
      <c r="H201" s="2210"/>
      <c r="I201" s="2210"/>
      <c r="J201" s="2210"/>
      <c r="K201" s="2210"/>
      <c r="L201" s="2210"/>
      <c r="M201" s="2210"/>
      <c r="N201" s="2210"/>
      <c r="O201" s="2210"/>
      <c r="P201" s="2211"/>
      <c r="Q201" s="2257">
        <v>2875</v>
      </c>
      <c r="R201" s="2224"/>
      <c r="S201" s="2224"/>
      <c r="T201" s="508" t="s">
        <v>1292</v>
      </c>
      <c r="U201" s="2224" t="s">
        <v>1031</v>
      </c>
      <c r="V201" s="2224"/>
      <c r="W201" s="2224"/>
      <c r="X201" s="508" t="s">
        <v>779</v>
      </c>
      <c r="Y201" s="2224">
        <v>1048</v>
      </c>
      <c r="Z201" s="2224"/>
      <c r="AA201" s="2224"/>
      <c r="AB201" s="511" t="s">
        <v>780</v>
      </c>
      <c r="AC201" s="2271"/>
      <c r="AD201" s="2271"/>
      <c r="AE201" s="2271"/>
      <c r="AF201" s="511" t="s">
        <v>780</v>
      </c>
      <c r="AG201" s="2271"/>
      <c r="AH201" s="2271"/>
      <c r="AI201" s="2274"/>
      <c r="AJ201" s="2212">
        <f t="shared" si="31"/>
        <v>3920</v>
      </c>
      <c r="AK201" s="2213"/>
      <c r="AL201" s="2214"/>
      <c r="AM201" s="2215">
        <v>1</v>
      </c>
      <c r="AN201" s="2216"/>
      <c r="AO201" s="2217"/>
      <c r="AP201" s="2209">
        <f t="shared" si="32"/>
        <v>3920</v>
      </c>
      <c r="AQ201" s="2210"/>
      <c r="AR201" s="2211"/>
      <c r="AS201" s="2203">
        <f ca="1">SUMIF(基礎・屋根・外壁!B$37:AE$37,F201,基礎・屋根・外壁!B$41:AE$41)+SUMIF(基礎・屋根・外壁!B$61:AE$61,F201,基礎・屋根・外壁!B$65:AE$65)+SUMIF(見積拾!C$33:D$37,F201,見積拾!T$33:T$37)</f>
        <v>0</v>
      </c>
      <c r="AT201" s="2204"/>
      <c r="AU201" s="2204"/>
      <c r="AV201" s="2205"/>
      <c r="AW201" s="2206">
        <f t="shared" ca="1" si="33"/>
        <v>0</v>
      </c>
      <c r="AX201" s="2207"/>
      <c r="AY201" s="2207"/>
      <c r="AZ201" s="2208"/>
      <c r="BA201" s="2200"/>
      <c r="BB201" s="956" t="b">
        <f t="shared" ca="1" si="34"/>
        <v>0</v>
      </c>
    </row>
    <row r="202" spans="2:54" ht="13.5" customHeight="1">
      <c r="B202" s="2445"/>
      <c r="C202" s="2521"/>
      <c r="D202" s="2500"/>
      <c r="E202" s="957" t="s">
        <v>777</v>
      </c>
      <c r="F202" s="2210" t="s">
        <v>1302</v>
      </c>
      <c r="G202" s="2210"/>
      <c r="H202" s="2210"/>
      <c r="I202" s="2210"/>
      <c r="J202" s="2210"/>
      <c r="K202" s="2210"/>
      <c r="L202" s="2210"/>
      <c r="M202" s="2210"/>
      <c r="N202" s="2210"/>
      <c r="O202" s="2210"/>
      <c r="P202" s="2211"/>
      <c r="Q202" s="2257">
        <v>5448</v>
      </c>
      <c r="R202" s="2224"/>
      <c r="S202" s="2224"/>
      <c r="T202" s="508" t="s">
        <v>1292</v>
      </c>
      <c r="U202" s="2224" t="s">
        <v>1031</v>
      </c>
      <c r="V202" s="2224"/>
      <c r="W202" s="2224"/>
      <c r="X202" s="508" t="s">
        <v>779</v>
      </c>
      <c r="Y202" s="2225" t="s">
        <v>5685</v>
      </c>
      <c r="Z202" s="2225"/>
      <c r="AA202" s="2225"/>
      <c r="AB202" s="511" t="s">
        <v>780</v>
      </c>
      <c r="AC202" s="2271"/>
      <c r="AD202" s="2271"/>
      <c r="AE202" s="2271"/>
      <c r="AF202" s="511" t="s">
        <v>780</v>
      </c>
      <c r="AG202" s="2271"/>
      <c r="AH202" s="2271"/>
      <c r="AI202" s="2274"/>
      <c r="AJ202" s="2212">
        <f t="shared" ref="AJ202" si="40">ROUNDDOWN(SUM(Q202:AI202),-1)</f>
        <v>5440</v>
      </c>
      <c r="AK202" s="2213"/>
      <c r="AL202" s="2214"/>
      <c r="AM202" s="2215">
        <v>1</v>
      </c>
      <c r="AN202" s="2216"/>
      <c r="AO202" s="2217"/>
      <c r="AP202" s="2209">
        <f t="shared" ref="AP202" si="41">INT(AJ202*AM202)</f>
        <v>5440</v>
      </c>
      <c r="AQ202" s="2210"/>
      <c r="AR202" s="2211"/>
      <c r="AS202" s="2203">
        <f ca="1">SUMIF(基礎・屋根・外壁!B$37:AE$37,F202,基礎・屋根・外壁!B$41:AE$41)+SUMIF(基礎・屋根・外壁!B$61:AE$61,F202,基礎・屋根・外壁!B$65:AE$65)+SUMIF(見積拾!C$33:D$37,F202,見積拾!T$33:T$37)</f>
        <v>0</v>
      </c>
      <c r="AT202" s="2204"/>
      <c r="AU202" s="2204"/>
      <c r="AV202" s="2205"/>
      <c r="AW202" s="2206">
        <f t="shared" ref="AW202" ca="1" si="42">INT(AP202*AS202)</f>
        <v>0</v>
      </c>
      <c r="AX202" s="2207"/>
      <c r="AY202" s="2207"/>
      <c r="AZ202" s="2208"/>
      <c r="BA202" s="2200"/>
      <c r="BB202" s="956" t="b">
        <f t="shared" ref="BB202" ca="1" si="43">AW202&lt;&gt;0</f>
        <v>0</v>
      </c>
    </row>
    <row r="203" spans="2:54" ht="13.5" customHeight="1">
      <c r="B203" s="2445"/>
      <c r="C203" s="2521"/>
      <c r="D203" s="2500"/>
      <c r="E203" s="957" t="s">
        <v>777</v>
      </c>
      <c r="F203" s="2210" t="s">
        <v>1303</v>
      </c>
      <c r="G203" s="2210"/>
      <c r="H203" s="2210"/>
      <c r="I203" s="2210"/>
      <c r="J203" s="2210"/>
      <c r="K203" s="2210"/>
      <c r="L203" s="2210"/>
      <c r="M203" s="2210"/>
      <c r="N203" s="2210"/>
      <c r="O203" s="2210"/>
      <c r="P203" s="2211"/>
      <c r="Q203" s="2257">
        <v>4186</v>
      </c>
      <c r="R203" s="2224"/>
      <c r="S203" s="2224"/>
      <c r="T203" s="508" t="s">
        <v>1292</v>
      </c>
      <c r="U203" s="2224" t="s">
        <v>1031</v>
      </c>
      <c r="V203" s="2224"/>
      <c r="W203" s="2224"/>
      <c r="X203" s="508" t="s">
        <v>779</v>
      </c>
      <c r="Y203" s="2225" t="s">
        <v>5685</v>
      </c>
      <c r="Z203" s="2225"/>
      <c r="AA203" s="2225"/>
      <c r="AB203" s="511" t="s">
        <v>780</v>
      </c>
      <c r="AC203" s="2271"/>
      <c r="AD203" s="2271"/>
      <c r="AE203" s="2271"/>
      <c r="AF203" s="511" t="s">
        <v>780</v>
      </c>
      <c r="AG203" s="2271"/>
      <c r="AH203" s="2271"/>
      <c r="AI203" s="2274"/>
      <c r="AJ203" s="2209">
        <f t="shared" si="31"/>
        <v>4180</v>
      </c>
      <c r="AK203" s="2210"/>
      <c r="AL203" s="2211"/>
      <c r="AM203" s="2232">
        <v>1</v>
      </c>
      <c r="AN203" s="2233"/>
      <c r="AO203" s="2234"/>
      <c r="AP203" s="2209">
        <f t="shared" si="32"/>
        <v>4180</v>
      </c>
      <c r="AQ203" s="2210"/>
      <c r="AR203" s="2211"/>
      <c r="AS203" s="2203">
        <f ca="1">SUMIF(基礎・屋根・外壁!B$37:AE$37,F203,基礎・屋根・外壁!B$41:AE$41)+SUMIF(基礎・屋根・外壁!B$61:AE$61,F203,基礎・屋根・外壁!B$65:AE$65)+SUMIF(見積拾!C$33:D$37,F203,見積拾!T$33:T$37)</f>
        <v>0</v>
      </c>
      <c r="AT203" s="2204"/>
      <c r="AU203" s="2204"/>
      <c r="AV203" s="2205"/>
      <c r="AW203" s="2238">
        <f t="shared" ca="1" si="33"/>
        <v>0</v>
      </c>
      <c r="AX203" s="2239"/>
      <c r="AY203" s="2239"/>
      <c r="AZ203" s="2240"/>
      <c r="BA203" s="2200"/>
      <c r="BB203" s="956" t="b">
        <f t="shared" ca="1" si="34"/>
        <v>0</v>
      </c>
    </row>
    <row r="204" spans="2:54" ht="13.5" customHeight="1">
      <c r="B204" s="2445"/>
      <c r="C204" s="2521"/>
      <c r="D204" s="2500"/>
      <c r="E204" s="957" t="s">
        <v>777</v>
      </c>
      <c r="F204" s="2210" t="s">
        <v>1534</v>
      </c>
      <c r="G204" s="2210"/>
      <c r="H204" s="2210"/>
      <c r="I204" s="2210"/>
      <c r="J204" s="2210"/>
      <c r="K204" s="2210"/>
      <c r="L204" s="2210"/>
      <c r="M204" s="2210"/>
      <c r="N204" s="2210"/>
      <c r="O204" s="2210"/>
      <c r="P204" s="2211"/>
      <c r="Q204" s="2257">
        <v>6261</v>
      </c>
      <c r="R204" s="2224"/>
      <c r="S204" s="2224"/>
      <c r="T204" s="508" t="s">
        <v>1292</v>
      </c>
      <c r="U204" s="2224" t="s">
        <v>1031</v>
      </c>
      <c r="V204" s="2224"/>
      <c r="W204" s="2224"/>
      <c r="X204" s="508" t="s">
        <v>779</v>
      </c>
      <c r="Y204" s="2224">
        <v>1900</v>
      </c>
      <c r="Z204" s="2224"/>
      <c r="AA204" s="2224"/>
      <c r="AB204" s="511" t="s">
        <v>780</v>
      </c>
      <c r="AC204" s="2271"/>
      <c r="AD204" s="2271"/>
      <c r="AE204" s="2271"/>
      <c r="AF204" s="511" t="s">
        <v>780</v>
      </c>
      <c r="AG204" s="2271"/>
      <c r="AH204" s="2271"/>
      <c r="AI204" s="2274"/>
      <c r="AJ204" s="2209">
        <f t="shared" ref="AJ204:AJ205" si="44">ROUNDDOWN(SUM(Q204:AI204),-1)</f>
        <v>8160</v>
      </c>
      <c r="AK204" s="2210"/>
      <c r="AL204" s="2211"/>
      <c r="AM204" s="2232">
        <v>1</v>
      </c>
      <c r="AN204" s="2233"/>
      <c r="AO204" s="2234"/>
      <c r="AP204" s="2209">
        <f t="shared" ref="AP204:AP205" si="45">INT(AJ204*AM204)</f>
        <v>8160</v>
      </c>
      <c r="AQ204" s="2210"/>
      <c r="AR204" s="2211"/>
      <c r="AS204" s="2203">
        <f ca="1">SUMIF(基礎・屋根・外壁!B$37:AE$37,F204,基礎・屋根・外壁!B$41:AE$41)+SUMIF(基礎・屋根・外壁!B$61:AE$61,F204,基礎・屋根・外壁!B$65:AE$65)+SUMIF(見積拾!C$33:D$37,F204,見積拾!T$33:T$37)</f>
        <v>0</v>
      </c>
      <c r="AT204" s="2204"/>
      <c r="AU204" s="2204"/>
      <c r="AV204" s="2205"/>
      <c r="AW204" s="2238">
        <f t="shared" ref="AW204:AW205" ca="1" si="46">INT(AP204*AS204)</f>
        <v>0</v>
      </c>
      <c r="AX204" s="2239"/>
      <c r="AY204" s="2239"/>
      <c r="AZ204" s="2240"/>
      <c r="BA204" s="2200"/>
      <c r="BB204" s="956" t="b">
        <f t="shared" ref="BB204:BB205" ca="1" si="47">AW204&lt;&gt;0</f>
        <v>0</v>
      </c>
    </row>
    <row r="205" spans="2:54" ht="13.5" customHeight="1">
      <c r="B205" s="2445"/>
      <c r="C205" s="2521"/>
      <c r="D205" s="2500"/>
      <c r="E205" s="957" t="s">
        <v>777</v>
      </c>
      <c r="F205" s="2210" t="s">
        <v>1535</v>
      </c>
      <c r="G205" s="2210"/>
      <c r="H205" s="2210"/>
      <c r="I205" s="2210"/>
      <c r="J205" s="2210"/>
      <c r="K205" s="2210"/>
      <c r="L205" s="2210"/>
      <c r="M205" s="2210"/>
      <c r="N205" s="2210"/>
      <c r="O205" s="2210"/>
      <c r="P205" s="2211"/>
      <c r="Q205" s="2257">
        <v>5578</v>
      </c>
      <c r="R205" s="2224"/>
      <c r="S205" s="2224"/>
      <c r="T205" s="508" t="s">
        <v>1292</v>
      </c>
      <c r="U205" s="2224" t="s">
        <v>1031</v>
      </c>
      <c r="V205" s="2224"/>
      <c r="W205" s="2224"/>
      <c r="X205" s="508" t="s">
        <v>779</v>
      </c>
      <c r="Y205" s="2224">
        <v>1900</v>
      </c>
      <c r="Z205" s="2224"/>
      <c r="AA205" s="2224"/>
      <c r="AB205" s="511" t="s">
        <v>780</v>
      </c>
      <c r="AC205" s="2271"/>
      <c r="AD205" s="2271"/>
      <c r="AE205" s="2271"/>
      <c r="AF205" s="511" t="s">
        <v>780</v>
      </c>
      <c r="AG205" s="2271"/>
      <c r="AH205" s="2271"/>
      <c r="AI205" s="2274"/>
      <c r="AJ205" s="2209">
        <f t="shared" si="44"/>
        <v>7470</v>
      </c>
      <c r="AK205" s="2210"/>
      <c r="AL205" s="2211"/>
      <c r="AM205" s="2232">
        <v>1</v>
      </c>
      <c r="AN205" s="2233"/>
      <c r="AO205" s="2234"/>
      <c r="AP205" s="2209">
        <f t="shared" si="45"/>
        <v>7470</v>
      </c>
      <c r="AQ205" s="2210"/>
      <c r="AR205" s="2211"/>
      <c r="AS205" s="2203">
        <f ca="1">SUMIF(基礎・屋根・外壁!B$37:AE$37,F205,基礎・屋根・外壁!B$41:AE$41)+SUMIF(基礎・屋根・外壁!B$61:AE$61,F205,基礎・屋根・外壁!B$65:AE$65)+SUMIF(見積拾!C$33:D$37,F205,見積拾!T$33:T$37)</f>
        <v>0</v>
      </c>
      <c r="AT205" s="2204"/>
      <c r="AU205" s="2204"/>
      <c r="AV205" s="2205"/>
      <c r="AW205" s="2238">
        <f t="shared" ca="1" si="46"/>
        <v>0</v>
      </c>
      <c r="AX205" s="2239"/>
      <c r="AY205" s="2239"/>
      <c r="AZ205" s="2240"/>
      <c r="BA205" s="2200"/>
      <c r="BB205" s="956" t="b">
        <f t="shared" ca="1" si="47"/>
        <v>0</v>
      </c>
    </row>
    <row r="206" spans="2:54" ht="13.5" customHeight="1">
      <c r="B206" s="2445"/>
      <c r="C206" s="2521"/>
      <c r="D206" s="2500"/>
      <c r="E206" s="957" t="s">
        <v>777</v>
      </c>
      <c r="F206" s="2210" t="s">
        <v>1536</v>
      </c>
      <c r="G206" s="2210"/>
      <c r="H206" s="2210"/>
      <c r="I206" s="2210"/>
      <c r="J206" s="2210"/>
      <c r="K206" s="2210"/>
      <c r="L206" s="2210"/>
      <c r="M206" s="2210"/>
      <c r="N206" s="2210"/>
      <c r="O206" s="2210"/>
      <c r="P206" s="2211"/>
      <c r="Q206" s="2257">
        <v>5217</v>
      </c>
      <c r="R206" s="2224"/>
      <c r="S206" s="2224"/>
      <c r="T206" s="508" t="s">
        <v>1292</v>
      </c>
      <c r="U206" s="2224" t="s">
        <v>1031</v>
      </c>
      <c r="V206" s="2224"/>
      <c r="W206" s="2224"/>
      <c r="X206" s="508" t="s">
        <v>779</v>
      </c>
      <c r="Y206" s="2224">
        <v>1900</v>
      </c>
      <c r="Z206" s="2224"/>
      <c r="AA206" s="2224"/>
      <c r="AB206" s="511" t="s">
        <v>780</v>
      </c>
      <c r="AC206" s="2271"/>
      <c r="AD206" s="2271"/>
      <c r="AE206" s="2271"/>
      <c r="AF206" s="511" t="s">
        <v>780</v>
      </c>
      <c r="AG206" s="2271"/>
      <c r="AH206" s="2271"/>
      <c r="AI206" s="2274"/>
      <c r="AJ206" s="2212">
        <f t="shared" si="31"/>
        <v>7110</v>
      </c>
      <c r="AK206" s="2213"/>
      <c r="AL206" s="2214"/>
      <c r="AM206" s="2215">
        <v>1</v>
      </c>
      <c r="AN206" s="2216"/>
      <c r="AO206" s="2217"/>
      <c r="AP206" s="2209">
        <f t="shared" si="32"/>
        <v>7110</v>
      </c>
      <c r="AQ206" s="2210"/>
      <c r="AR206" s="2211"/>
      <c r="AS206" s="2203">
        <f ca="1">SUMIF(基礎・屋根・外壁!B$37:AE$37,F206,基礎・屋根・外壁!B$41:AE$41)+SUMIF(基礎・屋根・外壁!B$61:AE$61,F206,基礎・屋根・外壁!B$65:AE$65)+SUMIF(見積拾!C$33:D$37,F206,見積拾!T$33:T$37)</f>
        <v>0</v>
      </c>
      <c r="AT206" s="2204"/>
      <c r="AU206" s="2204"/>
      <c r="AV206" s="2205"/>
      <c r="AW206" s="2206">
        <f t="shared" ca="1" si="33"/>
        <v>0</v>
      </c>
      <c r="AX206" s="2207"/>
      <c r="AY206" s="2207"/>
      <c r="AZ206" s="2208"/>
      <c r="BA206" s="2200"/>
      <c r="BB206" s="956" t="b">
        <f t="shared" ca="1" si="34"/>
        <v>0</v>
      </c>
    </row>
    <row r="207" spans="2:54" ht="13.5" customHeight="1">
      <c r="B207" s="2445"/>
      <c r="C207" s="2521"/>
      <c r="D207" s="2500"/>
      <c r="E207" s="957" t="s">
        <v>777</v>
      </c>
      <c r="F207" s="2210" t="s">
        <v>1537</v>
      </c>
      <c r="G207" s="2210"/>
      <c r="H207" s="2210"/>
      <c r="I207" s="2210"/>
      <c r="J207" s="2210"/>
      <c r="K207" s="2210"/>
      <c r="L207" s="2210"/>
      <c r="M207" s="2210"/>
      <c r="N207" s="2210"/>
      <c r="O207" s="2210"/>
      <c r="P207" s="2211"/>
      <c r="Q207" s="2257">
        <v>9985</v>
      </c>
      <c r="R207" s="2224"/>
      <c r="S207" s="2224"/>
      <c r="T207" s="508" t="s">
        <v>1292</v>
      </c>
      <c r="U207" s="2224" t="s">
        <v>1031</v>
      </c>
      <c r="V207" s="2224"/>
      <c r="W207" s="2224"/>
      <c r="X207" s="508" t="s">
        <v>779</v>
      </c>
      <c r="Y207" s="2225" t="s">
        <v>5685</v>
      </c>
      <c r="Z207" s="2225"/>
      <c r="AA207" s="2225"/>
      <c r="AB207" s="511" t="s">
        <v>780</v>
      </c>
      <c r="AC207" s="2271"/>
      <c r="AD207" s="2271"/>
      <c r="AE207" s="2271"/>
      <c r="AF207" s="511" t="s">
        <v>780</v>
      </c>
      <c r="AG207" s="2271"/>
      <c r="AH207" s="2271"/>
      <c r="AI207" s="2274"/>
      <c r="AJ207" s="2212">
        <f t="shared" si="31"/>
        <v>9980</v>
      </c>
      <c r="AK207" s="2213"/>
      <c r="AL207" s="2214"/>
      <c r="AM207" s="2215">
        <v>1</v>
      </c>
      <c r="AN207" s="2216"/>
      <c r="AO207" s="2217"/>
      <c r="AP207" s="2209">
        <f t="shared" si="32"/>
        <v>9980</v>
      </c>
      <c r="AQ207" s="2210"/>
      <c r="AR207" s="2211"/>
      <c r="AS207" s="2203">
        <f ca="1">SUMIF(基礎・屋根・外壁!B$37:AE$37,F207,基礎・屋根・外壁!B$41:AE$41)+SUMIF(基礎・屋根・外壁!B$61:AE$61,F207,基礎・屋根・外壁!B$65:AE$65)+SUMIF(見積拾!C$33:D$37,F207,見積拾!T$33:T$37)</f>
        <v>0</v>
      </c>
      <c r="AT207" s="2204"/>
      <c r="AU207" s="2204"/>
      <c r="AV207" s="2205"/>
      <c r="AW207" s="2206">
        <f t="shared" ca="1" si="33"/>
        <v>0</v>
      </c>
      <c r="AX207" s="2207"/>
      <c r="AY207" s="2207"/>
      <c r="AZ207" s="2208"/>
      <c r="BA207" s="2200"/>
      <c r="BB207" s="956" t="b">
        <f t="shared" ca="1" si="34"/>
        <v>0</v>
      </c>
    </row>
    <row r="208" spans="2:54" ht="13.5" customHeight="1">
      <c r="B208" s="2445"/>
      <c r="C208" s="2521"/>
      <c r="D208" s="2500"/>
      <c r="E208" s="957" t="s">
        <v>777</v>
      </c>
      <c r="F208" s="2210" t="s">
        <v>1538</v>
      </c>
      <c r="G208" s="2210"/>
      <c r="H208" s="2210"/>
      <c r="I208" s="2210"/>
      <c r="J208" s="2210"/>
      <c r="K208" s="2210"/>
      <c r="L208" s="2210"/>
      <c r="M208" s="2210"/>
      <c r="N208" s="2210"/>
      <c r="O208" s="2210"/>
      <c r="P208" s="2211"/>
      <c r="Q208" s="2257">
        <v>8723</v>
      </c>
      <c r="R208" s="2224"/>
      <c r="S208" s="2224"/>
      <c r="T208" s="508" t="s">
        <v>1292</v>
      </c>
      <c r="U208" s="2224" t="s">
        <v>1031</v>
      </c>
      <c r="V208" s="2224"/>
      <c r="W208" s="2224"/>
      <c r="X208" s="508" t="s">
        <v>779</v>
      </c>
      <c r="Y208" s="2225" t="s">
        <v>5685</v>
      </c>
      <c r="Z208" s="2225"/>
      <c r="AA208" s="2225"/>
      <c r="AB208" s="511" t="s">
        <v>780</v>
      </c>
      <c r="AC208" s="2271"/>
      <c r="AD208" s="2271"/>
      <c r="AE208" s="2271"/>
      <c r="AF208" s="511" t="s">
        <v>780</v>
      </c>
      <c r="AG208" s="2271"/>
      <c r="AH208" s="2271"/>
      <c r="AI208" s="2274"/>
      <c r="AJ208" s="2212">
        <f t="shared" si="31"/>
        <v>8720</v>
      </c>
      <c r="AK208" s="2213"/>
      <c r="AL208" s="2214"/>
      <c r="AM208" s="2215">
        <v>1</v>
      </c>
      <c r="AN208" s="2216"/>
      <c r="AO208" s="2217"/>
      <c r="AP208" s="2209">
        <f t="shared" si="32"/>
        <v>8720</v>
      </c>
      <c r="AQ208" s="2210"/>
      <c r="AR208" s="2211"/>
      <c r="AS208" s="2203">
        <f ca="1">SUMIF(基礎・屋根・外壁!B$37:AE$37,F208,基礎・屋根・外壁!B$41:AE$41)+SUMIF(基礎・屋根・外壁!B$61:AE$61,F208,基礎・屋根・外壁!B$65:AE$65)+SUMIF(見積拾!C$33:D$37,F208,見積拾!T$33:T$37)</f>
        <v>0</v>
      </c>
      <c r="AT208" s="2204"/>
      <c r="AU208" s="2204"/>
      <c r="AV208" s="2205"/>
      <c r="AW208" s="2206">
        <f t="shared" ca="1" si="33"/>
        <v>0</v>
      </c>
      <c r="AX208" s="2207"/>
      <c r="AY208" s="2207"/>
      <c r="AZ208" s="2208"/>
      <c r="BA208" s="2200"/>
      <c r="BB208" s="956" t="b">
        <f t="shared" ca="1" si="34"/>
        <v>0</v>
      </c>
    </row>
    <row r="209" spans="2:54" ht="13.5" customHeight="1">
      <c r="B209" s="2445"/>
      <c r="C209" s="2521"/>
      <c r="D209" s="2500"/>
      <c r="E209" s="957" t="s">
        <v>777</v>
      </c>
      <c r="F209" s="2210" t="s">
        <v>5601</v>
      </c>
      <c r="G209" s="2210"/>
      <c r="H209" s="2210"/>
      <c r="I209" s="2210"/>
      <c r="J209" s="2210"/>
      <c r="K209" s="2210"/>
      <c r="L209" s="2210"/>
      <c r="M209" s="2210"/>
      <c r="N209" s="2210"/>
      <c r="O209" s="2210"/>
      <c r="P209" s="2211"/>
      <c r="Q209" s="2257">
        <v>25740</v>
      </c>
      <c r="R209" s="2224"/>
      <c r="S209" s="2224"/>
      <c r="T209" s="508" t="s">
        <v>1292</v>
      </c>
      <c r="U209" s="2224">
        <v>4369</v>
      </c>
      <c r="V209" s="2224"/>
      <c r="W209" s="2224"/>
      <c r="X209" s="508" t="s">
        <v>779</v>
      </c>
      <c r="Y209" s="2224">
        <v>755</v>
      </c>
      <c r="Z209" s="2224"/>
      <c r="AA209" s="2224"/>
      <c r="AB209" s="511" t="s">
        <v>780</v>
      </c>
      <c r="AC209" s="2271"/>
      <c r="AD209" s="2271"/>
      <c r="AE209" s="2271"/>
      <c r="AF209" s="511" t="s">
        <v>780</v>
      </c>
      <c r="AG209" s="2271"/>
      <c r="AH209" s="2271"/>
      <c r="AI209" s="2274"/>
      <c r="AJ209" s="2212">
        <f t="shared" ref="AJ209" si="48">ROUNDDOWN(SUM(Q209:AI209),-1)</f>
        <v>30860</v>
      </c>
      <c r="AK209" s="2213"/>
      <c r="AL209" s="2214"/>
      <c r="AM209" s="2215">
        <v>1</v>
      </c>
      <c r="AN209" s="2216"/>
      <c r="AO209" s="2217"/>
      <c r="AP209" s="2209">
        <f t="shared" ref="AP209" si="49">INT(AJ209*AM209)</f>
        <v>30860</v>
      </c>
      <c r="AQ209" s="2210"/>
      <c r="AR209" s="2211"/>
      <c r="AS209" s="2203">
        <f ca="1">SUMIF(基礎・屋根・外壁!B$37:AE$37,F209,基礎・屋根・外壁!B$41:AE$41)+SUMIF(基礎・屋根・外壁!B$61:AE$61,F209,基礎・屋根・外壁!B$65:AE$65)+SUMIF(見積拾!C$33:D$37,F209,見積拾!T$33:T$37)</f>
        <v>0</v>
      </c>
      <c r="AT209" s="2204"/>
      <c r="AU209" s="2204"/>
      <c r="AV209" s="2205"/>
      <c r="AW209" s="2206">
        <f t="shared" ref="AW209" ca="1" si="50">INT(AP209*AS209)</f>
        <v>0</v>
      </c>
      <c r="AX209" s="2207"/>
      <c r="AY209" s="2207"/>
      <c r="AZ209" s="2208"/>
      <c r="BA209" s="2200"/>
      <c r="BB209" s="956" t="b">
        <f t="shared" ref="BB209" ca="1" si="51">AW209&lt;&gt;0</f>
        <v>0</v>
      </c>
    </row>
    <row r="210" spans="2:54" ht="13.5" customHeight="1">
      <c r="B210" s="2445"/>
      <c r="C210" s="2521"/>
      <c r="D210" s="2500"/>
      <c r="E210" s="957" t="s">
        <v>777</v>
      </c>
      <c r="F210" s="2210" t="s">
        <v>1304</v>
      </c>
      <c r="G210" s="2210"/>
      <c r="H210" s="2210"/>
      <c r="I210" s="2210"/>
      <c r="J210" s="2210"/>
      <c r="K210" s="2210"/>
      <c r="L210" s="2210"/>
      <c r="M210" s="2210"/>
      <c r="N210" s="2210"/>
      <c r="O210" s="2210"/>
      <c r="P210" s="2211"/>
      <c r="Q210" s="2257">
        <v>5360</v>
      </c>
      <c r="R210" s="2224"/>
      <c r="S210" s="2224"/>
      <c r="T210" s="508" t="s">
        <v>1292</v>
      </c>
      <c r="U210" s="2224" t="s">
        <v>1031</v>
      </c>
      <c r="V210" s="2224"/>
      <c r="W210" s="2224"/>
      <c r="X210" s="508" t="s">
        <v>779</v>
      </c>
      <c r="Y210" s="2225" t="s">
        <v>5685</v>
      </c>
      <c r="Z210" s="2225"/>
      <c r="AA210" s="2225"/>
      <c r="AB210" s="511" t="s">
        <v>780</v>
      </c>
      <c r="AC210" s="2271"/>
      <c r="AD210" s="2271"/>
      <c r="AE210" s="2271"/>
      <c r="AF210" s="511" t="s">
        <v>780</v>
      </c>
      <c r="AG210" s="2271"/>
      <c r="AH210" s="2271"/>
      <c r="AI210" s="2274"/>
      <c r="AJ210" s="2212">
        <f t="shared" si="31"/>
        <v>5360</v>
      </c>
      <c r="AK210" s="2213"/>
      <c r="AL210" s="2214"/>
      <c r="AM210" s="2215">
        <v>1</v>
      </c>
      <c r="AN210" s="2216"/>
      <c r="AO210" s="2217"/>
      <c r="AP210" s="2209">
        <f t="shared" si="32"/>
        <v>5360</v>
      </c>
      <c r="AQ210" s="2210"/>
      <c r="AR210" s="2211"/>
      <c r="AS210" s="2203">
        <f ca="1">SUMIF(基礎・屋根・外壁!B$37:AE$37,F210,基礎・屋根・外壁!B$41:AE$41)+SUMIF(基礎・屋根・外壁!B$61:AE$61,F210,基礎・屋根・外壁!B$65:AE$65)+SUMIF(見積拾!C$33:D$37,F210,見積拾!T$33:T$37)</f>
        <v>0</v>
      </c>
      <c r="AT210" s="2204"/>
      <c r="AU210" s="2204"/>
      <c r="AV210" s="2205"/>
      <c r="AW210" s="2206">
        <f t="shared" ca="1" si="33"/>
        <v>0</v>
      </c>
      <c r="AX210" s="2207"/>
      <c r="AY210" s="2207"/>
      <c r="AZ210" s="2208"/>
      <c r="BA210" s="2200"/>
      <c r="BB210" s="956" t="b">
        <f t="shared" ca="1" si="34"/>
        <v>0</v>
      </c>
    </row>
    <row r="211" spans="2:54" ht="13.5" customHeight="1">
      <c r="B211" s="2445"/>
      <c r="C211" s="2521"/>
      <c r="D211" s="2500"/>
      <c r="E211" s="957" t="s">
        <v>777</v>
      </c>
      <c r="F211" s="2210" t="s">
        <v>1305</v>
      </c>
      <c r="G211" s="2210"/>
      <c r="H211" s="2210"/>
      <c r="I211" s="2210"/>
      <c r="J211" s="2210"/>
      <c r="K211" s="2210"/>
      <c r="L211" s="2210"/>
      <c r="M211" s="2210"/>
      <c r="N211" s="2210"/>
      <c r="O211" s="2210"/>
      <c r="P211" s="2211"/>
      <c r="Q211" s="2257">
        <v>3412</v>
      </c>
      <c r="R211" s="2224"/>
      <c r="S211" s="2224"/>
      <c r="T211" s="508" t="s">
        <v>1292</v>
      </c>
      <c r="U211" s="2224" t="s">
        <v>1031</v>
      </c>
      <c r="V211" s="2224"/>
      <c r="W211" s="2224"/>
      <c r="X211" s="508" t="s">
        <v>779</v>
      </c>
      <c r="Y211" s="2225" t="s">
        <v>5685</v>
      </c>
      <c r="Z211" s="2225"/>
      <c r="AA211" s="2225"/>
      <c r="AB211" s="511" t="s">
        <v>780</v>
      </c>
      <c r="AC211" s="2271"/>
      <c r="AD211" s="2271"/>
      <c r="AE211" s="2271"/>
      <c r="AF211" s="511" t="s">
        <v>780</v>
      </c>
      <c r="AG211" s="2271"/>
      <c r="AH211" s="2271"/>
      <c r="AI211" s="2274"/>
      <c r="AJ211" s="2212">
        <f t="shared" si="31"/>
        <v>3410</v>
      </c>
      <c r="AK211" s="2213"/>
      <c r="AL211" s="2214"/>
      <c r="AM211" s="2215">
        <v>1</v>
      </c>
      <c r="AN211" s="2216"/>
      <c r="AO211" s="2217"/>
      <c r="AP211" s="2209">
        <f t="shared" si="32"/>
        <v>3410</v>
      </c>
      <c r="AQ211" s="2210"/>
      <c r="AR211" s="2211"/>
      <c r="AS211" s="2203">
        <f ca="1">SUMIF(基礎・屋根・外壁!B$37:AE$37,F211,基礎・屋根・外壁!B$41:AE$41)+SUMIF(基礎・屋根・外壁!B$61:AE$61,F211,基礎・屋根・外壁!B$65:AE$65)+SUMIF(見積拾!C$33:D$37,F211,見積拾!T$33:T$37)</f>
        <v>0</v>
      </c>
      <c r="AT211" s="2204"/>
      <c r="AU211" s="2204"/>
      <c r="AV211" s="2205"/>
      <c r="AW211" s="2206">
        <f t="shared" ca="1" si="33"/>
        <v>0</v>
      </c>
      <c r="AX211" s="2207"/>
      <c r="AY211" s="2207"/>
      <c r="AZ211" s="2208"/>
      <c r="BA211" s="2200"/>
      <c r="BB211" s="956" t="b">
        <f t="shared" ca="1" si="34"/>
        <v>0</v>
      </c>
    </row>
    <row r="212" spans="2:54" ht="13.5" customHeight="1">
      <c r="B212" s="2445"/>
      <c r="C212" s="2521"/>
      <c r="D212" s="2500"/>
      <c r="E212" s="957" t="s">
        <v>777</v>
      </c>
      <c r="F212" s="2210" t="s">
        <v>1306</v>
      </c>
      <c r="G212" s="2210"/>
      <c r="H212" s="2210"/>
      <c r="I212" s="2210"/>
      <c r="J212" s="2210"/>
      <c r="K212" s="2210"/>
      <c r="L212" s="2210"/>
      <c r="M212" s="2210"/>
      <c r="N212" s="2210"/>
      <c r="O212" s="2210"/>
      <c r="P212" s="2211"/>
      <c r="Q212" s="2257">
        <v>4140</v>
      </c>
      <c r="R212" s="2224"/>
      <c r="S212" s="2224"/>
      <c r="T212" s="508" t="s">
        <v>1292</v>
      </c>
      <c r="U212" s="2224">
        <v>4608</v>
      </c>
      <c r="V212" s="2224"/>
      <c r="W212" s="2224"/>
      <c r="X212" s="508" t="s">
        <v>779</v>
      </c>
      <c r="Y212" s="2224">
        <v>210</v>
      </c>
      <c r="Z212" s="2224"/>
      <c r="AA212" s="2224"/>
      <c r="AB212" s="511" t="s">
        <v>780</v>
      </c>
      <c r="AC212" s="2271"/>
      <c r="AD212" s="2271"/>
      <c r="AE212" s="2271"/>
      <c r="AF212" s="511" t="s">
        <v>780</v>
      </c>
      <c r="AG212" s="2271"/>
      <c r="AH212" s="2271"/>
      <c r="AI212" s="2274"/>
      <c r="AJ212" s="2212">
        <f t="shared" si="31"/>
        <v>8950</v>
      </c>
      <c r="AK212" s="2213"/>
      <c r="AL212" s="2214"/>
      <c r="AM212" s="2215">
        <v>1</v>
      </c>
      <c r="AN212" s="2216"/>
      <c r="AO212" s="2217"/>
      <c r="AP212" s="2209">
        <f t="shared" si="32"/>
        <v>8950</v>
      </c>
      <c r="AQ212" s="2210"/>
      <c r="AR212" s="2211"/>
      <c r="AS212" s="2203">
        <f ca="1">SUMIF(基礎・屋根・外壁!B$37:AE$37,F212,基礎・屋根・外壁!B$41:AE$41)+SUMIF(基礎・屋根・外壁!B$61:AE$61,F212,基礎・屋根・外壁!B$65:AE$65)+SUMIF(見積拾!C$33:D$37,F212,見積拾!T$33:T$37)</f>
        <v>0</v>
      </c>
      <c r="AT212" s="2204"/>
      <c r="AU212" s="2204"/>
      <c r="AV212" s="2205"/>
      <c r="AW212" s="2206">
        <f t="shared" ca="1" si="33"/>
        <v>0</v>
      </c>
      <c r="AX212" s="2207"/>
      <c r="AY212" s="2207"/>
      <c r="AZ212" s="2208"/>
      <c r="BA212" s="2200"/>
      <c r="BB212" s="956" t="b">
        <f t="shared" ca="1" si="34"/>
        <v>0</v>
      </c>
    </row>
    <row r="213" spans="2:54" ht="13.5" customHeight="1">
      <c r="B213" s="2445"/>
      <c r="C213" s="2521"/>
      <c r="D213" s="2500"/>
      <c r="E213" s="1703" t="s">
        <v>781</v>
      </c>
      <c r="F213" s="2570" t="s">
        <v>782</v>
      </c>
      <c r="G213" s="2571"/>
      <c r="H213" s="2571"/>
      <c r="I213" s="2571"/>
      <c r="J213" s="2571"/>
      <c r="K213" s="2571"/>
      <c r="L213" s="2571"/>
      <c r="M213" s="2571"/>
      <c r="N213" s="2571"/>
      <c r="O213" s="2571"/>
      <c r="P213" s="2572"/>
      <c r="Q213" s="2970"/>
      <c r="R213" s="2273"/>
      <c r="S213" s="2273"/>
      <c r="T213" s="512" t="s">
        <v>780</v>
      </c>
      <c r="U213" s="2272"/>
      <c r="V213" s="2273"/>
      <c r="W213" s="2273"/>
      <c r="X213" s="512" t="s">
        <v>780</v>
      </c>
      <c r="Y213" s="2272"/>
      <c r="Z213" s="2273"/>
      <c r="AA213" s="2273"/>
      <c r="AB213" s="512" t="s">
        <v>780</v>
      </c>
      <c r="AC213" s="2272"/>
      <c r="AD213" s="2273"/>
      <c r="AE213" s="2273"/>
      <c r="AF213" s="512" t="s">
        <v>780</v>
      </c>
      <c r="AG213" s="2272"/>
      <c r="AH213" s="2273"/>
      <c r="AI213" s="2321"/>
      <c r="AJ213" s="2212">
        <f t="shared" si="31"/>
        <v>0</v>
      </c>
      <c r="AK213" s="2213"/>
      <c r="AL213" s="2214"/>
      <c r="AM213" s="2215">
        <v>1</v>
      </c>
      <c r="AN213" s="2216"/>
      <c r="AO213" s="2217"/>
      <c r="AP213" s="2209">
        <f t="shared" si="32"/>
        <v>0</v>
      </c>
      <c r="AQ213" s="2210"/>
      <c r="AR213" s="2211"/>
      <c r="AS213" s="2203">
        <f ca="1">SUMIF(基礎・屋根・外壁!B$37:AE$37,F213,基礎・屋根・外壁!B$41:AE$41)+SUMIF(基礎・屋根・外壁!B$61:AE$61,F213,基礎・屋根・外壁!B$65:AE$65)+SUMIF(見積拾!C$33:D$37,F213,見積拾!T$33:T$37)</f>
        <v>0</v>
      </c>
      <c r="AT213" s="2204"/>
      <c r="AU213" s="2204"/>
      <c r="AV213" s="2205"/>
      <c r="AW213" s="2206">
        <f t="shared" ca="1" si="33"/>
        <v>0</v>
      </c>
      <c r="AX213" s="2207"/>
      <c r="AY213" s="2207"/>
      <c r="AZ213" s="2208"/>
      <c r="BA213" s="2200"/>
      <c r="BB213" s="956" t="b">
        <f t="shared" ca="1" si="34"/>
        <v>0</v>
      </c>
    </row>
    <row r="214" spans="2:54" ht="13.5" customHeight="1" thickBot="1">
      <c r="B214" s="2445"/>
      <c r="C214" s="2521"/>
      <c r="D214" s="2500"/>
      <c r="E214" s="1704" t="s">
        <v>781</v>
      </c>
      <c r="F214" s="2599" t="s">
        <v>782</v>
      </c>
      <c r="G214" s="2600"/>
      <c r="H214" s="2600"/>
      <c r="I214" s="2600"/>
      <c r="J214" s="2600"/>
      <c r="K214" s="2600"/>
      <c r="L214" s="2600"/>
      <c r="M214" s="2600"/>
      <c r="N214" s="2600"/>
      <c r="O214" s="2600"/>
      <c r="P214" s="2601"/>
      <c r="Q214" s="2281"/>
      <c r="R214" s="2277"/>
      <c r="S214" s="2277"/>
      <c r="T214" s="513" t="s">
        <v>780</v>
      </c>
      <c r="U214" s="2276"/>
      <c r="V214" s="2277"/>
      <c r="W214" s="2277"/>
      <c r="X214" s="513" t="s">
        <v>780</v>
      </c>
      <c r="Y214" s="2276"/>
      <c r="Z214" s="2277"/>
      <c r="AA214" s="2277"/>
      <c r="AB214" s="513" t="s">
        <v>780</v>
      </c>
      <c r="AC214" s="2276"/>
      <c r="AD214" s="2277"/>
      <c r="AE214" s="2277"/>
      <c r="AF214" s="513" t="s">
        <v>780</v>
      </c>
      <c r="AG214" s="2276"/>
      <c r="AH214" s="2277"/>
      <c r="AI214" s="2569"/>
      <c r="AJ214" s="2212">
        <f t="shared" si="31"/>
        <v>0</v>
      </c>
      <c r="AK214" s="2213"/>
      <c r="AL214" s="2214"/>
      <c r="AM214" s="2215">
        <v>1</v>
      </c>
      <c r="AN214" s="2216"/>
      <c r="AO214" s="2217"/>
      <c r="AP214" s="2604">
        <f t="shared" si="32"/>
        <v>0</v>
      </c>
      <c r="AQ214" s="2605"/>
      <c r="AR214" s="2606"/>
      <c r="AS214" s="2203">
        <f ca="1">SUMIF(基礎・屋根・外壁!B$37:AE$37,F214,基礎・屋根・外壁!B$41:AE$41)+SUMIF(基礎・屋根・外壁!B$61:AE$61,F214,基礎・屋根・外壁!B$65:AE$65)+SUMIF(見積拾!C$33:D$37,F214,見積拾!T$33:T$37)</f>
        <v>0</v>
      </c>
      <c r="AT214" s="2204"/>
      <c r="AU214" s="2204"/>
      <c r="AV214" s="2205"/>
      <c r="AW214" s="2206">
        <f t="shared" ca="1" si="33"/>
        <v>0</v>
      </c>
      <c r="AX214" s="2207"/>
      <c r="AY214" s="2207"/>
      <c r="AZ214" s="2208"/>
      <c r="BA214" s="2200"/>
      <c r="BB214" s="956" t="b">
        <f t="shared" ca="1" si="34"/>
        <v>0</v>
      </c>
    </row>
    <row r="215" spans="2:54" ht="13.5" customHeight="1" thickBot="1">
      <c r="B215" s="2581"/>
      <c r="C215" s="2582"/>
      <c r="D215" s="2502"/>
      <c r="E215" s="1660"/>
      <c r="F215" s="1658"/>
      <c r="G215" s="1658"/>
      <c r="H215" s="1658"/>
      <c r="I215" s="1658"/>
      <c r="J215" s="1658"/>
      <c r="K215" s="1658"/>
      <c r="L215" s="1658"/>
      <c r="M215" s="1658"/>
      <c r="N215" s="1658"/>
      <c r="O215" s="1658"/>
      <c r="P215" s="1658"/>
      <c r="Q215" s="1660"/>
      <c r="R215" s="1658"/>
      <c r="S215" s="1658"/>
      <c r="T215" s="1658"/>
      <c r="U215" s="1658"/>
      <c r="V215" s="1658"/>
      <c r="W215" s="1658"/>
      <c r="X215" s="1658"/>
      <c r="Y215" s="1658"/>
      <c r="Z215" s="1658"/>
      <c r="AA215" s="1658"/>
      <c r="AB215" s="1658"/>
      <c r="AC215" s="1658"/>
      <c r="AD215" s="1658"/>
      <c r="AE215" s="1658"/>
      <c r="AF215" s="1658"/>
      <c r="AG215" s="1658"/>
      <c r="AH215" s="1658"/>
      <c r="AI215" s="1661"/>
      <c r="AJ215" s="2221" t="str">
        <f ca="1">IF(AS215=基礎・屋根・外壁!AF41+見積拾!T38,"面積合計及び部分別評点数","補助票と面積が違います！")</f>
        <v>面積合計及び部分別評点数</v>
      </c>
      <c r="AK215" s="2222"/>
      <c r="AL215" s="2222"/>
      <c r="AM215" s="2222"/>
      <c r="AN215" s="2222"/>
      <c r="AO215" s="2222"/>
      <c r="AP215" s="2222"/>
      <c r="AQ215" s="2222"/>
      <c r="AR215" s="2223"/>
      <c r="AS215" s="2254">
        <f ca="1">SUM(AS192:AV214)</f>
        <v>0</v>
      </c>
      <c r="AT215" s="2255"/>
      <c r="AU215" s="2255"/>
      <c r="AV215" s="2256"/>
      <c r="AW215" s="2246">
        <f ca="1">SUM(AW191:AZ214)</f>
        <v>0</v>
      </c>
      <c r="AX215" s="2246"/>
      <c r="AY215" s="2246"/>
      <c r="AZ215" s="2247"/>
      <c r="BA215" s="2200"/>
      <c r="BB215" s="956" t="b">
        <v>1</v>
      </c>
    </row>
    <row r="216" spans="2:54" ht="13.5" customHeight="1">
      <c r="BA216" s="2200"/>
      <c r="BB216" s="956" t="b">
        <v>0</v>
      </c>
    </row>
    <row r="217" spans="2:54" ht="13.5" customHeight="1">
      <c r="BA217" s="2200"/>
      <c r="BB217" s="956" t="b">
        <v>0</v>
      </c>
    </row>
    <row r="218" spans="2:54" ht="13.5" customHeight="1">
      <c r="B218" s="1523"/>
      <c r="C218" s="2089" t="s">
        <v>5697</v>
      </c>
      <c r="D218" s="2090"/>
      <c r="E218" s="2090"/>
      <c r="F218" s="2090"/>
      <c r="G218" s="2090"/>
      <c r="H218" s="2090"/>
      <c r="I218" s="2090"/>
      <c r="J218" s="2090"/>
      <c r="K218" s="2091"/>
      <c r="L218" s="2091"/>
      <c r="M218" s="2091"/>
      <c r="N218" s="2091"/>
      <c r="BA218" s="2200"/>
      <c r="BB218" s="956" t="b">
        <v>0</v>
      </c>
    </row>
    <row r="219" spans="2:54" ht="13.5" customHeight="1">
      <c r="BA219" s="2200"/>
      <c r="BB219" s="956" t="b">
        <v>0</v>
      </c>
    </row>
    <row r="220" spans="2:54" ht="13.5" customHeight="1">
      <c r="B220" s="1578"/>
      <c r="C220" s="1579"/>
      <c r="D220" s="1580"/>
      <c r="E220" s="1654" t="s">
        <v>663</v>
      </c>
      <c r="F220" s="1591"/>
      <c r="G220" s="1591"/>
      <c r="H220" s="1591"/>
      <c r="I220" s="1591"/>
      <c r="J220" s="1591"/>
      <c r="K220" s="1591"/>
      <c r="L220" s="1591"/>
      <c r="M220" s="1591"/>
      <c r="N220" s="1591"/>
      <c r="O220" s="1591"/>
      <c r="P220" s="1592"/>
      <c r="Q220" s="1591" t="s">
        <v>769</v>
      </c>
      <c r="R220" s="1591"/>
      <c r="S220" s="1591"/>
      <c r="T220" s="1658"/>
      <c r="U220" s="1591" t="s">
        <v>770</v>
      </c>
      <c r="V220" s="1591"/>
      <c r="W220" s="1591"/>
      <c r="X220" s="1658"/>
      <c r="Y220" s="1591" t="s">
        <v>771</v>
      </c>
      <c r="Z220" s="1591"/>
      <c r="AA220" s="1591"/>
      <c r="AB220" s="1658"/>
      <c r="AC220" s="1591" t="s">
        <v>772</v>
      </c>
      <c r="AD220" s="1591"/>
      <c r="AE220" s="1591"/>
      <c r="AF220" s="1591" t="s">
        <v>772</v>
      </c>
      <c r="AG220" s="1591"/>
      <c r="AH220" s="1592"/>
      <c r="AI220" s="1592"/>
      <c r="AJ220" s="1654" t="s">
        <v>773</v>
      </c>
      <c r="AK220" s="1591"/>
      <c r="AL220" s="1592"/>
      <c r="AM220" s="1654" t="s">
        <v>669</v>
      </c>
      <c r="AN220" s="1591"/>
      <c r="AO220" s="1592"/>
      <c r="AP220" s="1654" t="s">
        <v>774</v>
      </c>
      <c r="AQ220" s="1591"/>
      <c r="AR220" s="1592"/>
      <c r="AS220" s="1655" t="s">
        <v>775</v>
      </c>
      <c r="AT220" s="1654"/>
      <c r="AU220" s="1654"/>
      <c r="AV220" s="1654"/>
      <c r="AW220" s="2241" t="s">
        <v>666</v>
      </c>
      <c r="AX220" s="2242"/>
      <c r="AY220" s="2242"/>
      <c r="AZ220" s="2242"/>
      <c r="BA220" s="2200"/>
      <c r="BB220" s="956" t="b">
        <v>0</v>
      </c>
    </row>
    <row r="221" spans="2:54" ht="13.5" customHeight="1">
      <c r="B221" s="2578" t="s">
        <v>783</v>
      </c>
      <c r="C221" s="2579"/>
      <c r="D221" s="2580"/>
      <c r="E221" s="122" t="s">
        <v>777</v>
      </c>
      <c r="F221" s="2252" t="s">
        <v>778</v>
      </c>
      <c r="G221" s="2252"/>
      <c r="H221" s="2252"/>
      <c r="I221" s="2252"/>
      <c r="J221" s="2252"/>
      <c r="K221" s="2252"/>
      <c r="L221" s="2252"/>
      <c r="M221" s="2252"/>
      <c r="N221" s="2252"/>
      <c r="O221" s="2252"/>
      <c r="P221" s="2253"/>
      <c r="Q221" s="2320"/>
      <c r="R221" s="2275"/>
      <c r="S221" s="2275"/>
      <c r="T221" s="505"/>
      <c r="U221" s="2275"/>
      <c r="V221" s="2275"/>
      <c r="W221" s="2275"/>
      <c r="X221" s="505"/>
      <c r="Y221" s="2275"/>
      <c r="Z221" s="2275"/>
      <c r="AA221" s="2275"/>
      <c r="AB221" s="505"/>
      <c r="AC221" s="2275"/>
      <c r="AD221" s="2275"/>
      <c r="AE221" s="2275"/>
      <c r="AF221" s="506"/>
      <c r="AG221" s="2409"/>
      <c r="AH221" s="2409"/>
      <c r="AI221" s="2409"/>
      <c r="AJ221" s="2212">
        <f t="shared" ref="AJ221:AJ243" si="52">ROUNDDOWN(SUM(Q221:AI221),-1)</f>
        <v>0</v>
      </c>
      <c r="AK221" s="2213"/>
      <c r="AL221" s="2214"/>
      <c r="AM221" s="2215">
        <v>1</v>
      </c>
      <c r="AN221" s="2216"/>
      <c r="AO221" s="2217"/>
      <c r="AP221" s="2212">
        <f t="shared" ref="AP221:AP243" si="53">INT(AJ221*AM221)</f>
        <v>0</v>
      </c>
      <c r="AQ221" s="2213"/>
      <c r="AR221" s="2214"/>
      <c r="AS221" s="2218"/>
      <c r="AT221" s="2219"/>
      <c r="AU221" s="2219"/>
      <c r="AV221" s="2220"/>
      <c r="AW221" s="2206">
        <f t="shared" ref="AW221:AW243" si="54">INT(AP221*AS221)</f>
        <v>0</v>
      </c>
      <c r="AX221" s="2207"/>
      <c r="AY221" s="2207"/>
      <c r="AZ221" s="2208"/>
      <c r="BA221" s="2200"/>
      <c r="BB221" s="956" t="b">
        <f ca="1">AW244=0</f>
        <v>1</v>
      </c>
    </row>
    <row r="222" spans="2:54" ht="13.5" customHeight="1">
      <c r="B222" s="2445"/>
      <c r="C222" s="2521"/>
      <c r="D222" s="2500"/>
      <c r="E222" s="957" t="s">
        <v>777</v>
      </c>
      <c r="F222" s="2210" t="s">
        <v>5600</v>
      </c>
      <c r="G222" s="2210"/>
      <c r="H222" s="2210"/>
      <c r="I222" s="2210"/>
      <c r="J222" s="2210"/>
      <c r="K222" s="2210"/>
      <c r="L222" s="2210"/>
      <c r="M222" s="2210"/>
      <c r="N222" s="2210"/>
      <c r="O222" s="2210"/>
      <c r="P222" s="2211"/>
      <c r="Q222" s="2257">
        <v>13276</v>
      </c>
      <c r="R222" s="2224"/>
      <c r="S222" s="2224"/>
      <c r="T222" s="508" t="s">
        <v>1292</v>
      </c>
      <c r="U222" s="2224" t="s">
        <v>1031</v>
      </c>
      <c r="V222" s="2224"/>
      <c r="W222" s="2224"/>
      <c r="X222" s="508" t="s">
        <v>779</v>
      </c>
      <c r="Y222" s="2225" t="s">
        <v>5685</v>
      </c>
      <c r="Z222" s="2225"/>
      <c r="AA222" s="2225"/>
      <c r="AB222" s="511" t="s">
        <v>1030</v>
      </c>
      <c r="AC222" s="2224"/>
      <c r="AD222" s="2224"/>
      <c r="AE222" s="2224"/>
      <c r="AF222" s="508" t="s">
        <v>784</v>
      </c>
      <c r="AG222" s="2224"/>
      <c r="AH222" s="2224"/>
      <c r="AI222" s="2224"/>
      <c r="AJ222" s="2212">
        <f t="shared" si="52"/>
        <v>13270</v>
      </c>
      <c r="AK222" s="2213"/>
      <c r="AL222" s="2214"/>
      <c r="AM222" s="2215">
        <v>1</v>
      </c>
      <c r="AN222" s="2216"/>
      <c r="AO222" s="2217"/>
      <c r="AP222" s="2209">
        <f t="shared" si="53"/>
        <v>13270</v>
      </c>
      <c r="AQ222" s="2210"/>
      <c r="AR222" s="2211"/>
      <c r="AS222" s="2203">
        <f ca="1">SUMIF(床・天井!P$6:P$89,F222,床・天井!I$6:I$89)+SUMIF(見積拾!C$41:D$45,F222,見積拾!T$41:T$45)</f>
        <v>0</v>
      </c>
      <c r="AT222" s="2204"/>
      <c r="AU222" s="2204"/>
      <c r="AV222" s="2205"/>
      <c r="AW222" s="2206">
        <f t="shared" ca="1" si="54"/>
        <v>0</v>
      </c>
      <c r="AX222" s="2207"/>
      <c r="AY222" s="2207"/>
      <c r="AZ222" s="2208"/>
      <c r="BA222" s="2200"/>
      <c r="BB222" s="956" t="b">
        <f t="shared" ref="BB222:BB243" ca="1" si="55">AW222&lt;&gt;0</f>
        <v>0</v>
      </c>
    </row>
    <row r="223" spans="2:54" ht="13.5" customHeight="1">
      <c r="B223" s="2445"/>
      <c r="C223" s="2521"/>
      <c r="D223" s="2500"/>
      <c r="E223" s="957" t="s">
        <v>777</v>
      </c>
      <c r="F223" s="2210" t="s">
        <v>1033</v>
      </c>
      <c r="G223" s="2210"/>
      <c r="H223" s="2210"/>
      <c r="I223" s="2210"/>
      <c r="J223" s="2210"/>
      <c r="K223" s="2210"/>
      <c r="L223" s="2210"/>
      <c r="M223" s="2210"/>
      <c r="N223" s="2210"/>
      <c r="O223" s="2210"/>
      <c r="P223" s="2211"/>
      <c r="Q223" s="2257">
        <v>594</v>
      </c>
      <c r="R223" s="2224"/>
      <c r="S223" s="2224"/>
      <c r="T223" s="508" t="s">
        <v>1292</v>
      </c>
      <c r="U223" s="2224">
        <v>1792</v>
      </c>
      <c r="V223" s="2224"/>
      <c r="W223" s="2224"/>
      <c r="X223" s="508" t="s">
        <v>779</v>
      </c>
      <c r="Y223" s="2225" t="s">
        <v>5685</v>
      </c>
      <c r="Z223" s="2225"/>
      <c r="AA223" s="2225"/>
      <c r="AB223" s="511" t="s">
        <v>1030</v>
      </c>
      <c r="AC223" s="2224"/>
      <c r="AD223" s="2224"/>
      <c r="AE223" s="2224"/>
      <c r="AF223" s="508" t="s">
        <v>40</v>
      </c>
      <c r="AG223" s="2224"/>
      <c r="AH223" s="2224"/>
      <c r="AI223" s="2224"/>
      <c r="AJ223" s="2212">
        <f t="shared" si="52"/>
        <v>2380</v>
      </c>
      <c r="AK223" s="2213"/>
      <c r="AL223" s="2214"/>
      <c r="AM223" s="2215">
        <v>1</v>
      </c>
      <c r="AN223" s="2216"/>
      <c r="AO223" s="2217"/>
      <c r="AP223" s="2209">
        <f t="shared" si="53"/>
        <v>2380</v>
      </c>
      <c r="AQ223" s="2210"/>
      <c r="AR223" s="2211"/>
      <c r="AS223" s="2203">
        <f ca="1">SUMIF(床・天井!P$6:P$89,F223,床・天井!I$6:I$89)+SUMIF(見積拾!C$41:D$45,F223,見積拾!T$41:T$45)</f>
        <v>0</v>
      </c>
      <c r="AT223" s="2204"/>
      <c r="AU223" s="2204"/>
      <c r="AV223" s="2205"/>
      <c r="AW223" s="2206">
        <f t="shared" ca="1" si="54"/>
        <v>0</v>
      </c>
      <c r="AX223" s="2207"/>
      <c r="AY223" s="2207"/>
      <c r="AZ223" s="2208"/>
      <c r="BA223" s="2200"/>
      <c r="BB223" s="956" t="b">
        <f t="shared" ca="1" si="55"/>
        <v>0</v>
      </c>
    </row>
    <row r="224" spans="2:54" ht="13.5" customHeight="1">
      <c r="B224" s="2445"/>
      <c r="C224" s="2521"/>
      <c r="D224" s="2500"/>
      <c r="E224" s="957" t="s">
        <v>777</v>
      </c>
      <c r="F224" s="2210" t="s">
        <v>1293</v>
      </c>
      <c r="G224" s="2210"/>
      <c r="H224" s="2210"/>
      <c r="I224" s="2210"/>
      <c r="J224" s="2210"/>
      <c r="K224" s="2210"/>
      <c r="L224" s="2210"/>
      <c r="M224" s="2210"/>
      <c r="N224" s="2210"/>
      <c r="O224" s="2210"/>
      <c r="P224" s="2211"/>
      <c r="Q224" s="2257">
        <v>8990</v>
      </c>
      <c r="R224" s="2224"/>
      <c r="S224" s="2224"/>
      <c r="T224" s="508" t="s">
        <v>1292</v>
      </c>
      <c r="U224" s="2224" t="s">
        <v>1031</v>
      </c>
      <c r="V224" s="2224"/>
      <c r="W224" s="2224"/>
      <c r="X224" s="508" t="s">
        <v>779</v>
      </c>
      <c r="Y224" s="2225" t="s">
        <v>5685</v>
      </c>
      <c r="Z224" s="2225"/>
      <c r="AA224" s="2225"/>
      <c r="AB224" s="511" t="s">
        <v>1030</v>
      </c>
      <c r="AC224" s="2224"/>
      <c r="AD224" s="2224"/>
      <c r="AE224" s="2224"/>
      <c r="AF224" s="508" t="s">
        <v>40</v>
      </c>
      <c r="AG224" s="2224"/>
      <c r="AH224" s="2224"/>
      <c r="AI224" s="2224"/>
      <c r="AJ224" s="2212">
        <f t="shared" si="52"/>
        <v>8990</v>
      </c>
      <c r="AK224" s="2213"/>
      <c r="AL224" s="2214"/>
      <c r="AM224" s="2215">
        <v>1</v>
      </c>
      <c r="AN224" s="2216"/>
      <c r="AO224" s="2217"/>
      <c r="AP224" s="2209">
        <f t="shared" si="53"/>
        <v>8990</v>
      </c>
      <c r="AQ224" s="2210"/>
      <c r="AR224" s="2211"/>
      <c r="AS224" s="2203">
        <f ca="1">SUMIF(床・天井!P$6:P$89,F224,床・天井!I$6:I$89)+SUMIF(見積拾!C$41:D$45,F224,見積拾!T$41:T$45)</f>
        <v>0</v>
      </c>
      <c r="AT224" s="2204"/>
      <c r="AU224" s="2204"/>
      <c r="AV224" s="2205"/>
      <c r="AW224" s="2206">
        <f t="shared" ca="1" si="54"/>
        <v>0</v>
      </c>
      <c r="AX224" s="2207"/>
      <c r="AY224" s="2207"/>
      <c r="AZ224" s="2208"/>
      <c r="BA224" s="2200"/>
      <c r="BB224" s="956" t="b">
        <f t="shared" ca="1" si="55"/>
        <v>0</v>
      </c>
    </row>
    <row r="225" spans="2:54" ht="13.5" customHeight="1">
      <c r="B225" s="2445"/>
      <c r="C225" s="2521"/>
      <c r="D225" s="2500"/>
      <c r="E225" s="957" t="s">
        <v>777</v>
      </c>
      <c r="F225" s="2210" t="s">
        <v>1294</v>
      </c>
      <c r="G225" s="2210"/>
      <c r="H225" s="2210"/>
      <c r="I225" s="2210"/>
      <c r="J225" s="2210"/>
      <c r="K225" s="2210"/>
      <c r="L225" s="2210"/>
      <c r="M225" s="2210"/>
      <c r="N225" s="2210"/>
      <c r="O225" s="2210"/>
      <c r="P225" s="2211"/>
      <c r="Q225" s="2257">
        <v>7690</v>
      </c>
      <c r="R225" s="2224"/>
      <c r="S225" s="2224"/>
      <c r="T225" s="508" t="s">
        <v>1292</v>
      </c>
      <c r="U225" s="2224" t="s">
        <v>1031</v>
      </c>
      <c r="V225" s="2224"/>
      <c r="W225" s="2224"/>
      <c r="X225" s="508" t="s">
        <v>779</v>
      </c>
      <c r="Y225" s="2225" t="s">
        <v>5685</v>
      </c>
      <c r="Z225" s="2225"/>
      <c r="AA225" s="2225"/>
      <c r="AB225" s="511" t="s">
        <v>1030</v>
      </c>
      <c r="AC225" s="2224"/>
      <c r="AD225" s="2224"/>
      <c r="AE225" s="2224"/>
      <c r="AF225" s="508" t="s">
        <v>40</v>
      </c>
      <c r="AG225" s="2224"/>
      <c r="AH225" s="2224"/>
      <c r="AI225" s="2224"/>
      <c r="AJ225" s="2212">
        <f t="shared" si="52"/>
        <v>7690</v>
      </c>
      <c r="AK225" s="2213"/>
      <c r="AL225" s="2214"/>
      <c r="AM225" s="2215">
        <v>1</v>
      </c>
      <c r="AN225" s="2216"/>
      <c r="AO225" s="2217"/>
      <c r="AP225" s="2209">
        <f t="shared" si="53"/>
        <v>7690</v>
      </c>
      <c r="AQ225" s="2210"/>
      <c r="AR225" s="2211"/>
      <c r="AS225" s="2203">
        <f ca="1">SUMIF(床・天井!P$6:P$89,F225,床・天井!I$6:I$89)+SUMIF(見積拾!C$41:D$45,F225,見積拾!T$41:T$45)</f>
        <v>0</v>
      </c>
      <c r="AT225" s="2204"/>
      <c r="AU225" s="2204"/>
      <c r="AV225" s="2205"/>
      <c r="AW225" s="2206">
        <f t="shared" ca="1" si="54"/>
        <v>0</v>
      </c>
      <c r="AX225" s="2207"/>
      <c r="AY225" s="2207"/>
      <c r="AZ225" s="2208"/>
      <c r="BA225" s="2200"/>
      <c r="BB225" s="956" t="b">
        <f t="shared" ca="1" si="55"/>
        <v>0</v>
      </c>
    </row>
    <row r="226" spans="2:54" ht="13.5" customHeight="1">
      <c r="B226" s="2445"/>
      <c r="C226" s="2521"/>
      <c r="D226" s="2500"/>
      <c r="E226" s="957" t="s">
        <v>777</v>
      </c>
      <c r="F226" s="2210" t="s">
        <v>1295</v>
      </c>
      <c r="G226" s="2210"/>
      <c r="H226" s="2210"/>
      <c r="I226" s="2210"/>
      <c r="J226" s="2210"/>
      <c r="K226" s="2210"/>
      <c r="L226" s="2210"/>
      <c r="M226" s="2210"/>
      <c r="N226" s="2210"/>
      <c r="O226" s="2210"/>
      <c r="P226" s="2211"/>
      <c r="Q226" s="2257">
        <v>6590</v>
      </c>
      <c r="R226" s="2224"/>
      <c r="S226" s="2224"/>
      <c r="T226" s="508" t="s">
        <v>1292</v>
      </c>
      <c r="U226" s="2224" t="s">
        <v>1031</v>
      </c>
      <c r="V226" s="2224"/>
      <c r="W226" s="2224"/>
      <c r="X226" s="508" t="s">
        <v>779</v>
      </c>
      <c r="Y226" s="2225" t="s">
        <v>5685</v>
      </c>
      <c r="Z226" s="2225"/>
      <c r="AA226" s="2225"/>
      <c r="AB226" s="511" t="s">
        <v>1030</v>
      </c>
      <c r="AC226" s="2224"/>
      <c r="AD226" s="2224"/>
      <c r="AE226" s="2224"/>
      <c r="AF226" s="508" t="s">
        <v>40</v>
      </c>
      <c r="AG226" s="2224"/>
      <c r="AH226" s="2224"/>
      <c r="AI226" s="2224"/>
      <c r="AJ226" s="2212">
        <f t="shared" si="52"/>
        <v>6590</v>
      </c>
      <c r="AK226" s="2213"/>
      <c r="AL226" s="2214"/>
      <c r="AM226" s="2215">
        <v>1</v>
      </c>
      <c r="AN226" s="2216"/>
      <c r="AO226" s="2217"/>
      <c r="AP226" s="2209">
        <f t="shared" si="53"/>
        <v>6590</v>
      </c>
      <c r="AQ226" s="2210"/>
      <c r="AR226" s="2211"/>
      <c r="AS226" s="2203">
        <f ca="1">SUMIF(床・天井!P$6:P$89,F226,床・天井!I$6:I$89)+SUMIF(見積拾!C$41:D$45,F226,見積拾!T$41:T$45)</f>
        <v>0</v>
      </c>
      <c r="AT226" s="2204"/>
      <c r="AU226" s="2204"/>
      <c r="AV226" s="2205"/>
      <c r="AW226" s="2206">
        <f t="shared" ca="1" si="54"/>
        <v>0</v>
      </c>
      <c r="AX226" s="2207"/>
      <c r="AY226" s="2207"/>
      <c r="AZ226" s="2208"/>
      <c r="BA226" s="2200"/>
      <c r="BB226" s="956" t="b">
        <f t="shared" ca="1" si="55"/>
        <v>0</v>
      </c>
    </row>
    <row r="227" spans="2:54" ht="13.5" customHeight="1">
      <c r="B227" s="2445"/>
      <c r="C227" s="2521"/>
      <c r="D227" s="2500"/>
      <c r="E227" s="957" t="s">
        <v>777</v>
      </c>
      <c r="F227" s="2210" t="s">
        <v>1296</v>
      </c>
      <c r="G227" s="2210"/>
      <c r="H227" s="2210"/>
      <c r="I227" s="2210"/>
      <c r="J227" s="2210"/>
      <c r="K227" s="2210"/>
      <c r="L227" s="2210"/>
      <c r="M227" s="2210"/>
      <c r="N227" s="2210"/>
      <c r="O227" s="2210"/>
      <c r="P227" s="2211"/>
      <c r="Q227" s="2257">
        <v>5895</v>
      </c>
      <c r="R227" s="2224"/>
      <c r="S227" s="2224"/>
      <c r="T227" s="508" t="s">
        <v>1292</v>
      </c>
      <c r="U227" s="2224" t="s">
        <v>1031</v>
      </c>
      <c r="V227" s="2224"/>
      <c r="W227" s="2224"/>
      <c r="X227" s="508" t="s">
        <v>779</v>
      </c>
      <c r="Y227" s="2225" t="s">
        <v>5685</v>
      </c>
      <c r="Z227" s="2225"/>
      <c r="AA227" s="2225"/>
      <c r="AB227" s="511" t="s">
        <v>1030</v>
      </c>
      <c r="AC227" s="2224"/>
      <c r="AD227" s="2224"/>
      <c r="AE227" s="2224"/>
      <c r="AF227" s="508" t="s">
        <v>40</v>
      </c>
      <c r="AG227" s="2224"/>
      <c r="AH227" s="2224"/>
      <c r="AI227" s="2224"/>
      <c r="AJ227" s="2212">
        <f t="shared" si="52"/>
        <v>5890</v>
      </c>
      <c r="AK227" s="2213"/>
      <c r="AL227" s="2214"/>
      <c r="AM227" s="2215">
        <v>1</v>
      </c>
      <c r="AN227" s="2216"/>
      <c r="AO227" s="2217"/>
      <c r="AP227" s="2209">
        <f t="shared" si="53"/>
        <v>5890</v>
      </c>
      <c r="AQ227" s="2210"/>
      <c r="AR227" s="2211"/>
      <c r="AS227" s="2203">
        <f ca="1">SUMIF(床・天井!P$6:P$89,F227,床・天井!I$6:I$89)+SUMIF(見積拾!C$41:D$45,F227,見積拾!T$41:T$45)</f>
        <v>0</v>
      </c>
      <c r="AT227" s="2204"/>
      <c r="AU227" s="2204"/>
      <c r="AV227" s="2205"/>
      <c r="AW227" s="2206">
        <f t="shared" ca="1" si="54"/>
        <v>0</v>
      </c>
      <c r="AX227" s="2207"/>
      <c r="AY227" s="2207"/>
      <c r="AZ227" s="2208"/>
      <c r="BA227" s="2200"/>
      <c r="BB227" s="956" t="b">
        <f t="shared" ca="1" si="55"/>
        <v>0</v>
      </c>
    </row>
    <row r="228" spans="2:54" ht="13.5" customHeight="1">
      <c r="B228" s="2445"/>
      <c r="C228" s="2521"/>
      <c r="D228" s="2500"/>
      <c r="E228" s="957" t="s">
        <v>777</v>
      </c>
      <c r="F228" s="2210" t="s">
        <v>1297</v>
      </c>
      <c r="G228" s="2210"/>
      <c r="H228" s="2210"/>
      <c r="I228" s="2210"/>
      <c r="J228" s="2210"/>
      <c r="K228" s="2210"/>
      <c r="L228" s="2210"/>
      <c r="M228" s="2210"/>
      <c r="N228" s="2210"/>
      <c r="O228" s="2210"/>
      <c r="P228" s="2211"/>
      <c r="Q228" s="2257">
        <v>13718</v>
      </c>
      <c r="R228" s="2224"/>
      <c r="S228" s="2224"/>
      <c r="T228" s="508" t="s">
        <v>1292</v>
      </c>
      <c r="U228" s="2224" t="s">
        <v>1031</v>
      </c>
      <c r="V228" s="2224"/>
      <c r="W228" s="2224"/>
      <c r="X228" s="508" t="s">
        <v>779</v>
      </c>
      <c r="Y228" s="2224">
        <v>1048</v>
      </c>
      <c r="Z228" s="2224"/>
      <c r="AA228" s="2224"/>
      <c r="AB228" s="508" t="s">
        <v>785</v>
      </c>
      <c r="AC228" s="2224"/>
      <c r="AD228" s="2224"/>
      <c r="AE228" s="2224"/>
      <c r="AF228" s="508" t="s">
        <v>785</v>
      </c>
      <c r="AG228" s="2224"/>
      <c r="AH228" s="2224"/>
      <c r="AI228" s="2226"/>
      <c r="AJ228" s="2212">
        <f t="shared" si="52"/>
        <v>14760</v>
      </c>
      <c r="AK228" s="2213"/>
      <c r="AL228" s="2214"/>
      <c r="AM228" s="2215">
        <v>1</v>
      </c>
      <c r="AN228" s="2216"/>
      <c r="AO228" s="2217"/>
      <c r="AP228" s="2209">
        <f t="shared" si="53"/>
        <v>14760</v>
      </c>
      <c r="AQ228" s="2210"/>
      <c r="AR228" s="2211"/>
      <c r="AS228" s="2203">
        <f ca="1">SUMIF(床・天井!P$6:P$89,F228,床・天井!I$6:I$89)+SUMIF(見積拾!C$41:D$45,F228,見積拾!T$41:T$45)</f>
        <v>0</v>
      </c>
      <c r="AT228" s="2204"/>
      <c r="AU228" s="2204"/>
      <c r="AV228" s="2205"/>
      <c r="AW228" s="2206">
        <f t="shared" ca="1" si="54"/>
        <v>0</v>
      </c>
      <c r="AX228" s="2207"/>
      <c r="AY228" s="2207"/>
      <c r="AZ228" s="2208"/>
      <c r="BA228" s="2200"/>
      <c r="BB228" s="956" t="b">
        <f t="shared" ca="1" si="55"/>
        <v>0</v>
      </c>
    </row>
    <row r="229" spans="2:54" ht="13.5" customHeight="1">
      <c r="B229" s="2445"/>
      <c r="C229" s="2521"/>
      <c r="D229" s="2500"/>
      <c r="E229" s="957" t="s">
        <v>777</v>
      </c>
      <c r="F229" s="2210" t="s">
        <v>1298</v>
      </c>
      <c r="G229" s="2210"/>
      <c r="H229" s="2210"/>
      <c r="I229" s="2210"/>
      <c r="J229" s="2210"/>
      <c r="K229" s="2210"/>
      <c r="L229" s="2210"/>
      <c r="M229" s="2210"/>
      <c r="N229" s="2210"/>
      <c r="O229" s="2210"/>
      <c r="P229" s="2211"/>
      <c r="Q229" s="2257">
        <v>9014</v>
      </c>
      <c r="R229" s="2224"/>
      <c r="S229" s="2224"/>
      <c r="T229" s="508" t="s">
        <v>1292</v>
      </c>
      <c r="U229" s="2224" t="s">
        <v>1031</v>
      </c>
      <c r="V229" s="2224"/>
      <c r="W229" s="2224"/>
      <c r="X229" s="508" t="s">
        <v>779</v>
      </c>
      <c r="Y229" s="2224">
        <v>1048</v>
      </c>
      <c r="Z229" s="2224"/>
      <c r="AA229" s="2224"/>
      <c r="AB229" s="508" t="s">
        <v>40</v>
      </c>
      <c r="AC229" s="2224"/>
      <c r="AD229" s="2224"/>
      <c r="AE229" s="2224"/>
      <c r="AF229" s="508" t="s">
        <v>40</v>
      </c>
      <c r="AG229" s="2224"/>
      <c r="AH229" s="2224"/>
      <c r="AI229" s="2224"/>
      <c r="AJ229" s="2212">
        <f t="shared" si="52"/>
        <v>10060</v>
      </c>
      <c r="AK229" s="2213"/>
      <c r="AL229" s="2214"/>
      <c r="AM229" s="2215">
        <v>1</v>
      </c>
      <c r="AN229" s="2216"/>
      <c r="AO229" s="2217"/>
      <c r="AP229" s="2209">
        <f t="shared" si="53"/>
        <v>10060</v>
      </c>
      <c r="AQ229" s="2210"/>
      <c r="AR229" s="2211"/>
      <c r="AS229" s="2203">
        <f ca="1">SUMIF(床・天井!P$6:P$89,F229,床・天井!I$6:I$89)+SUMIF(見積拾!C$41:D$45,F229,見積拾!T$41:T$45)</f>
        <v>0</v>
      </c>
      <c r="AT229" s="2204"/>
      <c r="AU229" s="2204"/>
      <c r="AV229" s="2205"/>
      <c r="AW229" s="2206">
        <f t="shared" ca="1" si="54"/>
        <v>0</v>
      </c>
      <c r="AX229" s="2207"/>
      <c r="AY229" s="2207"/>
      <c r="AZ229" s="2208"/>
      <c r="BA229" s="2200"/>
      <c r="BB229" s="956" t="b">
        <f t="shared" ca="1" si="55"/>
        <v>0</v>
      </c>
    </row>
    <row r="230" spans="2:54" ht="13.5" customHeight="1">
      <c r="B230" s="2445"/>
      <c r="C230" s="2521"/>
      <c r="D230" s="2500"/>
      <c r="E230" s="957" t="s">
        <v>777</v>
      </c>
      <c r="F230" s="2210" t="s">
        <v>1299</v>
      </c>
      <c r="G230" s="2210"/>
      <c r="H230" s="2210"/>
      <c r="I230" s="2210"/>
      <c r="J230" s="2210"/>
      <c r="K230" s="2210"/>
      <c r="L230" s="2210"/>
      <c r="M230" s="2210"/>
      <c r="N230" s="2210"/>
      <c r="O230" s="2210"/>
      <c r="P230" s="2211"/>
      <c r="Q230" s="2257">
        <v>3919</v>
      </c>
      <c r="R230" s="2224"/>
      <c r="S230" s="2224"/>
      <c r="T230" s="508" t="s">
        <v>1292</v>
      </c>
      <c r="U230" s="2224" t="s">
        <v>1031</v>
      </c>
      <c r="V230" s="2224"/>
      <c r="W230" s="2224"/>
      <c r="X230" s="508" t="s">
        <v>779</v>
      </c>
      <c r="Y230" s="2224">
        <v>1048</v>
      </c>
      <c r="Z230" s="2224"/>
      <c r="AA230" s="2224"/>
      <c r="AB230" s="508" t="s">
        <v>786</v>
      </c>
      <c r="AC230" s="2224"/>
      <c r="AD230" s="2224"/>
      <c r="AE230" s="2224"/>
      <c r="AF230" s="508" t="s">
        <v>786</v>
      </c>
      <c r="AG230" s="2224"/>
      <c r="AH230" s="2224"/>
      <c r="AI230" s="2224"/>
      <c r="AJ230" s="2212">
        <f t="shared" si="52"/>
        <v>4960</v>
      </c>
      <c r="AK230" s="2213"/>
      <c r="AL230" s="2214"/>
      <c r="AM230" s="2215">
        <v>1</v>
      </c>
      <c r="AN230" s="2216"/>
      <c r="AO230" s="2217"/>
      <c r="AP230" s="2209">
        <f t="shared" si="53"/>
        <v>4960</v>
      </c>
      <c r="AQ230" s="2210"/>
      <c r="AR230" s="2211"/>
      <c r="AS230" s="2203">
        <f ca="1">SUMIF(床・天井!P$6:P$89,F230,床・天井!I$6:I$89)+SUMIF(見積拾!C$41:D$45,F230,見積拾!T$41:T$45)</f>
        <v>0</v>
      </c>
      <c r="AT230" s="2204"/>
      <c r="AU230" s="2204"/>
      <c r="AV230" s="2205"/>
      <c r="AW230" s="2206">
        <f t="shared" ca="1" si="54"/>
        <v>0</v>
      </c>
      <c r="AX230" s="2207"/>
      <c r="AY230" s="2207"/>
      <c r="AZ230" s="2208"/>
      <c r="BA230" s="2200"/>
      <c r="BB230" s="956" t="b">
        <f t="shared" ca="1" si="55"/>
        <v>0</v>
      </c>
    </row>
    <row r="231" spans="2:54" ht="13.5" customHeight="1">
      <c r="B231" s="2445"/>
      <c r="C231" s="2521"/>
      <c r="D231" s="2500"/>
      <c r="E231" s="957" t="s">
        <v>777</v>
      </c>
      <c r="F231" s="2210" t="s">
        <v>1300</v>
      </c>
      <c r="G231" s="2210"/>
      <c r="H231" s="2210"/>
      <c r="I231" s="2210"/>
      <c r="J231" s="2210"/>
      <c r="K231" s="2210"/>
      <c r="L231" s="2210"/>
      <c r="M231" s="2210"/>
      <c r="N231" s="2210"/>
      <c r="O231" s="2210"/>
      <c r="P231" s="2211"/>
      <c r="Q231" s="2257">
        <v>3236</v>
      </c>
      <c r="R231" s="2224"/>
      <c r="S231" s="2224"/>
      <c r="T231" s="508" t="s">
        <v>1292</v>
      </c>
      <c r="U231" s="2224" t="s">
        <v>1031</v>
      </c>
      <c r="V231" s="2224"/>
      <c r="W231" s="2224"/>
      <c r="X231" s="508" t="s">
        <v>779</v>
      </c>
      <c r="Y231" s="2224">
        <v>1048</v>
      </c>
      <c r="Z231" s="2224"/>
      <c r="AA231" s="2224"/>
      <c r="AB231" s="508" t="s">
        <v>786</v>
      </c>
      <c r="AC231" s="2224"/>
      <c r="AD231" s="2224"/>
      <c r="AE231" s="2224"/>
      <c r="AF231" s="508" t="s">
        <v>786</v>
      </c>
      <c r="AG231" s="2224"/>
      <c r="AH231" s="2224"/>
      <c r="AI231" s="2224"/>
      <c r="AJ231" s="2212">
        <f t="shared" si="52"/>
        <v>4280</v>
      </c>
      <c r="AK231" s="2213"/>
      <c r="AL231" s="2214"/>
      <c r="AM231" s="2215">
        <v>1</v>
      </c>
      <c r="AN231" s="2216"/>
      <c r="AO231" s="2217"/>
      <c r="AP231" s="2209">
        <f t="shared" si="53"/>
        <v>4280</v>
      </c>
      <c r="AQ231" s="2210"/>
      <c r="AR231" s="2211"/>
      <c r="AS231" s="2203">
        <f ca="1">SUMIF(床・天井!P$6:P$89,F231,床・天井!I$6:I$89)+SUMIF(見積拾!C$41:D$45,F231,見積拾!T$41:T$45)</f>
        <v>0</v>
      </c>
      <c r="AT231" s="2204"/>
      <c r="AU231" s="2204"/>
      <c r="AV231" s="2205"/>
      <c r="AW231" s="2206">
        <f t="shared" ca="1" si="54"/>
        <v>0</v>
      </c>
      <c r="AX231" s="2207"/>
      <c r="AY231" s="2207"/>
      <c r="AZ231" s="2208"/>
      <c r="BA231" s="2200"/>
      <c r="BB231" s="956" t="b">
        <f t="shared" ca="1" si="55"/>
        <v>0</v>
      </c>
    </row>
    <row r="232" spans="2:54" ht="13.5" customHeight="1">
      <c r="B232" s="2445"/>
      <c r="C232" s="2521"/>
      <c r="D232" s="2500"/>
      <c r="E232" s="957" t="s">
        <v>777</v>
      </c>
      <c r="F232" s="2210" t="s">
        <v>1301</v>
      </c>
      <c r="G232" s="2210"/>
      <c r="H232" s="2210"/>
      <c r="I232" s="2210"/>
      <c r="J232" s="2210"/>
      <c r="K232" s="2210"/>
      <c r="L232" s="2210"/>
      <c r="M232" s="2210"/>
      <c r="N232" s="2210"/>
      <c r="O232" s="2210"/>
      <c r="P232" s="2211"/>
      <c r="Q232" s="2257">
        <v>2875</v>
      </c>
      <c r="R232" s="2224"/>
      <c r="S232" s="2224"/>
      <c r="T232" s="508" t="s">
        <v>1292</v>
      </c>
      <c r="U232" s="2224" t="s">
        <v>1031</v>
      </c>
      <c r="V232" s="2224"/>
      <c r="W232" s="2224"/>
      <c r="X232" s="508" t="s">
        <v>779</v>
      </c>
      <c r="Y232" s="2224">
        <v>1048</v>
      </c>
      <c r="Z232" s="2224"/>
      <c r="AA232" s="2224"/>
      <c r="AB232" s="508" t="s">
        <v>40</v>
      </c>
      <c r="AC232" s="2224"/>
      <c r="AD232" s="2224"/>
      <c r="AE232" s="2224"/>
      <c r="AF232" s="508" t="s">
        <v>40</v>
      </c>
      <c r="AG232" s="2224"/>
      <c r="AH232" s="2224"/>
      <c r="AI232" s="2224"/>
      <c r="AJ232" s="2212">
        <f t="shared" ref="AJ232:AJ233" si="56">ROUNDDOWN(SUM(Q232:AI232),-1)</f>
        <v>3920</v>
      </c>
      <c r="AK232" s="2213"/>
      <c r="AL232" s="2214"/>
      <c r="AM232" s="2215">
        <v>1</v>
      </c>
      <c r="AN232" s="2216"/>
      <c r="AO232" s="2217"/>
      <c r="AP232" s="2209">
        <f t="shared" ref="AP232:AP233" si="57">INT(AJ232*AM232)</f>
        <v>3920</v>
      </c>
      <c r="AQ232" s="2210"/>
      <c r="AR232" s="2211"/>
      <c r="AS232" s="2203">
        <f ca="1">SUMIF(床・天井!P$6:P$89,F232,床・天井!I$6:I$89)+SUMIF(見積拾!C$41:D$45,F232,見積拾!T$41:T$45)</f>
        <v>0</v>
      </c>
      <c r="AT232" s="2204"/>
      <c r="AU232" s="2204"/>
      <c r="AV232" s="2205"/>
      <c r="AW232" s="2206">
        <f t="shared" ref="AW232:AW233" ca="1" si="58">INT(AP232*AS232)</f>
        <v>0</v>
      </c>
      <c r="AX232" s="2207"/>
      <c r="AY232" s="2207"/>
      <c r="AZ232" s="2208"/>
      <c r="BA232" s="2200"/>
      <c r="BB232" s="956" t="b">
        <f t="shared" ref="BB232:BB233" ca="1" si="59">AW232&lt;&gt;0</f>
        <v>0</v>
      </c>
    </row>
    <row r="233" spans="2:54" ht="13.5" customHeight="1">
      <c r="B233" s="2445"/>
      <c r="C233" s="2521"/>
      <c r="D233" s="2500"/>
      <c r="E233" s="957" t="s">
        <v>777</v>
      </c>
      <c r="F233" s="2210" t="s">
        <v>1302</v>
      </c>
      <c r="G233" s="2210"/>
      <c r="H233" s="2210"/>
      <c r="I233" s="2210"/>
      <c r="J233" s="2210"/>
      <c r="K233" s="2210"/>
      <c r="L233" s="2210"/>
      <c r="M233" s="2210"/>
      <c r="N233" s="2210"/>
      <c r="O233" s="2210"/>
      <c r="P233" s="2211"/>
      <c r="Q233" s="2257">
        <v>5448</v>
      </c>
      <c r="R233" s="2224"/>
      <c r="S233" s="2224"/>
      <c r="T233" s="508" t="s">
        <v>1292</v>
      </c>
      <c r="U233" s="2224" t="s">
        <v>1031</v>
      </c>
      <c r="V233" s="2224"/>
      <c r="W233" s="2224"/>
      <c r="X233" s="508" t="s">
        <v>779</v>
      </c>
      <c r="Y233" s="2225" t="s">
        <v>5685</v>
      </c>
      <c r="Z233" s="2225"/>
      <c r="AA233" s="2225"/>
      <c r="AB233" s="508" t="s">
        <v>40</v>
      </c>
      <c r="AC233" s="2224"/>
      <c r="AD233" s="2224"/>
      <c r="AE233" s="2224"/>
      <c r="AF233" s="508" t="s">
        <v>40</v>
      </c>
      <c r="AG233" s="2224"/>
      <c r="AH233" s="2224"/>
      <c r="AI233" s="2224"/>
      <c r="AJ233" s="2212">
        <f t="shared" si="56"/>
        <v>5440</v>
      </c>
      <c r="AK233" s="2213"/>
      <c r="AL233" s="2214"/>
      <c r="AM233" s="2215">
        <v>1</v>
      </c>
      <c r="AN233" s="2216"/>
      <c r="AO233" s="2217"/>
      <c r="AP233" s="2209">
        <f t="shared" si="57"/>
        <v>5440</v>
      </c>
      <c r="AQ233" s="2210"/>
      <c r="AR233" s="2211"/>
      <c r="AS233" s="2203">
        <f ca="1">SUMIF(床・天井!P$6:P$89,F233,床・天井!I$6:I$89)+SUMIF(見積拾!C$41:D$45,F233,見積拾!T$41:T$45)</f>
        <v>0</v>
      </c>
      <c r="AT233" s="2204"/>
      <c r="AU233" s="2204"/>
      <c r="AV233" s="2205"/>
      <c r="AW233" s="2206">
        <f t="shared" ca="1" si="58"/>
        <v>0</v>
      </c>
      <c r="AX233" s="2207"/>
      <c r="AY233" s="2207"/>
      <c r="AZ233" s="2208"/>
      <c r="BA233" s="2200"/>
      <c r="BB233" s="956" t="b">
        <f t="shared" ca="1" si="59"/>
        <v>0</v>
      </c>
    </row>
    <row r="234" spans="2:54" ht="13.5" customHeight="1">
      <c r="B234" s="2445"/>
      <c r="C234" s="2521"/>
      <c r="D234" s="2500"/>
      <c r="E234" s="957" t="s">
        <v>777</v>
      </c>
      <c r="F234" s="2210" t="s">
        <v>1303</v>
      </c>
      <c r="G234" s="2210"/>
      <c r="H234" s="2210"/>
      <c r="I234" s="2210"/>
      <c r="J234" s="2210"/>
      <c r="K234" s="2210"/>
      <c r="L234" s="2210"/>
      <c r="M234" s="2210"/>
      <c r="N234" s="2210"/>
      <c r="O234" s="2210"/>
      <c r="P234" s="2211"/>
      <c r="Q234" s="2257">
        <v>4186</v>
      </c>
      <c r="R234" s="2224"/>
      <c r="S234" s="2224"/>
      <c r="T234" s="508" t="s">
        <v>1292</v>
      </c>
      <c r="U234" s="2224" t="s">
        <v>1031</v>
      </c>
      <c r="V234" s="2224"/>
      <c r="W234" s="2224"/>
      <c r="X234" s="508" t="s">
        <v>779</v>
      </c>
      <c r="Y234" s="2225" t="s">
        <v>5685</v>
      </c>
      <c r="Z234" s="2225"/>
      <c r="AA234" s="2225"/>
      <c r="AB234" s="508" t="s">
        <v>786</v>
      </c>
      <c r="AC234" s="2224"/>
      <c r="AD234" s="2224"/>
      <c r="AE234" s="2224"/>
      <c r="AF234" s="508" t="s">
        <v>786</v>
      </c>
      <c r="AG234" s="2224"/>
      <c r="AH234" s="2224"/>
      <c r="AI234" s="2224"/>
      <c r="AJ234" s="2212">
        <f t="shared" si="52"/>
        <v>4180</v>
      </c>
      <c r="AK234" s="2213"/>
      <c r="AL234" s="2214"/>
      <c r="AM234" s="2215">
        <v>1</v>
      </c>
      <c r="AN234" s="2216"/>
      <c r="AO234" s="2217"/>
      <c r="AP234" s="2209">
        <f t="shared" si="53"/>
        <v>4180</v>
      </c>
      <c r="AQ234" s="2210"/>
      <c r="AR234" s="2211"/>
      <c r="AS234" s="2203">
        <f ca="1">SUMIF(床・天井!P$6:P$89,F234,床・天井!I$6:I$89)+SUMIF(見積拾!C$41:D$45,F234,見積拾!T$41:T$45)</f>
        <v>0</v>
      </c>
      <c r="AT234" s="2204"/>
      <c r="AU234" s="2204"/>
      <c r="AV234" s="2205"/>
      <c r="AW234" s="2206">
        <f t="shared" ca="1" si="54"/>
        <v>0</v>
      </c>
      <c r="AX234" s="2207"/>
      <c r="AY234" s="2207"/>
      <c r="AZ234" s="2208"/>
      <c r="BA234" s="2200"/>
      <c r="BB234" s="956" t="b">
        <f t="shared" ca="1" si="55"/>
        <v>0</v>
      </c>
    </row>
    <row r="235" spans="2:54" ht="13.5" customHeight="1">
      <c r="B235" s="2445"/>
      <c r="C235" s="2521"/>
      <c r="D235" s="2500"/>
      <c r="E235" s="957" t="s">
        <v>777</v>
      </c>
      <c r="F235" s="2210" t="s">
        <v>1534</v>
      </c>
      <c r="G235" s="2210"/>
      <c r="H235" s="2210"/>
      <c r="I235" s="2210"/>
      <c r="J235" s="2210"/>
      <c r="K235" s="2210"/>
      <c r="L235" s="2210"/>
      <c r="M235" s="2210"/>
      <c r="N235" s="2210"/>
      <c r="O235" s="2210"/>
      <c r="P235" s="2211"/>
      <c r="Q235" s="2257">
        <v>6261</v>
      </c>
      <c r="R235" s="2224"/>
      <c r="S235" s="2224"/>
      <c r="T235" s="508" t="s">
        <v>1292</v>
      </c>
      <c r="U235" s="2224" t="s">
        <v>1031</v>
      </c>
      <c r="V235" s="2224"/>
      <c r="W235" s="2224"/>
      <c r="X235" s="508" t="s">
        <v>779</v>
      </c>
      <c r="Y235" s="2224">
        <v>1900</v>
      </c>
      <c r="Z235" s="2224"/>
      <c r="AA235" s="2224"/>
      <c r="AB235" s="508" t="s">
        <v>784</v>
      </c>
      <c r="AC235" s="2224"/>
      <c r="AD235" s="2224"/>
      <c r="AE235" s="2224"/>
      <c r="AF235" s="508" t="s">
        <v>784</v>
      </c>
      <c r="AG235" s="2224"/>
      <c r="AH235" s="2224"/>
      <c r="AI235" s="2224"/>
      <c r="AJ235" s="2212">
        <f t="shared" ref="AJ235" si="60">ROUNDDOWN(SUM(Q235:AI235),-1)</f>
        <v>8160</v>
      </c>
      <c r="AK235" s="2213"/>
      <c r="AL235" s="2214"/>
      <c r="AM235" s="2215">
        <v>1</v>
      </c>
      <c r="AN235" s="2216"/>
      <c r="AO235" s="2217"/>
      <c r="AP235" s="2209">
        <f t="shared" ref="AP235" si="61">INT(AJ235*AM235)</f>
        <v>8160</v>
      </c>
      <c r="AQ235" s="2210"/>
      <c r="AR235" s="2211"/>
      <c r="AS235" s="2203">
        <f ca="1">SUMIF(床・天井!P$6:P$89,F235,床・天井!I$6:I$89)+SUMIF(見積拾!C$41:D$45,F235,見積拾!T$41:T$45)</f>
        <v>0</v>
      </c>
      <c r="AT235" s="2204"/>
      <c r="AU235" s="2204"/>
      <c r="AV235" s="2205"/>
      <c r="AW235" s="2206">
        <f t="shared" ref="AW235" ca="1" si="62">INT(AP235*AS235)</f>
        <v>0</v>
      </c>
      <c r="AX235" s="2207"/>
      <c r="AY235" s="2207"/>
      <c r="AZ235" s="2208"/>
      <c r="BA235" s="2200"/>
      <c r="BB235" s="956" t="b">
        <f t="shared" ref="BB235" ca="1" si="63">AW235&lt;&gt;0</f>
        <v>0</v>
      </c>
    </row>
    <row r="236" spans="2:54" ht="13.5" customHeight="1">
      <c r="B236" s="2445"/>
      <c r="C236" s="2521"/>
      <c r="D236" s="2500"/>
      <c r="E236" s="957" t="s">
        <v>777</v>
      </c>
      <c r="F236" s="2210" t="s">
        <v>1535</v>
      </c>
      <c r="G236" s="2210"/>
      <c r="H236" s="2210"/>
      <c r="I236" s="2210"/>
      <c r="J236" s="2210"/>
      <c r="K236" s="2210"/>
      <c r="L236" s="2210"/>
      <c r="M236" s="2210"/>
      <c r="N236" s="2210"/>
      <c r="O236" s="2210"/>
      <c r="P236" s="2211"/>
      <c r="Q236" s="2257">
        <v>5578</v>
      </c>
      <c r="R236" s="2224"/>
      <c r="S236" s="2224"/>
      <c r="T236" s="508" t="s">
        <v>1292</v>
      </c>
      <c r="U236" s="2224" t="s">
        <v>1031</v>
      </c>
      <c r="V236" s="2224"/>
      <c r="W236" s="2224"/>
      <c r="X236" s="508" t="s">
        <v>779</v>
      </c>
      <c r="Y236" s="2224">
        <v>1900</v>
      </c>
      <c r="Z236" s="2224"/>
      <c r="AA236" s="2224"/>
      <c r="AB236" s="508" t="s">
        <v>786</v>
      </c>
      <c r="AC236" s="2224"/>
      <c r="AD236" s="2224"/>
      <c r="AE236" s="2224"/>
      <c r="AF236" s="508" t="s">
        <v>786</v>
      </c>
      <c r="AG236" s="2224"/>
      <c r="AH236" s="2224"/>
      <c r="AI236" s="2224"/>
      <c r="AJ236" s="2212">
        <f t="shared" si="52"/>
        <v>7470</v>
      </c>
      <c r="AK236" s="2213"/>
      <c r="AL236" s="2214"/>
      <c r="AM236" s="2215">
        <v>1</v>
      </c>
      <c r="AN236" s="2216"/>
      <c r="AO236" s="2217"/>
      <c r="AP236" s="2209">
        <f t="shared" si="53"/>
        <v>7470</v>
      </c>
      <c r="AQ236" s="2210"/>
      <c r="AR236" s="2211"/>
      <c r="AS236" s="2203">
        <f ca="1">SUMIF(床・天井!P$6:P$89,F236,床・天井!I$6:I$89)+SUMIF(見積拾!C$41:D$45,F236,見積拾!T$41:T$45)</f>
        <v>0</v>
      </c>
      <c r="AT236" s="2204"/>
      <c r="AU236" s="2204"/>
      <c r="AV236" s="2205"/>
      <c r="AW236" s="2206">
        <f t="shared" ca="1" si="54"/>
        <v>0</v>
      </c>
      <c r="AX236" s="2207"/>
      <c r="AY236" s="2207"/>
      <c r="AZ236" s="2208"/>
      <c r="BA236" s="2200"/>
      <c r="BB236" s="956" t="b">
        <f t="shared" ca="1" si="55"/>
        <v>0</v>
      </c>
    </row>
    <row r="237" spans="2:54" ht="13.5" customHeight="1">
      <c r="B237" s="2445"/>
      <c r="C237" s="2521"/>
      <c r="D237" s="2500"/>
      <c r="E237" s="957" t="s">
        <v>777</v>
      </c>
      <c r="F237" s="2210" t="s">
        <v>1536</v>
      </c>
      <c r="G237" s="2210"/>
      <c r="H237" s="2210"/>
      <c r="I237" s="2210"/>
      <c r="J237" s="2210"/>
      <c r="K237" s="2210"/>
      <c r="L237" s="2210"/>
      <c r="M237" s="2210"/>
      <c r="N237" s="2210"/>
      <c r="O237" s="2210"/>
      <c r="P237" s="2211"/>
      <c r="Q237" s="2257">
        <v>5217</v>
      </c>
      <c r="R237" s="2224"/>
      <c r="S237" s="2224"/>
      <c r="T237" s="508" t="s">
        <v>1292</v>
      </c>
      <c r="U237" s="2224" t="s">
        <v>1031</v>
      </c>
      <c r="V237" s="2224"/>
      <c r="W237" s="2224"/>
      <c r="X237" s="508" t="s">
        <v>779</v>
      </c>
      <c r="Y237" s="2224">
        <v>1900</v>
      </c>
      <c r="Z237" s="2224"/>
      <c r="AA237" s="2224"/>
      <c r="AB237" s="508" t="s">
        <v>786</v>
      </c>
      <c r="AC237" s="2224"/>
      <c r="AD237" s="2224"/>
      <c r="AE237" s="2224"/>
      <c r="AF237" s="508" t="s">
        <v>786</v>
      </c>
      <c r="AG237" s="2224"/>
      <c r="AH237" s="2224"/>
      <c r="AI237" s="2224"/>
      <c r="AJ237" s="2212">
        <f t="shared" si="52"/>
        <v>7110</v>
      </c>
      <c r="AK237" s="2213"/>
      <c r="AL237" s="2214"/>
      <c r="AM237" s="2215">
        <v>1</v>
      </c>
      <c r="AN237" s="2216"/>
      <c r="AO237" s="2217"/>
      <c r="AP237" s="2209">
        <f t="shared" si="53"/>
        <v>7110</v>
      </c>
      <c r="AQ237" s="2210"/>
      <c r="AR237" s="2211"/>
      <c r="AS237" s="2203">
        <f ca="1">SUMIF(床・天井!P$6:P$89,F237,床・天井!I$6:I$89)+SUMIF(見積拾!C$41:D$45,F237,見積拾!T$41:T$45)</f>
        <v>0</v>
      </c>
      <c r="AT237" s="2204"/>
      <c r="AU237" s="2204"/>
      <c r="AV237" s="2205"/>
      <c r="AW237" s="2206">
        <f t="shared" ca="1" si="54"/>
        <v>0</v>
      </c>
      <c r="AX237" s="2207"/>
      <c r="AY237" s="2207"/>
      <c r="AZ237" s="2208"/>
      <c r="BA237" s="2200"/>
      <c r="BB237" s="956" t="b">
        <f t="shared" ca="1" si="55"/>
        <v>0</v>
      </c>
    </row>
    <row r="238" spans="2:54" ht="13.5" customHeight="1">
      <c r="B238" s="2445"/>
      <c r="C238" s="2521"/>
      <c r="D238" s="2500"/>
      <c r="E238" s="957" t="s">
        <v>777</v>
      </c>
      <c r="F238" s="2210" t="s">
        <v>1537</v>
      </c>
      <c r="G238" s="2210"/>
      <c r="H238" s="2210"/>
      <c r="I238" s="2210"/>
      <c r="J238" s="2210"/>
      <c r="K238" s="2210"/>
      <c r="L238" s="2210"/>
      <c r="M238" s="2210"/>
      <c r="N238" s="2210"/>
      <c r="O238" s="2210"/>
      <c r="P238" s="2211"/>
      <c r="Q238" s="2257">
        <v>9985</v>
      </c>
      <c r="R238" s="2224"/>
      <c r="S238" s="2224"/>
      <c r="T238" s="508" t="s">
        <v>1292</v>
      </c>
      <c r="U238" s="2224" t="s">
        <v>1031</v>
      </c>
      <c r="V238" s="2224"/>
      <c r="W238" s="2224"/>
      <c r="X238" s="508" t="s">
        <v>779</v>
      </c>
      <c r="Y238" s="2225" t="s">
        <v>5685</v>
      </c>
      <c r="Z238" s="2225"/>
      <c r="AA238" s="2225"/>
      <c r="AB238" s="508" t="s">
        <v>784</v>
      </c>
      <c r="AC238" s="2224"/>
      <c r="AD238" s="2224"/>
      <c r="AE238" s="2224"/>
      <c r="AF238" s="508" t="s">
        <v>784</v>
      </c>
      <c r="AG238" s="2224"/>
      <c r="AH238" s="2224"/>
      <c r="AI238" s="2224"/>
      <c r="AJ238" s="2212">
        <f t="shared" si="52"/>
        <v>9980</v>
      </c>
      <c r="AK238" s="2213"/>
      <c r="AL238" s="2214"/>
      <c r="AM238" s="2215">
        <v>1</v>
      </c>
      <c r="AN238" s="2216"/>
      <c r="AO238" s="2217"/>
      <c r="AP238" s="2209">
        <f t="shared" si="53"/>
        <v>9980</v>
      </c>
      <c r="AQ238" s="2210"/>
      <c r="AR238" s="2211"/>
      <c r="AS238" s="2203">
        <f ca="1">SUMIF(床・天井!P$6:P$89,F238,床・天井!I$6:I$89)+SUMIF(見積拾!C$41:D$45,F238,見積拾!T$41:T$45)</f>
        <v>0</v>
      </c>
      <c r="AT238" s="2204"/>
      <c r="AU238" s="2204"/>
      <c r="AV238" s="2205"/>
      <c r="AW238" s="2206">
        <f t="shared" ca="1" si="54"/>
        <v>0</v>
      </c>
      <c r="AX238" s="2207"/>
      <c r="AY238" s="2207"/>
      <c r="AZ238" s="2208"/>
      <c r="BA238" s="2200"/>
      <c r="BB238" s="956" t="b">
        <f t="shared" ca="1" si="55"/>
        <v>0</v>
      </c>
    </row>
    <row r="239" spans="2:54" ht="13.5" customHeight="1">
      <c r="B239" s="2445"/>
      <c r="C239" s="2521"/>
      <c r="D239" s="2500"/>
      <c r="E239" s="957" t="s">
        <v>777</v>
      </c>
      <c r="F239" s="2210" t="s">
        <v>1538</v>
      </c>
      <c r="G239" s="2210"/>
      <c r="H239" s="2210"/>
      <c r="I239" s="2210"/>
      <c r="J239" s="2210"/>
      <c r="K239" s="2210"/>
      <c r="L239" s="2210"/>
      <c r="M239" s="2210"/>
      <c r="N239" s="2210"/>
      <c r="O239" s="2210"/>
      <c r="P239" s="2211"/>
      <c r="Q239" s="2257">
        <v>8723</v>
      </c>
      <c r="R239" s="2224"/>
      <c r="S239" s="2224"/>
      <c r="T239" s="508" t="s">
        <v>1292</v>
      </c>
      <c r="U239" s="2224" t="s">
        <v>1031</v>
      </c>
      <c r="V239" s="2224"/>
      <c r="W239" s="2224"/>
      <c r="X239" s="508" t="s">
        <v>779</v>
      </c>
      <c r="Y239" s="2225" t="s">
        <v>5685</v>
      </c>
      <c r="Z239" s="2225"/>
      <c r="AA239" s="2225"/>
      <c r="AB239" s="508" t="s">
        <v>40</v>
      </c>
      <c r="AC239" s="2224"/>
      <c r="AD239" s="2224"/>
      <c r="AE239" s="2224"/>
      <c r="AF239" s="508" t="s">
        <v>40</v>
      </c>
      <c r="AG239" s="2224"/>
      <c r="AH239" s="2224"/>
      <c r="AI239" s="2224"/>
      <c r="AJ239" s="2212">
        <f t="shared" ref="AJ239" si="64">ROUNDDOWN(SUM(Q239:AI239),-1)</f>
        <v>8720</v>
      </c>
      <c r="AK239" s="2213"/>
      <c r="AL239" s="2214"/>
      <c r="AM239" s="2215">
        <v>1</v>
      </c>
      <c r="AN239" s="2216"/>
      <c r="AO239" s="2217"/>
      <c r="AP239" s="2209">
        <f t="shared" ref="AP239" si="65">INT(AJ239*AM239)</f>
        <v>8720</v>
      </c>
      <c r="AQ239" s="2210"/>
      <c r="AR239" s="2211"/>
      <c r="AS239" s="2203">
        <f ca="1">SUMIF(床・天井!P$6:P$89,F239,床・天井!I$6:I$89)+SUMIF(見積拾!C$41:D$45,F239,見積拾!T$41:T$45)</f>
        <v>0</v>
      </c>
      <c r="AT239" s="2204"/>
      <c r="AU239" s="2204"/>
      <c r="AV239" s="2205"/>
      <c r="AW239" s="2206">
        <f t="shared" ref="AW239" ca="1" si="66">INT(AP239*AS239)</f>
        <v>0</v>
      </c>
      <c r="AX239" s="2207"/>
      <c r="AY239" s="2207"/>
      <c r="AZ239" s="2208"/>
      <c r="BA239" s="2200"/>
      <c r="BB239" s="956" t="b">
        <f t="shared" ref="BB239" ca="1" si="67">AW239&lt;&gt;0</f>
        <v>0</v>
      </c>
    </row>
    <row r="240" spans="2:54" ht="13.5" customHeight="1">
      <c r="B240" s="2445"/>
      <c r="C240" s="2521"/>
      <c r="D240" s="2500"/>
      <c r="E240" s="957" t="s">
        <v>777</v>
      </c>
      <c r="F240" s="2210" t="s">
        <v>1307</v>
      </c>
      <c r="G240" s="2210"/>
      <c r="H240" s="2210"/>
      <c r="I240" s="2210"/>
      <c r="J240" s="2210"/>
      <c r="K240" s="2210"/>
      <c r="L240" s="2210"/>
      <c r="M240" s="2210"/>
      <c r="N240" s="2210"/>
      <c r="O240" s="2210"/>
      <c r="P240" s="2211"/>
      <c r="Q240" s="2257">
        <v>3469</v>
      </c>
      <c r="R240" s="2224"/>
      <c r="S240" s="2224"/>
      <c r="T240" s="508" t="s">
        <v>1292</v>
      </c>
      <c r="U240" s="2224" t="s">
        <v>1031</v>
      </c>
      <c r="V240" s="2224"/>
      <c r="W240" s="2224"/>
      <c r="X240" s="508" t="s">
        <v>779</v>
      </c>
      <c r="Y240" s="2224">
        <v>580</v>
      </c>
      <c r="Z240" s="2224"/>
      <c r="AA240" s="2224"/>
      <c r="AB240" s="508" t="s">
        <v>784</v>
      </c>
      <c r="AC240" s="2224" t="s">
        <v>788</v>
      </c>
      <c r="AD240" s="2224"/>
      <c r="AE240" s="2224"/>
      <c r="AF240" s="508" t="s">
        <v>784</v>
      </c>
      <c r="AG240" s="2224"/>
      <c r="AH240" s="2224"/>
      <c r="AI240" s="2224"/>
      <c r="AJ240" s="2212">
        <f t="shared" si="52"/>
        <v>4040</v>
      </c>
      <c r="AK240" s="2213"/>
      <c r="AL240" s="2214"/>
      <c r="AM240" s="2215">
        <v>1</v>
      </c>
      <c r="AN240" s="2216"/>
      <c r="AO240" s="2217"/>
      <c r="AP240" s="2209">
        <f t="shared" si="53"/>
        <v>4040</v>
      </c>
      <c r="AQ240" s="2210"/>
      <c r="AR240" s="2211"/>
      <c r="AS240" s="2203">
        <f ca="1">SUMIF(床・天井!P$6:P$89,F240,床・天井!I$6:I$89)+SUMIF(見積拾!C$41:D$45,F240,見積拾!T$41:T$45)</f>
        <v>0</v>
      </c>
      <c r="AT240" s="2204"/>
      <c r="AU240" s="2204"/>
      <c r="AV240" s="2205"/>
      <c r="AW240" s="2206">
        <f t="shared" ca="1" si="54"/>
        <v>0</v>
      </c>
      <c r="AX240" s="2207"/>
      <c r="AY240" s="2207"/>
      <c r="AZ240" s="2208"/>
      <c r="BA240" s="2200"/>
      <c r="BB240" s="956" t="b">
        <f t="shared" ca="1" si="55"/>
        <v>0</v>
      </c>
    </row>
    <row r="241" spans="2:54" ht="13.5" customHeight="1">
      <c r="B241" s="2445"/>
      <c r="C241" s="2521"/>
      <c r="D241" s="2500"/>
      <c r="E241" s="957" t="s">
        <v>777</v>
      </c>
      <c r="F241" s="2210" t="s">
        <v>5601</v>
      </c>
      <c r="G241" s="2210"/>
      <c r="H241" s="2210"/>
      <c r="I241" s="2210"/>
      <c r="J241" s="2210"/>
      <c r="K241" s="2210"/>
      <c r="L241" s="2210"/>
      <c r="M241" s="2210"/>
      <c r="N241" s="2210"/>
      <c r="O241" s="2210"/>
      <c r="P241" s="2211"/>
      <c r="Q241" s="2257">
        <v>25740</v>
      </c>
      <c r="R241" s="2224"/>
      <c r="S241" s="2224"/>
      <c r="T241" s="508" t="s">
        <v>1292</v>
      </c>
      <c r="U241" s="2224">
        <v>4369</v>
      </c>
      <c r="V241" s="2224"/>
      <c r="W241" s="2224"/>
      <c r="X241" s="508" t="s">
        <v>779</v>
      </c>
      <c r="Y241" s="2224">
        <v>755</v>
      </c>
      <c r="Z241" s="2224"/>
      <c r="AA241" s="2224"/>
      <c r="AB241" s="508" t="s">
        <v>787</v>
      </c>
      <c r="AC241" s="2224"/>
      <c r="AD241" s="2224"/>
      <c r="AE241" s="2224"/>
      <c r="AF241" s="508" t="s">
        <v>787</v>
      </c>
      <c r="AG241" s="2224"/>
      <c r="AH241" s="2224"/>
      <c r="AI241" s="2224"/>
      <c r="AJ241" s="2212">
        <f t="shared" si="52"/>
        <v>30860</v>
      </c>
      <c r="AK241" s="2213"/>
      <c r="AL241" s="2214"/>
      <c r="AM241" s="2215">
        <v>1</v>
      </c>
      <c r="AN241" s="2216"/>
      <c r="AO241" s="2217"/>
      <c r="AP241" s="2209">
        <f t="shared" si="53"/>
        <v>30860</v>
      </c>
      <c r="AQ241" s="2210"/>
      <c r="AR241" s="2211"/>
      <c r="AS241" s="2203">
        <f ca="1">SUMIF(床・天井!P$6:P$89,F241,床・天井!I$6:I$89)+SUMIF(見積拾!C$41:D$45,F241,見積拾!T$41:T$45)</f>
        <v>0</v>
      </c>
      <c r="AT241" s="2204"/>
      <c r="AU241" s="2204"/>
      <c r="AV241" s="2205"/>
      <c r="AW241" s="2206">
        <f t="shared" ca="1" si="54"/>
        <v>0</v>
      </c>
      <c r="AX241" s="2207"/>
      <c r="AY241" s="2207"/>
      <c r="AZ241" s="2208"/>
      <c r="BA241" s="2200"/>
      <c r="BB241" s="956" t="b">
        <f t="shared" ca="1" si="55"/>
        <v>0</v>
      </c>
    </row>
    <row r="242" spans="2:54" ht="13.5" customHeight="1">
      <c r="B242" s="2445"/>
      <c r="C242" s="2521"/>
      <c r="D242" s="2500"/>
      <c r="E242" s="1703" t="s">
        <v>781</v>
      </c>
      <c r="F242" s="2570" t="s">
        <v>782</v>
      </c>
      <c r="G242" s="2571"/>
      <c r="H242" s="2571"/>
      <c r="I242" s="2571"/>
      <c r="J242" s="2571"/>
      <c r="K242" s="2571"/>
      <c r="L242" s="2571"/>
      <c r="M242" s="2571"/>
      <c r="N242" s="2571"/>
      <c r="O242" s="2571"/>
      <c r="P242" s="2572"/>
      <c r="Q242" s="2323"/>
      <c r="R242" s="2259"/>
      <c r="S242" s="2259"/>
      <c r="T242" s="508" t="s">
        <v>789</v>
      </c>
      <c r="U242" s="2258"/>
      <c r="V242" s="2259"/>
      <c r="W242" s="2259"/>
      <c r="X242" s="508" t="s">
        <v>789</v>
      </c>
      <c r="Y242" s="2258"/>
      <c r="Z242" s="2259"/>
      <c r="AA242" s="2259"/>
      <c r="AB242" s="508" t="s">
        <v>789</v>
      </c>
      <c r="AC242" s="2258"/>
      <c r="AD242" s="2259"/>
      <c r="AE242" s="2259"/>
      <c r="AF242" s="508" t="s">
        <v>789</v>
      </c>
      <c r="AG242" s="2258"/>
      <c r="AH242" s="2259"/>
      <c r="AI242" s="2259"/>
      <c r="AJ242" s="2212">
        <f t="shared" si="52"/>
        <v>0</v>
      </c>
      <c r="AK242" s="2213"/>
      <c r="AL242" s="2214"/>
      <c r="AM242" s="2215">
        <v>1</v>
      </c>
      <c r="AN242" s="2216"/>
      <c r="AO242" s="2217"/>
      <c r="AP242" s="2209">
        <f t="shared" si="53"/>
        <v>0</v>
      </c>
      <c r="AQ242" s="2210"/>
      <c r="AR242" s="2211"/>
      <c r="AS242" s="2203">
        <f ca="1">SUMIF(床・天井!P$6:P$89,F242,床・天井!I$6:I$89)+SUMIF(見積拾!C$41:D$45,F242,見積拾!T$41:T$45)</f>
        <v>0</v>
      </c>
      <c r="AT242" s="2204"/>
      <c r="AU242" s="2204"/>
      <c r="AV242" s="2205"/>
      <c r="AW242" s="2206">
        <f t="shared" ca="1" si="54"/>
        <v>0</v>
      </c>
      <c r="AX242" s="2207"/>
      <c r="AY242" s="2207"/>
      <c r="AZ242" s="2208"/>
      <c r="BA242" s="2200"/>
      <c r="BB242" s="956" t="b">
        <f t="shared" ca="1" si="55"/>
        <v>0</v>
      </c>
    </row>
    <row r="243" spans="2:54" ht="13.5" customHeight="1" thickBot="1">
      <c r="B243" s="2445"/>
      <c r="C243" s="2521"/>
      <c r="D243" s="2500"/>
      <c r="E243" s="1704" t="s">
        <v>781</v>
      </c>
      <c r="F243" s="2599" t="s">
        <v>782</v>
      </c>
      <c r="G243" s="2600"/>
      <c r="H243" s="2600"/>
      <c r="I243" s="2600"/>
      <c r="J243" s="2600"/>
      <c r="K243" s="2600"/>
      <c r="L243" s="2600"/>
      <c r="M243" s="2600"/>
      <c r="N243" s="2600"/>
      <c r="O243" s="2600"/>
      <c r="P243" s="2601"/>
      <c r="Q243" s="2936"/>
      <c r="R243" s="2228"/>
      <c r="S243" s="2228"/>
      <c r="T243" s="509" t="s">
        <v>789</v>
      </c>
      <c r="U243" s="2227"/>
      <c r="V243" s="2228"/>
      <c r="W243" s="2228"/>
      <c r="X243" s="509" t="s">
        <v>789</v>
      </c>
      <c r="Y243" s="2227"/>
      <c r="Z243" s="2228"/>
      <c r="AA243" s="2228"/>
      <c r="AB243" s="509" t="s">
        <v>789</v>
      </c>
      <c r="AC243" s="2227"/>
      <c r="AD243" s="2228"/>
      <c r="AE243" s="2228"/>
      <c r="AF243" s="509" t="s">
        <v>789</v>
      </c>
      <c r="AG243" s="2227"/>
      <c r="AH243" s="2228"/>
      <c r="AI243" s="2228"/>
      <c r="AJ243" s="2212">
        <f t="shared" si="52"/>
        <v>0</v>
      </c>
      <c r="AK243" s="2213"/>
      <c r="AL243" s="2214"/>
      <c r="AM243" s="2215">
        <v>1</v>
      </c>
      <c r="AN243" s="2216"/>
      <c r="AO243" s="2217"/>
      <c r="AP243" s="2604">
        <f t="shared" si="53"/>
        <v>0</v>
      </c>
      <c r="AQ243" s="2605"/>
      <c r="AR243" s="2606"/>
      <c r="AS243" s="2203">
        <f ca="1">SUMIF(床・天井!P$6:P$89,F243,床・天井!I$6:I$89)+SUMIF(見積拾!C$41:D$45,F243,見積拾!T$41:T$45)</f>
        <v>0</v>
      </c>
      <c r="AT243" s="2204"/>
      <c r="AU243" s="2204"/>
      <c r="AV243" s="2205"/>
      <c r="AW243" s="2206">
        <f t="shared" ca="1" si="54"/>
        <v>0</v>
      </c>
      <c r="AX243" s="2207"/>
      <c r="AY243" s="2207"/>
      <c r="AZ243" s="2208"/>
      <c r="BA243" s="2200"/>
      <c r="BB243" s="956" t="b">
        <f t="shared" ca="1" si="55"/>
        <v>0</v>
      </c>
    </row>
    <row r="244" spans="2:54" ht="13.5" customHeight="1" thickBot="1">
      <c r="B244" s="2581"/>
      <c r="C244" s="2582"/>
      <c r="D244" s="2502"/>
      <c r="E244" s="1660"/>
      <c r="F244" s="1658"/>
      <c r="G244" s="1658"/>
      <c r="H244" s="1658"/>
      <c r="I244" s="1658"/>
      <c r="J244" s="1658"/>
      <c r="K244" s="1658"/>
      <c r="L244" s="1658"/>
      <c r="M244" s="1658"/>
      <c r="N244" s="1658"/>
      <c r="O244" s="1658"/>
      <c r="P244" s="1658"/>
      <c r="Q244" s="1660"/>
      <c r="R244" s="1658"/>
      <c r="S244" s="1658"/>
      <c r="T244" s="1658"/>
      <c r="U244" s="1658"/>
      <c r="V244" s="1658"/>
      <c r="W244" s="1658"/>
      <c r="X244" s="1658"/>
      <c r="Y244" s="1658"/>
      <c r="Z244" s="1658"/>
      <c r="AA244" s="1658"/>
      <c r="AB244" s="1658"/>
      <c r="AC244" s="1658"/>
      <c r="AD244" s="1658"/>
      <c r="AE244" s="1658"/>
      <c r="AF244" s="1658"/>
      <c r="AG244" s="1658"/>
      <c r="AH244" s="1658"/>
      <c r="AI244" s="1661"/>
      <c r="AJ244" s="2221" t="str">
        <f ca="1">IF(AS244=床・天井!P91+見積拾!T46,"面積合計及び部分別評点数","補助票と面積が違います！")</f>
        <v>面積合計及び部分別評点数</v>
      </c>
      <c r="AK244" s="2222"/>
      <c r="AL244" s="2222"/>
      <c r="AM244" s="2222"/>
      <c r="AN244" s="2222"/>
      <c r="AO244" s="2222"/>
      <c r="AP244" s="2222"/>
      <c r="AQ244" s="2222"/>
      <c r="AR244" s="2223"/>
      <c r="AS244" s="2254">
        <f ca="1">SUM(AS222:AV243)</f>
        <v>0</v>
      </c>
      <c r="AT244" s="2255"/>
      <c r="AU244" s="2255"/>
      <c r="AV244" s="2256"/>
      <c r="AW244" s="2246">
        <f ca="1">SUM(AW221:AZ243)</f>
        <v>0</v>
      </c>
      <c r="AX244" s="2246"/>
      <c r="AY244" s="2246"/>
      <c r="AZ244" s="2247"/>
      <c r="BA244" s="2200"/>
      <c r="BB244" s="956" t="b">
        <v>1</v>
      </c>
    </row>
    <row r="245" spans="2:54" ht="13.5" customHeight="1">
      <c r="BA245" s="2200"/>
      <c r="BB245" s="956" t="b">
        <v>0</v>
      </c>
    </row>
    <row r="246" spans="2:54" ht="13.5" customHeight="1">
      <c r="BA246" s="2200"/>
      <c r="BB246" s="956" t="b">
        <v>0</v>
      </c>
    </row>
    <row r="247" spans="2:54" ht="13.5" customHeight="1">
      <c r="B247" s="1523"/>
      <c r="C247" s="2089" t="s">
        <v>5698</v>
      </c>
      <c r="D247" s="2090"/>
      <c r="E247" s="2090"/>
      <c r="F247" s="2090"/>
      <c r="G247" s="2090"/>
      <c r="H247" s="2090"/>
      <c r="I247" s="2090"/>
      <c r="J247" s="2090"/>
      <c r="BA247" s="2200"/>
      <c r="BB247" s="956" t="b">
        <v>0</v>
      </c>
    </row>
    <row r="248" spans="2:54" ht="13.5" customHeight="1">
      <c r="BA248" s="2200"/>
      <c r="BB248" s="956" t="b">
        <v>0</v>
      </c>
    </row>
    <row r="249" spans="2:54" ht="13.5" customHeight="1">
      <c r="B249" s="1578"/>
      <c r="C249" s="1579"/>
      <c r="D249" s="1580"/>
      <c r="E249" s="1654" t="s">
        <v>663</v>
      </c>
      <c r="F249" s="1591"/>
      <c r="G249" s="1591"/>
      <c r="H249" s="1591"/>
      <c r="I249" s="1591"/>
      <c r="J249" s="1591"/>
      <c r="K249" s="1591"/>
      <c r="L249" s="1591"/>
      <c r="M249" s="1591"/>
      <c r="N249" s="1591"/>
      <c r="O249" s="1591"/>
      <c r="P249" s="1592"/>
      <c r="Q249" s="1591" t="s">
        <v>769</v>
      </c>
      <c r="R249" s="1591"/>
      <c r="S249" s="1591"/>
      <c r="T249" s="1658"/>
      <c r="U249" s="1591" t="s">
        <v>770</v>
      </c>
      <c r="V249" s="1591"/>
      <c r="W249" s="1591"/>
      <c r="X249" s="1658"/>
      <c r="Y249" s="1591" t="s">
        <v>771</v>
      </c>
      <c r="Z249" s="1591"/>
      <c r="AA249" s="1591"/>
      <c r="AB249" s="1658"/>
      <c r="AC249" s="1591" t="s">
        <v>772</v>
      </c>
      <c r="AD249" s="1591"/>
      <c r="AE249" s="1591"/>
      <c r="AF249" s="1591" t="s">
        <v>772</v>
      </c>
      <c r="AG249" s="1591"/>
      <c r="AH249" s="1592"/>
      <c r="AI249" s="1592"/>
      <c r="AJ249" s="1654" t="s">
        <v>773</v>
      </c>
      <c r="AK249" s="1591"/>
      <c r="AL249" s="1592"/>
      <c r="AM249" s="1654" t="s">
        <v>669</v>
      </c>
      <c r="AN249" s="1591"/>
      <c r="AO249" s="1592"/>
      <c r="AP249" s="1654" t="s">
        <v>774</v>
      </c>
      <c r="AQ249" s="1591"/>
      <c r="AR249" s="1592"/>
      <c r="AS249" s="1655" t="s">
        <v>775</v>
      </c>
      <c r="AT249" s="1654"/>
      <c r="AU249" s="1654"/>
      <c r="AV249" s="1654"/>
      <c r="AW249" s="2241" t="s">
        <v>666</v>
      </c>
      <c r="AX249" s="2242"/>
      <c r="AY249" s="2242"/>
      <c r="AZ249" s="2242"/>
      <c r="BA249" s="2200"/>
      <c r="BB249" s="956" t="b">
        <v>0</v>
      </c>
    </row>
    <row r="250" spans="2:54" ht="13.5" customHeight="1">
      <c r="B250" s="2443" t="s">
        <v>794</v>
      </c>
      <c r="C250" s="2521"/>
      <c r="D250" s="2444"/>
      <c r="E250" s="122" t="s">
        <v>777</v>
      </c>
      <c r="F250" s="2909" t="s">
        <v>795</v>
      </c>
      <c r="G250" s="2909"/>
      <c r="H250" s="2909"/>
      <c r="I250" s="2909"/>
      <c r="J250" s="2909"/>
      <c r="K250" s="2909"/>
      <c r="L250" s="2909"/>
      <c r="M250" s="2909"/>
      <c r="N250" s="2909"/>
      <c r="O250" s="2909"/>
      <c r="P250" s="2910"/>
      <c r="Q250" s="2320"/>
      <c r="R250" s="2275"/>
      <c r="S250" s="2275"/>
      <c r="T250" s="505"/>
      <c r="U250" s="2275"/>
      <c r="V250" s="2275"/>
      <c r="W250" s="2275"/>
      <c r="X250" s="505"/>
      <c r="Y250" s="2275"/>
      <c r="Z250" s="2275"/>
      <c r="AA250" s="2275"/>
      <c r="AB250" s="505"/>
      <c r="AC250" s="2275"/>
      <c r="AD250" s="2275"/>
      <c r="AE250" s="2275"/>
      <c r="AF250" s="505"/>
      <c r="AG250" s="2275"/>
      <c r="AH250" s="2275"/>
      <c r="AI250" s="2319"/>
      <c r="AJ250" s="2212">
        <f t="shared" ref="AJ250:AJ272" si="68">ROUNDDOWN(SUM(Q250:AI250),-1)</f>
        <v>0</v>
      </c>
      <c r="AK250" s="2213"/>
      <c r="AL250" s="2214"/>
      <c r="AM250" s="2215">
        <v>1</v>
      </c>
      <c r="AN250" s="2216"/>
      <c r="AO250" s="2217"/>
      <c r="AP250" s="2212">
        <f t="shared" ref="AP250:AP272" si="69">INT(AJ250*AM250)</f>
        <v>0</v>
      </c>
      <c r="AQ250" s="2213"/>
      <c r="AR250" s="2214"/>
      <c r="AS250" s="2218"/>
      <c r="AT250" s="2219"/>
      <c r="AU250" s="2219"/>
      <c r="AV250" s="2220"/>
      <c r="AW250" s="2206">
        <f t="shared" ref="AW250:AW272" si="70">INT(AP250*AS250)</f>
        <v>0</v>
      </c>
      <c r="AX250" s="2207"/>
      <c r="AY250" s="2207"/>
      <c r="AZ250" s="2208"/>
      <c r="BA250" s="2200"/>
      <c r="BB250" s="956" t="b">
        <f ca="1">AW273=0</f>
        <v>1</v>
      </c>
    </row>
    <row r="251" spans="2:54" ht="13.5" customHeight="1">
      <c r="B251" s="2445"/>
      <c r="C251" s="2521"/>
      <c r="D251" s="2444"/>
      <c r="E251" s="124" t="s">
        <v>777</v>
      </c>
      <c r="F251" s="2210" t="s">
        <v>1034</v>
      </c>
      <c r="G251" s="2210"/>
      <c r="H251" s="2210"/>
      <c r="I251" s="2210"/>
      <c r="J251" s="2210"/>
      <c r="K251" s="2210"/>
      <c r="L251" s="2210"/>
      <c r="M251" s="2210"/>
      <c r="N251" s="2210"/>
      <c r="O251" s="2210"/>
      <c r="P251" s="2211"/>
      <c r="Q251" s="2257">
        <v>1407</v>
      </c>
      <c r="R251" s="2224"/>
      <c r="S251" s="2224"/>
      <c r="T251" s="508" t="s">
        <v>1292</v>
      </c>
      <c r="U251" s="2224">
        <v>2304</v>
      </c>
      <c r="V251" s="2224"/>
      <c r="W251" s="2224"/>
      <c r="X251" s="508" t="s">
        <v>779</v>
      </c>
      <c r="Y251" s="2224">
        <v>49</v>
      </c>
      <c r="Z251" s="2224"/>
      <c r="AA251" s="2224"/>
      <c r="AB251" s="508" t="s">
        <v>40</v>
      </c>
      <c r="AC251" s="2224"/>
      <c r="AD251" s="2224"/>
      <c r="AE251" s="2224"/>
      <c r="AF251" s="508" t="s">
        <v>40</v>
      </c>
      <c r="AG251" s="2224"/>
      <c r="AH251" s="2224"/>
      <c r="AI251" s="2226"/>
      <c r="AJ251" s="2212">
        <f t="shared" si="68"/>
        <v>3760</v>
      </c>
      <c r="AK251" s="2213"/>
      <c r="AL251" s="2214"/>
      <c r="AM251" s="2215">
        <v>1</v>
      </c>
      <c r="AN251" s="2216"/>
      <c r="AO251" s="2217"/>
      <c r="AP251" s="2209">
        <f t="shared" si="69"/>
        <v>3760</v>
      </c>
      <c r="AQ251" s="2210"/>
      <c r="AR251" s="2211"/>
      <c r="AS251" s="2203">
        <f ca="1">SUMIF(基礎・屋根・外壁!B$138:AE$138,F251,基礎・屋根・外壁!B$141:AE$141)+SUMIF(基礎・屋根・外壁!B$172:AE$172,F251,基礎・屋根・外壁!B$175:AE$175)+SUMIF(見積拾!C$49:D$53,F251,見積拾!T$49:T$53)</f>
        <v>0</v>
      </c>
      <c r="AT251" s="2204"/>
      <c r="AU251" s="2204"/>
      <c r="AV251" s="2205"/>
      <c r="AW251" s="2206">
        <f t="shared" ca="1" si="70"/>
        <v>0</v>
      </c>
      <c r="AX251" s="2207"/>
      <c r="AY251" s="2207"/>
      <c r="AZ251" s="2208"/>
      <c r="BA251" s="2200"/>
      <c r="BB251" s="956" t="b">
        <f t="shared" ref="BB251:BB272" ca="1" si="71">AW251&lt;&gt;0</f>
        <v>0</v>
      </c>
    </row>
    <row r="252" spans="2:54" ht="13.5" customHeight="1">
      <c r="B252" s="2445"/>
      <c r="C252" s="2521"/>
      <c r="D252" s="2444"/>
      <c r="E252" s="124" t="s">
        <v>777</v>
      </c>
      <c r="F252" s="2210" t="s">
        <v>1308</v>
      </c>
      <c r="G252" s="2210"/>
      <c r="H252" s="2210"/>
      <c r="I252" s="2210"/>
      <c r="J252" s="2210"/>
      <c r="K252" s="2210"/>
      <c r="L252" s="2210"/>
      <c r="M252" s="2210"/>
      <c r="N252" s="2210"/>
      <c r="O252" s="2210"/>
      <c r="P252" s="2211"/>
      <c r="Q252" s="2257">
        <v>2062</v>
      </c>
      <c r="R252" s="2224"/>
      <c r="S252" s="2224"/>
      <c r="T252" s="508" t="s">
        <v>1292</v>
      </c>
      <c r="U252" s="2224">
        <v>4200</v>
      </c>
      <c r="V252" s="2224"/>
      <c r="W252" s="2224"/>
      <c r="X252" s="508" t="s">
        <v>779</v>
      </c>
      <c r="Y252" s="2224">
        <v>1009</v>
      </c>
      <c r="Z252" s="2224"/>
      <c r="AA252" s="2224"/>
      <c r="AB252" s="508" t="s">
        <v>40</v>
      </c>
      <c r="AC252" s="2224"/>
      <c r="AD252" s="2224"/>
      <c r="AE252" s="2224"/>
      <c r="AF252" s="508" t="s">
        <v>40</v>
      </c>
      <c r="AG252" s="2224"/>
      <c r="AH252" s="2224"/>
      <c r="AI252" s="2226"/>
      <c r="AJ252" s="2212">
        <f t="shared" si="68"/>
        <v>7270</v>
      </c>
      <c r="AK252" s="2213"/>
      <c r="AL252" s="2214"/>
      <c r="AM252" s="2215">
        <v>1</v>
      </c>
      <c r="AN252" s="2216"/>
      <c r="AO252" s="2217"/>
      <c r="AP252" s="2209">
        <f t="shared" si="69"/>
        <v>7270</v>
      </c>
      <c r="AQ252" s="2210"/>
      <c r="AR252" s="2211"/>
      <c r="AS252" s="2203">
        <f ca="1">SUMIF(基礎・屋根・外壁!B$138:AE$138,F252,基礎・屋根・外壁!B$141:AE$141)+SUMIF(基礎・屋根・外壁!B$172:AE$172,F252,基礎・屋根・外壁!B$175:AE$175)+SUMIF(見積拾!C$49:D$53,F252,見積拾!T$49:T$53)</f>
        <v>0</v>
      </c>
      <c r="AT252" s="2204"/>
      <c r="AU252" s="2204"/>
      <c r="AV252" s="2205"/>
      <c r="AW252" s="2206">
        <f t="shared" ca="1" si="70"/>
        <v>0</v>
      </c>
      <c r="AX252" s="2207"/>
      <c r="AY252" s="2207"/>
      <c r="AZ252" s="2208"/>
      <c r="BA252" s="2200"/>
      <c r="BB252" s="956" t="b">
        <f t="shared" ca="1" si="71"/>
        <v>0</v>
      </c>
    </row>
    <row r="253" spans="2:54" ht="13.5" customHeight="1">
      <c r="B253" s="2445"/>
      <c r="C253" s="2521"/>
      <c r="D253" s="2444"/>
      <c r="E253" s="124" t="s">
        <v>777</v>
      </c>
      <c r="F253" s="2210" t="s">
        <v>1309</v>
      </c>
      <c r="G253" s="2210"/>
      <c r="H253" s="2210"/>
      <c r="I253" s="2210"/>
      <c r="J253" s="2210"/>
      <c r="K253" s="2210"/>
      <c r="L253" s="2210"/>
      <c r="M253" s="2210"/>
      <c r="N253" s="2210"/>
      <c r="O253" s="2210"/>
      <c r="P253" s="2211"/>
      <c r="Q253" s="2257">
        <v>1437</v>
      </c>
      <c r="R253" s="2224"/>
      <c r="S253" s="2224"/>
      <c r="T253" s="508" t="s">
        <v>1292</v>
      </c>
      <c r="U253" s="2224">
        <v>3080</v>
      </c>
      <c r="V253" s="2224"/>
      <c r="W253" s="2224"/>
      <c r="X253" s="508" t="s">
        <v>779</v>
      </c>
      <c r="Y253" s="2224">
        <v>726</v>
      </c>
      <c r="Z253" s="2224"/>
      <c r="AA253" s="2224"/>
      <c r="AB253" s="508" t="s">
        <v>40</v>
      </c>
      <c r="AC253" s="2224"/>
      <c r="AD253" s="2224"/>
      <c r="AE253" s="2224"/>
      <c r="AF253" s="508" t="s">
        <v>40</v>
      </c>
      <c r="AG253" s="2224"/>
      <c r="AH253" s="2224"/>
      <c r="AI253" s="2226"/>
      <c r="AJ253" s="2212">
        <f t="shared" si="68"/>
        <v>5240</v>
      </c>
      <c r="AK253" s="2213"/>
      <c r="AL253" s="2214"/>
      <c r="AM253" s="2215">
        <v>1</v>
      </c>
      <c r="AN253" s="2216"/>
      <c r="AO253" s="2217"/>
      <c r="AP253" s="2209">
        <f t="shared" si="69"/>
        <v>5240</v>
      </c>
      <c r="AQ253" s="2210"/>
      <c r="AR253" s="2211"/>
      <c r="AS253" s="2203">
        <f ca="1">SUMIF(基礎・屋根・外壁!B$138:AE$138,F253,基礎・屋根・外壁!B$141:AE$141)+SUMIF(基礎・屋根・外壁!B$172:AE$172,F253,基礎・屋根・外壁!B$175:AE$175)+SUMIF(見積拾!C$49:D$53,F253,見積拾!T$49:T$53)</f>
        <v>0</v>
      </c>
      <c r="AT253" s="2204"/>
      <c r="AU253" s="2204"/>
      <c r="AV253" s="2205"/>
      <c r="AW253" s="2206">
        <f t="shared" ca="1" si="70"/>
        <v>0</v>
      </c>
      <c r="AX253" s="2207"/>
      <c r="AY253" s="2207"/>
      <c r="AZ253" s="2208"/>
      <c r="BA253" s="2200"/>
      <c r="BB253" s="956" t="b">
        <f t="shared" ca="1" si="71"/>
        <v>0</v>
      </c>
    </row>
    <row r="254" spans="2:54" ht="13.5" customHeight="1">
      <c r="B254" s="2445"/>
      <c r="C254" s="2521"/>
      <c r="D254" s="2444"/>
      <c r="E254" s="124" t="s">
        <v>777</v>
      </c>
      <c r="F254" s="2210" t="s">
        <v>1035</v>
      </c>
      <c r="G254" s="2210"/>
      <c r="H254" s="2210"/>
      <c r="I254" s="2210"/>
      <c r="J254" s="2210"/>
      <c r="K254" s="2210"/>
      <c r="L254" s="2210"/>
      <c r="M254" s="2210"/>
      <c r="N254" s="2210"/>
      <c r="O254" s="2210"/>
      <c r="P254" s="2211"/>
      <c r="Q254" s="2257">
        <v>2727</v>
      </c>
      <c r="R254" s="2224"/>
      <c r="S254" s="2224"/>
      <c r="T254" s="508" t="s">
        <v>1292</v>
      </c>
      <c r="U254" s="2225" t="s">
        <v>1031</v>
      </c>
      <c r="V254" s="2225"/>
      <c r="W254" s="2225"/>
      <c r="X254" s="508" t="s">
        <v>779</v>
      </c>
      <c r="Y254" s="2225" t="s">
        <v>5685</v>
      </c>
      <c r="Z254" s="2225"/>
      <c r="AA254" s="2225"/>
      <c r="AB254" s="508" t="s">
        <v>40</v>
      </c>
      <c r="AC254" s="2224"/>
      <c r="AD254" s="2224"/>
      <c r="AE254" s="2224"/>
      <c r="AF254" s="508" t="s">
        <v>40</v>
      </c>
      <c r="AG254" s="2224"/>
      <c r="AH254" s="2224"/>
      <c r="AI254" s="2226"/>
      <c r="AJ254" s="2212">
        <f t="shared" si="68"/>
        <v>2720</v>
      </c>
      <c r="AK254" s="2213"/>
      <c r="AL254" s="2214"/>
      <c r="AM254" s="2215">
        <v>1</v>
      </c>
      <c r="AN254" s="2216"/>
      <c r="AO254" s="2217"/>
      <c r="AP254" s="2209">
        <f t="shared" si="69"/>
        <v>2720</v>
      </c>
      <c r="AQ254" s="2210"/>
      <c r="AR254" s="2211"/>
      <c r="AS254" s="2203">
        <f ca="1">SUMIF(基礎・屋根・外壁!B$138:AE$138,F254,基礎・屋根・外壁!B$141:AE$141)+SUMIF(基礎・屋根・外壁!B$172:AE$172,F254,基礎・屋根・外壁!B$175:AE$175)+SUMIF(見積拾!C$49:D$53,F254,見積拾!T$49:T$53)</f>
        <v>0</v>
      </c>
      <c r="AT254" s="2204"/>
      <c r="AU254" s="2204"/>
      <c r="AV254" s="2205"/>
      <c r="AW254" s="2206">
        <f t="shared" ca="1" si="70"/>
        <v>0</v>
      </c>
      <c r="AX254" s="2207"/>
      <c r="AY254" s="2207"/>
      <c r="AZ254" s="2208"/>
      <c r="BA254" s="2200"/>
      <c r="BB254" s="956" t="b">
        <f t="shared" ca="1" si="71"/>
        <v>0</v>
      </c>
    </row>
    <row r="255" spans="2:54" ht="13.5" customHeight="1">
      <c r="B255" s="2445"/>
      <c r="C255" s="2521"/>
      <c r="D255" s="2444"/>
      <c r="E255" s="124" t="s">
        <v>777</v>
      </c>
      <c r="F255" s="2210" t="s">
        <v>5603</v>
      </c>
      <c r="G255" s="2210"/>
      <c r="H255" s="2210"/>
      <c r="I255" s="2210"/>
      <c r="J255" s="2210"/>
      <c r="K255" s="2210"/>
      <c r="L255" s="2210"/>
      <c r="M255" s="2210"/>
      <c r="N255" s="2210"/>
      <c r="O255" s="2210"/>
      <c r="P255" s="2211"/>
      <c r="Q255" s="2257">
        <v>2600</v>
      </c>
      <c r="R255" s="2224"/>
      <c r="S255" s="2224"/>
      <c r="T255" s="508" t="s">
        <v>1292</v>
      </c>
      <c r="U255" s="2225" t="s">
        <v>1031</v>
      </c>
      <c r="V255" s="2225"/>
      <c r="W255" s="2225"/>
      <c r="X255" s="508" t="s">
        <v>779</v>
      </c>
      <c r="Y255" s="2225" t="s">
        <v>5685</v>
      </c>
      <c r="Z255" s="2225"/>
      <c r="AA255" s="2225"/>
      <c r="AB255" s="508" t="s">
        <v>40</v>
      </c>
      <c r="AC255" s="2224"/>
      <c r="AD255" s="2224"/>
      <c r="AE255" s="2224"/>
      <c r="AF255" s="508" t="s">
        <v>40</v>
      </c>
      <c r="AG255" s="2224"/>
      <c r="AH255" s="2224"/>
      <c r="AI255" s="2226"/>
      <c r="AJ255" s="2212">
        <f t="shared" si="68"/>
        <v>2600</v>
      </c>
      <c r="AK255" s="2213"/>
      <c r="AL255" s="2214"/>
      <c r="AM255" s="2215">
        <v>1</v>
      </c>
      <c r="AN255" s="2216"/>
      <c r="AO255" s="2217"/>
      <c r="AP255" s="2209">
        <f t="shared" si="69"/>
        <v>2600</v>
      </c>
      <c r="AQ255" s="2210"/>
      <c r="AR255" s="2211"/>
      <c r="AS255" s="2203">
        <f ca="1">SUMIF(基礎・屋根・外壁!B$138:AE$138,F255,基礎・屋根・外壁!B$141:AE$141)+SUMIF(基礎・屋根・外壁!B$172:AE$172,F255,基礎・屋根・外壁!B$175:AE$175)+SUMIF(見積拾!C$49:D$53,F255,見積拾!T$49:T$53)</f>
        <v>0</v>
      </c>
      <c r="AT255" s="2204"/>
      <c r="AU255" s="2204"/>
      <c r="AV255" s="2205"/>
      <c r="AW255" s="2206">
        <f t="shared" ca="1" si="70"/>
        <v>0</v>
      </c>
      <c r="AX255" s="2207"/>
      <c r="AY255" s="2207"/>
      <c r="AZ255" s="2208"/>
      <c r="BA255" s="2200"/>
      <c r="BB255" s="956" t="b">
        <f t="shared" ca="1" si="71"/>
        <v>0</v>
      </c>
    </row>
    <row r="256" spans="2:54" ht="13.5" customHeight="1">
      <c r="B256" s="2445"/>
      <c r="C256" s="2521"/>
      <c r="D256" s="2444"/>
      <c r="E256" s="124" t="s">
        <v>777</v>
      </c>
      <c r="F256" s="2210" t="s">
        <v>5604</v>
      </c>
      <c r="G256" s="2210"/>
      <c r="H256" s="2210"/>
      <c r="I256" s="2210"/>
      <c r="J256" s="2210"/>
      <c r="K256" s="2210"/>
      <c r="L256" s="2210"/>
      <c r="M256" s="2210"/>
      <c r="N256" s="2210"/>
      <c r="O256" s="2210"/>
      <c r="P256" s="2211"/>
      <c r="Q256" s="2257">
        <v>1830</v>
      </c>
      <c r="R256" s="2224"/>
      <c r="S256" s="2224"/>
      <c r="T256" s="508" t="s">
        <v>1292</v>
      </c>
      <c r="U256" s="2225" t="s">
        <v>1031</v>
      </c>
      <c r="V256" s="2225"/>
      <c r="W256" s="2225"/>
      <c r="X256" s="508" t="s">
        <v>779</v>
      </c>
      <c r="Y256" s="2225" t="s">
        <v>5685</v>
      </c>
      <c r="Z256" s="2225"/>
      <c r="AA256" s="2225"/>
      <c r="AB256" s="508" t="s">
        <v>40</v>
      </c>
      <c r="AC256" s="2224"/>
      <c r="AD256" s="2224"/>
      <c r="AE256" s="2224"/>
      <c r="AF256" s="508" t="s">
        <v>40</v>
      </c>
      <c r="AG256" s="2224"/>
      <c r="AH256" s="2224"/>
      <c r="AI256" s="2226"/>
      <c r="AJ256" s="2212">
        <f t="shared" si="68"/>
        <v>1830</v>
      </c>
      <c r="AK256" s="2213"/>
      <c r="AL256" s="2214"/>
      <c r="AM256" s="2215">
        <v>1</v>
      </c>
      <c r="AN256" s="2216"/>
      <c r="AO256" s="2217"/>
      <c r="AP256" s="2209">
        <f t="shared" si="69"/>
        <v>1830</v>
      </c>
      <c r="AQ256" s="2210"/>
      <c r="AR256" s="2211"/>
      <c r="AS256" s="2203">
        <f ca="1">SUMIF(基礎・屋根・外壁!B$138:AE$138,F256,基礎・屋根・外壁!B$141:AE$141)+SUMIF(基礎・屋根・外壁!B$172:AE$172,F256,基礎・屋根・外壁!B$175:AE$175)+SUMIF(見積拾!C$49:D$53,F256,見積拾!T$49:T$53)</f>
        <v>0</v>
      </c>
      <c r="AT256" s="2204"/>
      <c r="AU256" s="2204"/>
      <c r="AV256" s="2205"/>
      <c r="AW256" s="2206">
        <f t="shared" ca="1" si="70"/>
        <v>0</v>
      </c>
      <c r="AX256" s="2207"/>
      <c r="AY256" s="2207"/>
      <c r="AZ256" s="2208"/>
      <c r="BA256" s="2200"/>
      <c r="BB256" s="956" t="b">
        <f t="shared" ca="1" si="71"/>
        <v>0</v>
      </c>
    </row>
    <row r="257" spans="2:54" ht="13.5" customHeight="1">
      <c r="B257" s="2445"/>
      <c r="C257" s="2521"/>
      <c r="D257" s="2444"/>
      <c r="E257" s="124" t="s">
        <v>777</v>
      </c>
      <c r="F257" s="2210" t="s">
        <v>1310</v>
      </c>
      <c r="G257" s="2210"/>
      <c r="H257" s="2210"/>
      <c r="I257" s="2210"/>
      <c r="J257" s="2210"/>
      <c r="K257" s="2210"/>
      <c r="L257" s="2210"/>
      <c r="M257" s="2210"/>
      <c r="N257" s="2210"/>
      <c r="O257" s="2210"/>
      <c r="P257" s="2211"/>
      <c r="Q257" s="2257">
        <v>14047</v>
      </c>
      <c r="R257" s="2224"/>
      <c r="S257" s="2224"/>
      <c r="T257" s="508" t="s">
        <v>1292</v>
      </c>
      <c r="U257" s="2225" t="s">
        <v>1031</v>
      </c>
      <c r="V257" s="2225"/>
      <c r="W257" s="2225"/>
      <c r="X257" s="508" t="s">
        <v>779</v>
      </c>
      <c r="Y257" s="2224">
        <v>1817</v>
      </c>
      <c r="Z257" s="2224"/>
      <c r="AA257" s="2224"/>
      <c r="AB257" s="508" t="s">
        <v>787</v>
      </c>
      <c r="AC257" s="2224"/>
      <c r="AD257" s="2224"/>
      <c r="AE257" s="2224"/>
      <c r="AF257" s="508" t="s">
        <v>787</v>
      </c>
      <c r="AG257" s="2224"/>
      <c r="AH257" s="2224"/>
      <c r="AI257" s="2226"/>
      <c r="AJ257" s="2212">
        <f t="shared" si="68"/>
        <v>15860</v>
      </c>
      <c r="AK257" s="2213"/>
      <c r="AL257" s="2214"/>
      <c r="AM257" s="2215">
        <v>1</v>
      </c>
      <c r="AN257" s="2216"/>
      <c r="AO257" s="2217"/>
      <c r="AP257" s="2209">
        <f t="shared" si="69"/>
        <v>15860</v>
      </c>
      <c r="AQ257" s="2210"/>
      <c r="AR257" s="2211"/>
      <c r="AS257" s="2203">
        <f ca="1">SUMIF(基礎・屋根・外壁!B$138:AE$138,F257,基礎・屋根・外壁!B$141:AE$141)+SUMIF(基礎・屋根・外壁!B$172:AE$172,F257,基礎・屋根・外壁!B$175:AE$175)+SUMIF(見積拾!C$49:D$53,F257,見積拾!T$49:T$53)</f>
        <v>0</v>
      </c>
      <c r="AT257" s="2204"/>
      <c r="AU257" s="2204"/>
      <c r="AV257" s="2205"/>
      <c r="AW257" s="2206">
        <f t="shared" ca="1" si="70"/>
        <v>0</v>
      </c>
      <c r="AX257" s="2207"/>
      <c r="AY257" s="2207"/>
      <c r="AZ257" s="2208"/>
      <c r="BA257" s="2200"/>
      <c r="BB257" s="956" t="b">
        <f t="shared" ca="1" si="71"/>
        <v>0</v>
      </c>
    </row>
    <row r="258" spans="2:54" ht="13.5" customHeight="1">
      <c r="B258" s="2445"/>
      <c r="C258" s="2521"/>
      <c r="D258" s="2444"/>
      <c r="E258" s="124" t="s">
        <v>777</v>
      </c>
      <c r="F258" s="2210" t="s">
        <v>1293</v>
      </c>
      <c r="G258" s="2210"/>
      <c r="H258" s="2210"/>
      <c r="I258" s="2210"/>
      <c r="J258" s="2210"/>
      <c r="K258" s="2210"/>
      <c r="L258" s="2210"/>
      <c r="M258" s="2210"/>
      <c r="N258" s="2210"/>
      <c r="O258" s="2210"/>
      <c r="P258" s="2211"/>
      <c r="Q258" s="2257">
        <v>10200</v>
      </c>
      <c r="R258" s="2224"/>
      <c r="S258" s="2224"/>
      <c r="T258" s="508" t="s">
        <v>1292</v>
      </c>
      <c r="U258" s="2225" t="s">
        <v>1031</v>
      </c>
      <c r="V258" s="2225"/>
      <c r="W258" s="2225"/>
      <c r="X258" s="508" t="s">
        <v>779</v>
      </c>
      <c r="Y258" s="2225" t="s">
        <v>5685</v>
      </c>
      <c r="Z258" s="2225"/>
      <c r="AA258" s="2225"/>
      <c r="AB258" s="508" t="s">
        <v>787</v>
      </c>
      <c r="AC258" s="2224"/>
      <c r="AD258" s="2224"/>
      <c r="AE258" s="2224"/>
      <c r="AF258" s="508" t="s">
        <v>787</v>
      </c>
      <c r="AG258" s="2224"/>
      <c r="AH258" s="2224"/>
      <c r="AI258" s="2226"/>
      <c r="AJ258" s="2212">
        <f t="shared" si="68"/>
        <v>10200</v>
      </c>
      <c r="AK258" s="2213"/>
      <c r="AL258" s="2214"/>
      <c r="AM258" s="2215">
        <v>1</v>
      </c>
      <c r="AN258" s="2216"/>
      <c r="AO258" s="2217"/>
      <c r="AP258" s="2209">
        <f t="shared" si="69"/>
        <v>10200</v>
      </c>
      <c r="AQ258" s="2210"/>
      <c r="AR258" s="2211"/>
      <c r="AS258" s="2203">
        <f ca="1">SUMIF(基礎・屋根・外壁!B$138:AE$138,F258,基礎・屋根・外壁!B$141:AE$141)+SUMIF(基礎・屋根・外壁!B$172:AE$172,F258,基礎・屋根・外壁!B$175:AE$175)+SUMIF(見積拾!C$49:D$53,F258,見積拾!T$49:T$53)</f>
        <v>0</v>
      </c>
      <c r="AT258" s="2204"/>
      <c r="AU258" s="2204"/>
      <c r="AV258" s="2205"/>
      <c r="AW258" s="2206">
        <f t="shared" ca="1" si="70"/>
        <v>0</v>
      </c>
      <c r="AX258" s="2207"/>
      <c r="AY258" s="2207"/>
      <c r="AZ258" s="2208"/>
      <c r="BA258" s="2200"/>
      <c r="BB258" s="956" t="b">
        <f t="shared" ca="1" si="71"/>
        <v>0</v>
      </c>
    </row>
    <row r="259" spans="2:54" ht="13.5" customHeight="1">
      <c r="B259" s="2445"/>
      <c r="C259" s="2521"/>
      <c r="D259" s="2444"/>
      <c r="E259" s="124" t="s">
        <v>777</v>
      </c>
      <c r="F259" s="2210" t="s">
        <v>1294</v>
      </c>
      <c r="G259" s="2210"/>
      <c r="H259" s="2210"/>
      <c r="I259" s="2210"/>
      <c r="J259" s="2210"/>
      <c r="K259" s="2210"/>
      <c r="L259" s="2210"/>
      <c r="M259" s="2210"/>
      <c r="N259" s="2210"/>
      <c r="O259" s="2210"/>
      <c r="P259" s="2211"/>
      <c r="Q259" s="2257">
        <v>8980</v>
      </c>
      <c r="R259" s="2224"/>
      <c r="S259" s="2224"/>
      <c r="T259" s="508" t="s">
        <v>1292</v>
      </c>
      <c r="U259" s="2225" t="s">
        <v>1031</v>
      </c>
      <c r="V259" s="2225"/>
      <c r="W259" s="2225"/>
      <c r="X259" s="508" t="s">
        <v>779</v>
      </c>
      <c r="Y259" s="2225" t="s">
        <v>5685</v>
      </c>
      <c r="Z259" s="2225"/>
      <c r="AA259" s="2225"/>
      <c r="AB259" s="508" t="s">
        <v>787</v>
      </c>
      <c r="AC259" s="2224"/>
      <c r="AD259" s="2224"/>
      <c r="AE259" s="2224"/>
      <c r="AF259" s="508" t="s">
        <v>787</v>
      </c>
      <c r="AG259" s="2224"/>
      <c r="AH259" s="2224"/>
      <c r="AI259" s="2226"/>
      <c r="AJ259" s="2212">
        <f t="shared" si="68"/>
        <v>8980</v>
      </c>
      <c r="AK259" s="2213"/>
      <c r="AL259" s="2214"/>
      <c r="AM259" s="2215">
        <v>1</v>
      </c>
      <c r="AN259" s="2216"/>
      <c r="AO259" s="2217"/>
      <c r="AP259" s="2209">
        <f t="shared" si="69"/>
        <v>8980</v>
      </c>
      <c r="AQ259" s="2210"/>
      <c r="AR259" s="2211"/>
      <c r="AS259" s="2203">
        <f ca="1">SUMIF(基礎・屋根・外壁!B$138:AE$138,F259,基礎・屋根・外壁!B$141:AE$141)+SUMIF(基礎・屋根・外壁!B$172:AE$172,F259,基礎・屋根・外壁!B$175:AE$175)+SUMIF(見積拾!C$49:D$53,F259,見積拾!T$49:T$53)</f>
        <v>0</v>
      </c>
      <c r="AT259" s="2204"/>
      <c r="AU259" s="2204"/>
      <c r="AV259" s="2205"/>
      <c r="AW259" s="2206">
        <f t="shared" ca="1" si="70"/>
        <v>0</v>
      </c>
      <c r="AX259" s="2207"/>
      <c r="AY259" s="2207"/>
      <c r="AZ259" s="2208"/>
      <c r="BA259" s="2200"/>
      <c r="BB259" s="956" t="b">
        <f t="shared" ca="1" si="71"/>
        <v>0</v>
      </c>
    </row>
    <row r="260" spans="2:54" ht="13.5" customHeight="1">
      <c r="B260" s="2445"/>
      <c r="C260" s="2521"/>
      <c r="D260" s="2444"/>
      <c r="E260" s="124" t="s">
        <v>777</v>
      </c>
      <c r="F260" s="2210" t="s">
        <v>1295</v>
      </c>
      <c r="G260" s="2210"/>
      <c r="H260" s="2210"/>
      <c r="I260" s="2210"/>
      <c r="J260" s="2210"/>
      <c r="K260" s="2210"/>
      <c r="L260" s="2210"/>
      <c r="M260" s="2210"/>
      <c r="N260" s="2210"/>
      <c r="O260" s="2210"/>
      <c r="P260" s="2211"/>
      <c r="Q260" s="2257">
        <v>7890</v>
      </c>
      <c r="R260" s="2224"/>
      <c r="S260" s="2224"/>
      <c r="T260" s="508" t="s">
        <v>1292</v>
      </c>
      <c r="U260" s="2225" t="s">
        <v>1031</v>
      </c>
      <c r="V260" s="2225"/>
      <c r="W260" s="2225"/>
      <c r="X260" s="508" t="s">
        <v>779</v>
      </c>
      <c r="Y260" s="2225" t="s">
        <v>5685</v>
      </c>
      <c r="Z260" s="2225"/>
      <c r="AA260" s="2225"/>
      <c r="AB260" s="508" t="s">
        <v>787</v>
      </c>
      <c r="AC260" s="2224"/>
      <c r="AD260" s="2224"/>
      <c r="AE260" s="2224"/>
      <c r="AF260" s="508" t="s">
        <v>787</v>
      </c>
      <c r="AG260" s="2224"/>
      <c r="AH260" s="2224"/>
      <c r="AI260" s="2226"/>
      <c r="AJ260" s="2212">
        <f t="shared" si="68"/>
        <v>7890</v>
      </c>
      <c r="AK260" s="2213"/>
      <c r="AL260" s="2214"/>
      <c r="AM260" s="2215">
        <v>1</v>
      </c>
      <c r="AN260" s="2216"/>
      <c r="AO260" s="2217"/>
      <c r="AP260" s="2209">
        <f t="shared" si="69"/>
        <v>7890</v>
      </c>
      <c r="AQ260" s="2210"/>
      <c r="AR260" s="2211"/>
      <c r="AS260" s="2203">
        <f ca="1">SUMIF(基礎・屋根・外壁!B$138:AE$138,F260,基礎・屋根・外壁!B$141:AE$141)+SUMIF(基礎・屋根・外壁!B$172:AE$172,F260,基礎・屋根・外壁!B$175:AE$175)+SUMIF(見積拾!C$49:D$53,F260,見積拾!T$49:T$53)</f>
        <v>0</v>
      </c>
      <c r="AT260" s="2204"/>
      <c r="AU260" s="2204"/>
      <c r="AV260" s="2205"/>
      <c r="AW260" s="2206">
        <f t="shared" ca="1" si="70"/>
        <v>0</v>
      </c>
      <c r="AX260" s="2207"/>
      <c r="AY260" s="2207"/>
      <c r="AZ260" s="2208"/>
      <c r="BA260" s="2200"/>
      <c r="BB260" s="956" t="b">
        <f t="shared" ca="1" si="71"/>
        <v>0</v>
      </c>
    </row>
    <row r="261" spans="2:54" ht="13.5" customHeight="1">
      <c r="B261" s="2445"/>
      <c r="C261" s="2521"/>
      <c r="D261" s="2444"/>
      <c r="E261" s="124" t="s">
        <v>777</v>
      </c>
      <c r="F261" s="2210" t="s">
        <v>1296</v>
      </c>
      <c r="G261" s="2210"/>
      <c r="H261" s="2210"/>
      <c r="I261" s="2210"/>
      <c r="J261" s="2210"/>
      <c r="K261" s="2210"/>
      <c r="L261" s="2210"/>
      <c r="M261" s="2210"/>
      <c r="N261" s="2210"/>
      <c r="O261" s="2210"/>
      <c r="P261" s="2211"/>
      <c r="Q261" s="2257">
        <v>6510</v>
      </c>
      <c r="R261" s="2224"/>
      <c r="S261" s="2224"/>
      <c r="T261" s="508" t="s">
        <v>1292</v>
      </c>
      <c r="U261" s="2225" t="s">
        <v>1031</v>
      </c>
      <c r="V261" s="2225"/>
      <c r="W261" s="2225"/>
      <c r="X261" s="508" t="s">
        <v>779</v>
      </c>
      <c r="Y261" s="2225" t="s">
        <v>5685</v>
      </c>
      <c r="Z261" s="2225"/>
      <c r="AA261" s="2225"/>
      <c r="AB261" s="508" t="s">
        <v>787</v>
      </c>
      <c r="AC261" s="2224"/>
      <c r="AD261" s="2224"/>
      <c r="AE261" s="2224"/>
      <c r="AF261" s="508" t="s">
        <v>787</v>
      </c>
      <c r="AG261" s="2224"/>
      <c r="AH261" s="2224"/>
      <c r="AI261" s="2226"/>
      <c r="AJ261" s="2212">
        <f t="shared" si="68"/>
        <v>6510</v>
      </c>
      <c r="AK261" s="2213"/>
      <c r="AL261" s="2214"/>
      <c r="AM261" s="2215">
        <v>1</v>
      </c>
      <c r="AN261" s="2216"/>
      <c r="AO261" s="2217"/>
      <c r="AP261" s="2209">
        <f t="shared" si="69"/>
        <v>6510</v>
      </c>
      <c r="AQ261" s="2210"/>
      <c r="AR261" s="2211"/>
      <c r="AS261" s="2203">
        <f ca="1">SUMIF(基礎・屋根・外壁!B$138:AE$138,F261,基礎・屋根・外壁!B$141:AE$141)+SUMIF(基礎・屋根・外壁!B$172:AE$172,F261,基礎・屋根・外壁!B$175:AE$175)+SUMIF(見積拾!C$49:D$53,F261,見積拾!T$49:T$53)</f>
        <v>0</v>
      </c>
      <c r="AT261" s="2204"/>
      <c r="AU261" s="2204"/>
      <c r="AV261" s="2205"/>
      <c r="AW261" s="2206">
        <f t="shared" ca="1" si="70"/>
        <v>0</v>
      </c>
      <c r="AX261" s="2207"/>
      <c r="AY261" s="2207"/>
      <c r="AZ261" s="2208"/>
      <c r="BA261" s="2200"/>
      <c r="BB261" s="956" t="b">
        <f t="shared" ca="1" si="71"/>
        <v>0</v>
      </c>
    </row>
    <row r="262" spans="2:54" ht="13.5" customHeight="1">
      <c r="B262" s="2445"/>
      <c r="C262" s="2521"/>
      <c r="D262" s="2444"/>
      <c r="E262" s="124" t="s">
        <v>777</v>
      </c>
      <c r="F262" s="2210" t="s">
        <v>1311</v>
      </c>
      <c r="G262" s="2210"/>
      <c r="H262" s="2210"/>
      <c r="I262" s="2210"/>
      <c r="J262" s="2210"/>
      <c r="K262" s="2210"/>
      <c r="L262" s="2210"/>
      <c r="M262" s="2210"/>
      <c r="N262" s="2210"/>
      <c r="O262" s="2210"/>
      <c r="P262" s="2211"/>
      <c r="Q262" s="2257">
        <v>4890</v>
      </c>
      <c r="R262" s="2224"/>
      <c r="S262" s="2224"/>
      <c r="T262" s="508" t="s">
        <v>1292</v>
      </c>
      <c r="U262" s="2225" t="s">
        <v>1031</v>
      </c>
      <c r="V262" s="2225"/>
      <c r="W262" s="2225"/>
      <c r="X262" s="508" t="s">
        <v>779</v>
      </c>
      <c r="Y262" s="2224">
        <v>484</v>
      </c>
      <c r="Z262" s="2224"/>
      <c r="AA262" s="2224"/>
      <c r="AB262" s="508" t="s">
        <v>785</v>
      </c>
      <c r="AC262" s="2224"/>
      <c r="AD262" s="2224"/>
      <c r="AE262" s="2224"/>
      <c r="AF262" s="508" t="s">
        <v>785</v>
      </c>
      <c r="AG262" s="2224"/>
      <c r="AH262" s="2224"/>
      <c r="AI262" s="2226"/>
      <c r="AJ262" s="2212">
        <f t="shared" si="68"/>
        <v>5370</v>
      </c>
      <c r="AK262" s="2213"/>
      <c r="AL262" s="2214"/>
      <c r="AM262" s="2215">
        <v>1</v>
      </c>
      <c r="AN262" s="2216"/>
      <c r="AO262" s="2217"/>
      <c r="AP262" s="2209">
        <f t="shared" si="69"/>
        <v>5370</v>
      </c>
      <c r="AQ262" s="2210"/>
      <c r="AR262" s="2211"/>
      <c r="AS262" s="2203">
        <f ca="1">SUMIF(基礎・屋根・外壁!B$138:AE$138,F262,基礎・屋根・外壁!B$141:AE$141)+SUMIF(基礎・屋根・外壁!B$172:AE$172,F262,基礎・屋根・外壁!B$175:AE$175)+SUMIF(見積拾!C$49:D$53,F262,見積拾!T$49:T$53)</f>
        <v>0</v>
      </c>
      <c r="AT262" s="2204"/>
      <c r="AU262" s="2204"/>
      <c r="AV262" s="2205"/>
      <c r="AW262" s="2206">
        <f t="shared" ca="1" si="70"/>
        <v>0</v>
      </c>
      <c r="AX262" s="2207"/>
      <c r="AY262" s="2207"/>
      <c r="AZ262" s="2208"/>
      <c r="BA262" s="2200"/>
      <c r="BB262" s="956" t="b">
        <f t="shared" ca="1" si="71"/>
        <v>0</v>
      </c>
    </row>
    <row r="263" spans="2:54" ht="13.5" customHeight="1">
      <c r="B263" s="2445"/>
      <c r="C263" s="2521"/>
      <c r="D263" s="2444"/>
      <c r="E263" s="124" t="s">
        <v>777</v>
      </c>
      <c r="F263" s="2210" t="s">
        <v>1297</v>
      </c>
      <c r="G263" s="2210"/>
      <c r="H263" s="2210"/>
      <c r="I263" s="2210"/>
      <c r="J263" s="2210"/>
      <c r="K263" s="2210"/>
      <c r="L263" s="2210"/>
      <c r="M263" s="2210"/>
      <c r="N263" s="2210"/>
      <c r="O263" s="2210"/>
      <c r="P263" s="2211"/>
      <c r="Q263" s="2257">
        <v>16658</v>
      </c>
      <c r="R263" s="2224"/>
      <c r="S263" s="2224"/>
      <c r="T263" s="508" t="s">
        <v>1292</v>
      </c>
      <c r="U263" s="2225" t="s">
        <v>1031</v>
      </c>
      <c r="V263" s="2225"/>
      <c r="W263" s="2225"/>
      <c r="X263" s="508" t="s">
        <v>779</v>
      </c>
      <c r="Y263" s="2224">
        <v>733</v>
      </c>
      <c r="Z263" s="2224"/>
      <c r="AA263" s="2224"/>
      <c r="AB263" s="508" t="s">
        <v>785</v>
      </c>
      <c r="AC263" s="2224"/>
      <c r="AD263" s="2224"/>
      <c r="AE263" s="2224"/>
      <c r="AF263" s="508" t="s">
        <v>785</v>
      </c>
      <c r="AG263" s="2224"/>
      <c r="AH263" s="2224"/>
      <c r="AI263" s="2226"/>
      <c r="AJ263" s="2212">
        <f t="shared" si="68"/>
        <v>17390</v>
      </c>
      <c r="AK263" s="2213"/>
      <c r="AL263" s="2214"/>
      <c r="AM263" s="2215">
        <v>1</v>
      </c>
      <c r="AN263" s="2216"/>
      <c r="AO263" s="2217"/>
      <c r="AP263" s="2209">
        <f t="shared" si="69"/>
        <v>17390</v>
      </c>
      <c r="AQ263" s="2210"/>
      <c r="AR263" s="2211"/>
      <c r="AS263" s="2203">
        <f ca="1">SUMIF(基礎・屋根・外壁!B$138:AE$138,F263,基礎・屋根・外壁!B$141:AE$141)+SUMIF(基礎・屋根・外壁!B$172:AE$172,F263,基礎・屋根・外壁!B$175:AE$175)+SUMIF(見積拾!C$49:D$53,F263,見積拾!T$49:T$53)</f>
        <v>0</v>
      </c>
      <c r="AT263" s="2204"/>
      <c r="AU263" s="2204"/>
      <c r="AV263" s="2205"/>
      <c r="AW263" s="2206">
        <f t="shared" ca="1" si="70"/>
        <v>0</v>
      </c>
      <c r="AX263" s="2207"/>
      <c r="AY263" s="2207"/>
      <c r="AZ263" s="2208"/>
      <c r="BA263" s="2200"/>
      <c r="BB263" s="956" t="b">
        <f t="shared" ca="1" si="71"/>
        <v>0</v>
      </c>
    </row>
    <row r="264" spans="2:54" ht="13.5" customHeight="1">
      <c r="B264" s="2445"/>
      <c r="C264" s="2521"/>
      <c r="D264" s="2444"/>
      <c r="E264" s="124" t="s">
        <v>777</v>
      </c>
      <c r="F264" s="2210" t="s">
        <v>1312</v>
      </c>
      <c r="G264" s="2210"/>
      <c r="H264" s="2210"/>
      <c r="I264" s="2210"/>
      <c r="J264" s="2210"/>
      <c r="K264" s="2210"/>
      <c r="L264" s="2210"/>
      <c r="M264" s="2210"/>
      <c r="N264" s="2210"/>
      <c r="O264" s="2210"/>
      <c r="P264" s="2211"/>
      <c r="Q264" s="2257">
        <v>10778</v>
      </c>
      <c r="R264" s="2224"/>
      <c r="S264" s="2224"/>
      <c r="T264" s="508" t="s">
        <v>1292</v>
      </c>
      <c r="U264" s="2225" t="s">
        <v>1031</v>
      </c>
      <c r="V264" s="2225"/>
      <c r="W264" s="2225"/>
      <c r="X264" s="508" t="s">
        <v>779</v>
      </c>
      <c r="Y264" s="2224">
        <v>733</v>
      </c>
      <c r="Z264" s="2224"/>
      <c r="AA264" s="2224"/>
      <c r="AB264" s="508" t="s">
        <v>785</v>
      </c>
      <c r="AC264" s="2224"/>
      <c r="AD264" s="2224"/>
      <c r="AE264" s="2224"/>
      <c r="AF264" s="508" t="s">
        <v>785</v>
      </c>
      <c r="AG264" s="2224"/>
      <c r="AH264" s="2224"/>
      <c r="AI264" s="2226"/>
      <c r="AJ264" s="2212">
        <f t="shared" si="68"/>
        <v>11510</v>
      </c>
      <c r="AK264" s="2213"/>
      <c r="AL264" s="2214"/>
      <c r="AM264" s="2215">
        <v>1</v>
      </c>
      <c r="AN264" s="2216"/>
      <c r="AO264" s="2217"/>
      <c r="AP264" s="2209">
        <f t="shared" si="69"/>
        <v>11510</v>
      </c>
      <c r="AQ264" s="2210"/>
      <c r="AR264" s="2211"/>
      <c r="AS264" s="2203">
        <f ca="1">SUMIF(基礎・屋根・外壁!B$138:AE$138,F264,基礎・屋根・外壁!B$141:AE$141)+SUMIF(基礎・屋根・外壁!B$172:AE$172,F264,基礎・屋根・外壁!B$175:AE$175)+SUMIF(見積拾!C$49:D$53,F264,見積拾!T$49:T$53)</f>
        <v>0</v>
      </c>
      <c r="AT264" s="2204"/>
      <c r="AU264" s="2204"/>
      <c r="AV264" s="2205"/>
      <c r="AW264" s="2206">
        <f t="shared" ca="1" si="70"/>
        <v>0</v>
      </c>
      <c r="AX264" s="2207"/>
      <c r="AY264" s="2207"/>
      <c r="AZ264" s="2208"/>
      <c r="BA264" s="2200"/>
      <c r="BB264" s="956" t="b">
        <f t="shared" ca="1" si="71"/>
        <v>0</v>
      </c>
    </row>
    <row r="265" spans="2:54" ht="13.5" customHeight="1">
      <c r="B265" s="2445"/>
      <c r="C265" s="2521"/>
      <c r="D265" s="2444"/>
      <c r="E265" s="124" t="s">
        <v>777</v>
      </c>
      <c r="F265" s="2210" t="s">
        <v>1313</v>
      </c>
      <c r="G265" s="2210"/>
      <c r="H265" s="2210"/>
      <c r="I265" s="2210"/>
      <c r="J265" s="2210"/>
      <c r="K265" s="2210"/>
      <c r="L265" s="2210"/>
      <c r="M265" s="2210"/>
      <c r="N265" s="2210"/>
      <c r="O265" s="2210"/>
      <c r="P265" s="2211"/>
      <c r="Q265" s="2257">
        <v>9700</v>
      </c>
      <c r="R265" s="2224"/>
      <c r="S265" s="2224"/>
      <c r="T265" s="508" t="s">
        <v>1292</v>
      </c>
      <c r="U265" s="2225" t="s">
        <v>1031</v>
      </c>
      <c r="V265" s="2225"/>
      <c r="W265" s="2225"/>
      <c r="X265" s="508" t="s">
        <v>779</v>
      </c>
      <c r="Y265" s="2224">
        <v>1008</v>
      </c>
      <c r="Z265" s="2224"/>
      <c r="AA265" s="2224"/>
      <c r="AB265" s="508" t="s">
        <v>785</v>
      </c>
      <c r="AC265" s="2224"/>
      <c r="AD265" s="2224"/>
      <c r="AE265" s="2224"/>
      <c r="AF265" s="508" t="s">
        <v>785</v>
      </c>
      <c r="AG265" s="2224"/>
      <c r="AH265" s="2224"/>
      <c r="AI265" s="2226"/>
      <c r="AJ265" s="2212">
        <f t="shared" si="68"/>
        <v>10700</v>
      </c>
      <c r="AK265" s="2213"/>
      <c r="AL265" s="2214"/>
      <c r="AM265" s="2215">
        <v>1</v>
      </c>
      <c r="AN265" s="2216"/>
      <c r="AO265" s="2217"/>
      <c r="AP265" s="2209">
        <f t="shared" si="69"/>
        <v>10700</v>
      </c>
      <c r="AQ265" s="2210"/>
      <c r="AR265" s="2211"/>
      <c r="AS265" s="2203">
        <f ca="1">SUMIF(基礎・屋根・外壁!B$138:AE$138,F265,基礎・屋根・外壁!B$141:AE$141)+SUMIF(基礎・屋根・外壁!B$172:AE$172,F265,基礎・屋根・外壁!B$175:AE$175)+SUMIF(見積拾!C$49:D$53,F265,見積拾!T$49:T$53)</f>
        <v>0</v>
      </c>
      <c r="AT265" s="2204"/>
      <c r="AU265" s="2204"/>
      <c r="AV265" s="2205"/>
      <c r="AW265" s="2206">
        <f t="shared" ca="1" si="70"/>
        <v>0</v>
      </c>
      <c r="AX265" s="2207"/>
      <c r="AY265" s="2207"/>
      <c r="AZ265" s="2208"/>
      <c r="BA265" s="2200"/>
      <c r="BB265" s="956" t="b">
        <f t="shared" ca="1" si="71"/>
        <v>0</v>
      </c>
    </row>
    <row r="266" spans="2:54" ht="13.5" customHeight="1">
      <c r="B266" s="2445"/>
      <c r="C266" s="2521"/>
      <c r="D266" s="2444"/>
      <c r="E266" s="124" t="s">
        <v>777</v>
      </c>
      <c r="F266" s="2210" t="s">
        <v>1314</v>
      </c>
      <c r="G266" s="2210"/>
      <c r="H266" s="2210"/>
      <c r="I266" s="2210"/>
      <c r="J266" s="2210"/>
      <c r="K266" s="2210"/>
      <c r="L266" s="2210"/>
      <c r="M266" s="2210"/>
      <c r="N266" s="2210"/>
      <c r="O266" s="2210"/>
      <c r="P266" s="2211"/>
      <c r="Q266" s="2257">
        <v>9000</v>
      </c>
      <c r="R266" s="2224"/>
      <c r="S266" s="2224"/>
      <c r="T266" s="508" t="s">
        <v>1292</v>
      </c>
      <c r="U266" s="2225" t="s">
        <v>1031</v>
      </c>
      <c r="V266" s="2225"/>
      <c r="W266" s="2225"/>
      <c r="X266" s="508" t="s">
        <v>779</v>
      </c>
      <c r="Y266" s="2224">
        <v>1008</v>
      </c>
      <c r="Z266" s="2224"/>
      <c r="AA266" s="2224"/>
      <c r="AB266" s="508" t="s">
        <v>785</v>
      </c>
      <c r="AC266" s="2224"/>
      <c r="AD266" s="2224"/>
      <c r="AE266" s="2224"/>
      <c r="AF266" s="508" t="s">
        <v>785</v>
      </c>
      <c r="AG266" s="2224"/>
      <c r="AH266" s="2224"/>
      <c r="AI266" s="2226"/>
      <c r="AJ266" s="2212">
        <f t="shared" si="68"/>
        <v>10000</v>
      </c>
      <c r="AK266" s="2213"/>
      <c r="AL266" s="2214"/>
      <c r="AM266" s="2215">
        <v>1</v>
      </c>
      <c r="AN266" s="2216"/>
      <c r="AO266" s="2217"/>
      <c r="AP266" s="2209">
        <f t="shared" si="69"/>
        <v>10000</v>
      </c>
      <c r="AQ266" s="2210"/>
      <c r="AR266" s="2211"/>
      <c r="AS266" s="2203">
        <f ca="1">SUMIF(基礎・屋根・外壁!B$138:AE$138,F266,基礎・屋根・外壁!B$141:AE$141)+SUMIF(基礎・屋根・外壁!B$172:AE$172,F266,基礎・屋根・外壁!B$175:AE$175)+SUMIF(見積拾!C$49:D$53,F266,見積拾!T$49:T$53)</f>
        <v>0</v>
      </c>
      <c r="AT266" s="2204"/>
      <c r="AU266" s="2204"/>
      <c r="AV266" s="2205"/>
      <c r="AW266" s="2206">
        <f t="shared" ca="1" si="70"/>
        <v>0</v>
      </c>
      <c r="AX266" s="2207"/>
      <c r="AY266" s="2207"/>
      <c r="AZ266" s="2208"/>
      <c r="BA266" s="2200"/>
      <c r="BB266" s="956" t="b">
        <f t="shared" ca="1" si="71"/>
        <v>0</v>
      </c>
    </row>
    <row r="267" spans="2:54" ht="13.5" customHeight="1">
      <c r="B267" s="2445"/>
      <c r="C267" s="2521"/>
      <c r="D267" s="2444"/>
      <c r="E267" s="124" t="s">
        <v>777</v>
      </c>
      <c r="F267" s="2210" t="s">
        <v>1315</v>
      </c>
      <c r="G267" s="2210"/>
      <c r="H267" s="2210"/>
      <c r="I267" s="2210"/>
      <c r="J267" s="2210"/>
      <c r="K267" s="2210"/>
      <c r="L267" s="2210"/>
      <c r="M267" s="2210"/>
      <c r="N267" s="2210"/>
      <c r="O267" s="2210"/>
      <c r="P267" s="2211"/>
      <c r="Q267" s="2257">
        <v>13710</v>
      </c>
      <c r="R267" s="2224"/>
      <c r="S267" s="2224"/>
      <c r="T267" s="508" t="s">
        <v>1292</v>
      </c>
      <c r="U267" s="2225" t="s">
        <v>1031</v>
      </c>
      <c r="V267" s="2225"/>
      <c r="W267" s="2225"/>
      <c r="X267" s="508" t="s">
        <v>779</v>
      </c>
      <c r="Y267" s="2224">
        <v>1217</v>
      </c>
      <c r="Z267" s="2224"/>
      <c r="AA267" s="2224"/>
      <c r="AB267" s="508" t="s">
        <v>785</v>
      </c>
      <c r="AC267" s="2224"/>
      <c r="AD267" s="2224"/>
      <c r="AE267" s="2224"/>
      <c r="AF267" s="508" t="s">
        <v>785</v>
      </c>
      <c r="AG267" s="2224"/>
      <c r="AH267" s="2224"/>
      <c r="AI267" s="2226"/>
      <c r="AJ267" s="2212">
        <f t="shared" si="68"/>
        <v>14920</v>
      </c>
      <c r="AK267" s="2213"/>
      <c r="AL267" s="2214"/>
      <c r="AM267" s="2215">
        <v>1</v>
      </c>
      <c r="AN267" s="2216"/>
      <c r="AO267" s="2217"/>
      <c r="AP267" s="2209">
        <f t="shared" si="69"/>
        <v>14920</v>
      </c>
      <c r="AQ267" s="2210"/>
      <c r="AR267" s="2211"/>
      <c r="AS267" s="2203">
        <f ca="1">SUMIF(基礎・屋根・外壁!B$138:AE$138,F267,基礎・屋根・外壁!B$141:AE$141)+SUMIF(基礎・屋根・外壁!B$172:AE$172,F267,基礎・屋根・外壁!B$175:AE$175)+SUMIF(見積拾!C$49:D$53,F267,見積拾!T$49:T$53)</f>
        <v>0</v>
      </c>
      <c r="AT267" s="2204"/>
      <c r="AU267" s="2204"/>
      <c r="AV267" s="2205"/>
      <c r="AW267" s="2206">
        <f t="shared" ca="1" si="70"/>
        <v>0</v>
      </c>
      <c r="AX267" s="2207"/>
      <c r="AY267" s="2207"/>
      <c r="AZ267" s="2208"/>
      <c r="BA267" s="2200"/>
      <c r="BB267" s="956" t="b">
        <f t="shared" ca="1" si="71"/>
        <v>0</v>
      </c>
    </row>
    <row r="268" spans="2:54" ht="13.5" customHeight="1">
      <c r="B268" s="2445"/>
      <c r="C268" s="2521"/>
      <c r="D268" s="2444"/>
      <c r="E268" s="124" t="s">
        <v>777</v>
      </c>
      <c r="F268" s="2210" t="s">
        <v>1316</v>
      </c>
      <c r="G268" s="2210"/>
      <c r="H268" s="2210"/>
      <c r="I268" s="2210"/>
      <c r="J268" s="2210"/>
      <c r="K268" s="2210"/>
      <c r="L268" s="2210"/>
      <c r="M268" s="2210"/>
      <c r="N268" s="2210"/>
      <c r="O268" s="2210"/>
      <c r="P268" s="2211"/>
      <c r="Q268" s="2257">
        <v>9510</v>
      </c>
      <c r="R268" s="2224"/>
      <c r="S268" s="2224"/>
      <c r="T268" s="508" t="s">
        <v>1292</v>
      </c>
      <c r="U268" s="2225" t="s">
        <v>1031</v>
      </c>
      <c r="V268" s="2225"/>
      <c r="W268" s="2225"/>
      <c r="X268" s="508" t="s">
        <v>779</v>
      </c>
      <c r="Y268" s="2224">
        <v>877</v>
      </c>
      <c r="Z268" s="2224"/>
      <c r="AA268" s="2224"/>
      <c r="AB268" s="508" t="s">
        <v>785</v>
      </c>
      <c r="AC268" s="2224"/>
      <c r="AD268" s="2224"/>
      <c r="AE268" s="2224"/>
      <c r="AF268" s="508" t="s">
        <v>785</v>
      </c>
      <c r="AG268" s="2224"/>
      <c r="AH268" s="2224"/>
      <c r="AI268" s="2226"/>
      <c r="AJ268" s="2212">
        <f t="shared" si="68"/>
        <v>10380</v>
      </c>
      <c r="AK268" s="2213"/>
      <c r="AL268" s="2214"/>
      <c r="AM268" s="2215">
        <v>1</v>
      </c>
      <c r="AN268" s="2216"/>
      <c r="AO268" s="2217"/>
      <c r="AP268" s="2209">
        <f t="shared" si="69"/>
        <v>10380</v>
      </c>
      <c r="AQ268" s="2210"/>
      <c r="AR268" s="2211"/>
      <c r="AS268" s="2203">
        <f ca="1">SUMIF(基礎・屋根・外壁!B$138:AE$138,F268,基礎・屋根・外壁!B$141:AE$141)+SUMIF(基礎・屋根・外壁!B$172:AE$172,F268,基礎・屋根・外壁!B$175:AE$175)+SUMIF(見積拾!C$49:D$53,F268,見積拾!T$49:T$53)</f>
        <v>0</v>
      </c>
      <c r="AT268" s="2204"/>
      <c r="AU268" s="2204"/>
      <c r="AV268" s="2205"/>
      <c r="AW268" s="2206">
        <f t="shared" ca="1" si="70"/>
        <v>0</v>
      </c>
      <c r="AX268" s="2207"/>
      <c r="AY268" s="2207"/>
      <c r="AZ268" s="2208"/>
      <c r="BA268" s="2200"/>
      <c r="BB268" s="956" t="b">
        <f t="shared" ca="1" si="71"/>
        <v>0</v>
      </c>
    </row>
    <row r="269" spans="2:54" ht="13.5" customHeight="1">
      <c r="B269" s="2445"/>
      <c r="C269" s="2521"/>
      <c r="D269" s="2444"/>
      <c r="E269" s="124" t="s">
        <v>777</v>
      </c>
      <c r="F269" s="2210" t="s">
        <v>5602</v>
      </c>
      <c r="G269" s="2210"/>
      <c r="H269" s="2210"/>
      <c r="I269" s="2210"/>
      <c r="J269" s="2210"/>
      <c r="K269" s="2210"/>
      <c r="L269" s="2210"/>
      <c r="M269" s="2210"/>
      <c r="N269" s="2210"/>
      <c r="O269" s="2210"/>
      <c r="P269" s="2211"/>
      <c r="Q269" s="2257">
        <v>3832</v>
      </c>
      <c r="R269" s="2224"/>
      <c r="S269" s="2224"/>
      <c r="T269" s="508" t="s">
        <v>1292</v>
      </c>
      <c r="U269" s="2225" t="s">
        <v>1031</v>
      </c>
      <c r="V269" s="2225"/>
      <c r="W269" s="2225"/>
      <c r="X269" s="508" t="s">
        <v>779</v>
      </c>
      <c r="Y269" s="2225" t="s">
        <v>5685</v>
      </c>
      <c r="Z269" s="2225"/>
      <c r="AA269" s="2225"/>
      <c r="AB269" s="508" t="s">
        <v>796</v>
      </c>
      <c r="AC269" s="2224"/>
      <c r="AD269" s="2224"/>
      <c r="AE269" s="2224"/>
      <c r="AF269" s="508" t="s">
        <v>796</v>
      </c>
      <c r="AG269" s="2224"/>
      <c r="AH269" s="2224"/>
      <c r="AI269" s="2226"/>
      <c r="AJ269" s="2212">
        <f t="shared" si="68"/>
        <v>3830</v>
      </c>
      <c r="AK269" s="2213"/>
      <c r="AL269" s="2214"/>
      <c r="AM269" s="2215">
        <v>1</v>
      </c>
      <c r="AN269" s="2216"/>
      <c r="AO269" s="2217"/>
      <c r="AP269" s="2209">
        <f t="shared" si="69"/>
        <v>3830</v>
      </c>
      <c r="AQ269" s="2210"/>
      <c r="AR269" s="2211"/>
      <c r="AS269" s="2203">
        <f ca="1">SUMIF(基礎・屋根・外壁!B$138:AE$138,F269,基礎・屋根・外壁!B$141:AE$141)+SUMIF(基礎・屋根・外壁!B$172:AE$172,F269,基礎・屋根・外壁!B$175:AE$175)+SUMIF(見積拾!C$49:D$53,F269,見積拾!T$49:T$53)</f>
        <v>0</v>
      </c>
      <c r="AT269" s="2204"/>
      <c r="AU269" s="2204"/>
      <c r="AV269" s="2205"/>
      <c r="AW269" s="2206">
        <f t="shared" ca="1" si="70"/>
        <v>0</v>
      </c>
      <c r="AX269" s="2207"/>
      <c r="AY269" s="2207"/>
      <c r="AZ269" s="2208"/>
      <c r="BA269" s="2200"/>
      <c r="BB269" s="956" t="b">
        <f t="shared" ca="1" si="71"/>
        <v>0</v>
      </c>
    </row>
    <row r="270" spans="2:54" ht="13.5" customHeight="1">
      <c r="B270" s="2445"/>
      <c r="C270" s="2521"/>
      <c r="D270" s="2444"/>
      <c r="E270" s="124" t="s">
        <v>777</v>
      </c>
      <c r="F270" s="2210" t="s">
        <v>5465</v>
      </c>
      <c r="G270" s="2210"/>
      <c r="H270" s="2210"/>
      <c r="I270" s="2210"/>
      <c r="J270" s="2210"/>
      <c r="K270" s="2210"/>
      <c r="L270" s="2210"/>
      <c r="M270" s="2210"/>
      <c r="N270" s="2210"/>
      <c r="O270" s="2210"/>
      <c r="P270" s="2211"/>
      <c r="Q270" s="2257">
        <v>18386</v>
      </c>
      <c r="R270" s="2224"/>
      <c r="S270" s="2224"/>
      <c r="T270" s="508" t="s">
        <v>1292</v>
      </c>
      <c r="U270" s="2224">
        <v>5654</v>
      </c>
      <c r="V270" s="2224"/>
      <c r="W270" s="2224"/>
      <c r="X270" s="508" t="s">
        <v>779</v>
      </c>
      <c r="Y270" s="2224">
        <v>1800</v>
      </c>
      <c r="Z270" s="2224"/>
      <c r="AA270" s="2224"/>
      <c r="AB270" s="508" t="s">
        <v>797</v>
      </c>
      <c r="AC270" s="2224"/>
      <c r="AD270" s="2224"/>
      <c r="AE270" s="2224"/>
      <c r="AF270" s="508" t="s">
        <v>797</v>
      </c>
      <c r="AG270" s="2224"/>
      <c r="AH270" s="2224"/>
      <c r="AI270" s="2226"/>
      <c r="AJ270" s="2212">
        <f t="shared" si="68"/>
        <v>25840</v>
      </c>
      <c r="AK270" s="2213"/>
      <c r="AL270" s="2214"/>
      <c r="AM270" s="2215">
        <v>1</v>
      </c>
      <c r="AN270" s="2216"/>
      <c r="AO270" s="2217"/>
      <c r="AP270" s="2209">
        <f t="shared" si="69"/>
        <v>25840</v>
      </c>
      <c r="AQ270" s="2210"/>
      <c r="AR270" s="2211"/>
      <c r="AS270" s="2203">
        <f ca="1">SUMIF(基礎・屋根・外壁!B$138:AE$138,F270,基礎・屋根・外壁!B$141:AE$141)+SUMIF(基礎・屋根・外壁!B$172:AE$172,F270,基礎・屋根・外壁!B$175:AE$175)+SUMIF(見積拾!C$49:D$53,F270,見積拾!T$49:T$53)</f>
        <v>0</v>
      </c>
      <c r="AT270" s="2204"/>
      <c r="AU270" s="2204"/>
      <c r="AV270" s="2205"/>
      <c r="AW270" s="2206">
        <f t="shared" ca="1" si="70"/>
        <v>0</v>
      </c>
      <c r="AX270" s="2207"/>
      <c r="AY270" s="2207"/>
      <c r="AZ270" s="2208"/>
      <c r="BA270" s="2200"/>
      <c r="BB270" s="956" t="b">
        <f t="shared" ca="1" si="71"/>
        <v>0</v>
      </c>
    </row>
    <row r="271" spans="2:54" ht="13.5" customHeight="1">
      <c r="B271" s="2445"/>
      <c r="C271" s="2521"/>
      <c r="D271" s="2444"/>
      <c r="E271" s="1705" t="s">
        <v>798</v>
      </c>
      <c r="F271" s="2258" t="s">
        <v>782</v>
      </c>
      <c r="G271" s="2259"/>
      <c r="H271" s="2259"/>
      <c r="I271" s="2259"/>
      <c r="J271" s="2259"/>
      <c r="K271" s="2259"/>
      <c r="L271" s="2259"/>
      <c r="M271" s="2259"/>
      <c r="N271" s="2259"/>
      <c r="O271" s="2259"/>
      <c r="P271" s="2260"/>
      <c r="Q271" s="2323"/>
      <c r="R271" s="2259"/>
      <c r="S271" s="2259"/>
      <c r="T271" s="508" t="s">
        <v>789</v>
      </c>
      <c r="U271" s="2258"/>
      <c r="V271" s="2259"/>
      <c r="W271" s="2259"/>
      <c r="X271" s="508" t="s">
        <v>789</v>
      </c>
      <c r="Y271" s="2258"/>
      <c r="Z271" s="2259"/>
      <c r="AA271" s="2259"/>
      <c r="AB271" s="508" t="s">
        <v>789</v>
      </c>
      <c r="AC271" s="2258"/>
      <c r="AD271" s="2259"/>
      <c r="AE271" s="2259"/>
      <c r="AF271" s="508" t="s">
        <v>789</v>
      </c>
      <c r="AG271" s="2258"/>
      <c r="AH271" s="2259"/>
      <c r="AI271" s="2260"/>
      <c r="AJ271" s="2212">
        <f t="shared" si="68"/>
        <v>0</v>
      </c>
      <c r="AK271" s="2213"/>
      <c r="AL271" s="2214"/>
      <c r="AM271" s="2215">
        <v>1</v>
      </c>
      <c r="AN271" s="2216"/>
      <c r="AO271" s="2217"/>
      <c r="AP271" s="2209">
        <f t="shared" si="69"/>
        <v>0</v>
      </c>
      <c r="AQ271" s="2210"/>
      <c r="AR271" s="2211"/>
      <c r="AS271" s="2203">
        <f ca="1">SUMIF(基礎・屋根・外壁!B$138:AE$138,F271,基礎・屋根・外壁!B$141:AE$141)+SUMIF(基礎・屋根・外壁!B$172:AE$172,F271,基礎・屋根・外壁!B$175:AE$175)+SUMIF(見積拾!C$49:D$53,F271,見積拾!T$49:T$53)</f>
        <v>0</v>
      </c>
      <c r="AT271" s="2204"/>
      <c r="AU271" s="2204"/>
      <c r="AV271" s="2205"/>
      <c r="AW271" s="2206">
        <f t="shared" ca="1" si="70"/>
        <v>0</v>
      </c>
      <c r="AX271" s="2207"/>
      <c r="AY271" s="2207"/>
      <c r="AZ271" s="2208"/>
      <c r="BA271" s="2200"/>
      <c r="BB271" s="956" t="b">
        <f t="shared" ca="1" si="71"/>
        <v>0</v>
      </c>
    </row>
    <row r="272" spans="2:54" ht="13.5" customHeight="1" thickBot="1">
      <c r="B272" s="2445"/>
      <c r="C272" s="2521"/>
      <c r="D272" s="2444"/>
      <c r="E272" s="1706" t="s">
        <v>799</v>
      </c>
      <c r="F272" s="2316" t="s">
        <v>782</v>
      </c>
      <c r="G272" s="2317"/>
      <c r="H272" s="2317"/>
      <c r="I272" s="2317"/>
      <c r="J272" s="2317"/>
      <c r="K272" s="2317"/>
      <c r="L272" s="2317"/>
      <c r="M272" s="2317"/>
      <c r="N272" s="2317"/>
      <c r="O272" s="2317"/>
      <c r="P272" s="2331"/>
      <c r="Q272" s="2324"/>
      <c r="R272" s="2317"/>
      <c r="S272" s="2317"/>
      <c r="T272" s="514" t="s">
        <v>789</v>
      </c>
      <c r="U272" s="2316"/>
      <c r="V272" s="2317"/>
      <c r="W272" s="2317"/>
      <c r="X272" s="514" t="s">
        <v>789</v>
      </c>
      <c r="Y272" s="2316"/>
      <c r="Z272" s="2317"/>
      <c r="AA272" s="2317"/>
      <c r="AB272" s="514" t="s">
        <v>789</v>
      </c>
      <c r="AC272" s="2316"/>
      <c r="AD272" s="2317"/>
      <c r="AE272" s="2317"/>
      <c r="AF272" s="514" t="s">
        <v>789</v>
      </c>
      <c r="AG272" s="2316"/>
      <c r="AH272" s="2317"/>
      <c r="AI272" s="2331"/>
      <c r="AJ272" s="2212">
        <f t="shared" si="68"/>
        <v>0</v>
      </c>
      <c r="AK272" s="2213"/>
      <c r="AL272" s="2214"/>
      <c r="AM272" s="2215">
        <v>1</v>
      </c>
      <c r="AN272" s="2216"/>
      <c r="AO272" s="2217"/>
      <c r="AP272" s="2604">
        <f t="shared" si="69"/>
        <v>0</v>
      </c>
      <c r="AQ272" s="2605"/>
      <c r="AR272" s="2606"/>
      <c r="AS272" s="2203">
        <f ca="1">SUMIF(基礎・屋根・外壁!B$138:AE$138,F272,基礎・屋根・外壁!B$141:AE$141)+SUMIF(基礎・屋根・外壁!B$172:AE$172,F272,基礎・屋根・外壁!B$175:AE$175)+SUMIF(見積拾!C$49:D$53,F272,見積拾!T$49:T$53)</f>
        <v>0</v>
      </c>
      <c r="AT272" s="2204"/>
      <c r="AU272" s="2204"/>
      <c r="AV272" s="2205"/>
      <c r="AW272" s="2206">
        <f t="shared" ca="1" si="70"/>
        <v>0</v>
      </c>
      <c r="AX272" s="2207"/>
      <c r="AY272" s="2207"/>
      <c r="AZ272" s="2208"/>
      <c r="BA272" s="2200"/>
      <c r="BB272" s="956" t="b">
        <f t="shared" ca="1" si="71"/>
        <v>0</v>
      </c>
    </row>
    <row r="273" spans="1:54" ht="13.5" customHeight="1" thickBot="1">
      <c r="B273" s="2446"/>
      <c r="C273" s="2908"/>
      <c r="D273" s="2447"/>
      <c r="E273" s="1660"/>
      <c r="F273" s="1658"/>
      <c r="G273" s="1658"/>
      <c r="H273" s="1658"/>
      <c r="I273" s="1658"/>
      <c r="J273" s="1658"/>
      <c r="K273" s="1658"/>
      <c r="L273" s="1658"/>
      <c r="M273" s="1658"/>
      <c r="N273" s="1658"/>
      <c r="O273" s="1658"/>
      <c r="P273" s="1658"/>
      <c r="Q273" s="1660"/>
      <c r="R273" s="1658"/>
      <c r="S273" s="1658"/>
      <c r="T273" s="1658"/>
      <c r="U273" s="1658"/>
      <c r="V273" s="1658"/>
      <c r="W273" s="1658"/>
      <c r="X273" s="1658"/>
      <c r="Y273" s="1658"/>
      <c r="Z273" s="1658"/>
      <c r="AA273" s="1658"/>
      <c r="AB273" s="1658"/>
      <c r="AC273" s="1658"/>
      <c r="AD273" s="1658"/>
      <c r="AE273" s="1658"/>
      <c r="AF273" s="1658"/>
      <c r="AG273" s="1658"/>
      <c r="AH273" s="1658"/>
      <c r="AI273" s="1661"/>
      <c r="AJ273" s="2221" t="str">
        <f ca="1">IF(AS273=基礎・屋根・外壁!AF141+見積拾!T54,"面積合計及び部分別評点数","補助票と面積が違います！")</f>
        <v>面積合計及び部分別評点数</v>
      </c>
      <c r="AK273" s="2222"/>
      <c r="AL273" s="2222"/>
      <c r="AM273" s="2222"/>
      <c r="AN273" s="2222"/>
      <c r="AO273" s="2222"/>
      <c r="AP273" s="2222"/>
      <c r="AQ273" s="2222"/>
      <c r="AR273" s="2223"/>
      <c r="AS273" s="2254">
        <f ca="1">SUM(AS251:AV272)</f>
        <v>0</v>
      </c>
      <c r="AT273" s="2255"/>
      <c r="AU273" s="2255"/>
      <c r="AV273" s="2256"/>
      <c r="AW273" s="2246">
        <f ca="1">SUM(AW250:AZ272)</f>
        <v>0</v>
      </c>
      <c r="AX273" s="2246"/>
      <c r="AY273" s="2246"/>
      <c r="AZ273" s="2247"/>
      <c r="BA273" s="2200"/>
      <c r="BB273" s="956" t="b">
        <v>1</v>
      </c>
    </row>
    <row r="274" spans="1:54" ht="13.5" customHeight="1">
      <c r="BA274" s="2200"/>
      <c r="BB274" s="956" t="b">
        <v>0</v>
      </c>
    </row>
    <row r="275" spans="1:54" ht="13.5" customHeight="1">
      <c r="BA275" s="2200"/>
      <c r="BB275" s="956" t="b">
        <v>0</v>
      </c>
    </row>
    <row r="276" spans="1:54" ht="13.5" customHeight="1">
      <c r="B276" s="1523"/>
      <c r="C276" s="2089" t="s">
        <v>5699</v>
      </c>
      <c r="D276" s="2090"/>
      <c r="E276" s="2090"/>
      <c r="F276" s="2090"/>
      <c r="G276" s="2090"/>
      <c r="H276" s="2090"/>
      <c r="I276" s="2090"/>
      <c r="J276" s="2090"/>
      <c r="BA276" s="2200"/>
      <c r="BB276" s="956" t="b">
        <v>0</v>
      </c>
    </row>
    <row r="277" spans="1:54" ht="13.5" customHeight="1">
      <c r="BA277" s="2200"/>
      <c r="BB277" s="956" t="b">
        <v>0</v>
      </c>
    </row>
    <row r="278" spans="1:54" ht="13.5" customHeight="1">
      <c r="A278" s="963"/>
      <c r="B278" s="1573"/>
      <c r="C278" s="1574"/>
      <c r="D278" s="1662"/>
      <c r="E278" s="1663" t="s">
        <v>663</v>
      </c>
      <c r="F278" s="1591"/>
      <c r="G278" s="1591"/>
      <c r="H278" s="1591"/>
      <c r="I278" s="1591"/>
      <c r="J278" s="1591"/>
      <c r="K278" s="1591"/>
      <c r="L278" s="1591"/>
      <c r="M278" s="1591"/>
      <c r="N278" s="1591"/>
      <c r="O278" s="1591"/>
      <c r="P278" s="1592"/>
      <c r="Q278" s="1591" t="s">
        <v>769</v>
      </c>
      <c r="R278" s="1591"/>
      <c r="S278" s="1591"/>
      <c r="T278" s="1658"/>
      <c r="U278" s="1591" t="s">
        <v>770</v>
      </c>
      <c r="V278" s="1591"/>
      <c r="W278" s="1591"/>
      <c r="X278" s="1658"/>
      <c r="Y278" s="1591" t="s">
        <v>771</v>
      </c>
      <c r="Z278" s="1591"/>
      <c r="AA278" s="1591"/>
      <c r="AB278" s="1658"/>
      <c r="AC278" s="1591" t="s">
        <v>772</v>
      </c>
      <c r="AD278" s="1591"/>
      <c r="AE278" s="1591"/>
      <c r="AF278" s="1591" t="s">
        <v>772</v>
      </c>
      <c r="AG278" s="1591"/>
      <c r="AH278" s="1592"/>
      <c r="AI278" s="1592"/>
      <c r="AJ278" s="1654" t="s">
        <v>773</v>
      </c>
      <c r="AK278" s="1591"/>
      <c r="AL278" s="1592"/>
      <c r="AM278" s="1654" t="s">
        <v>669</v>
      </c>
      <c r="AN278" s="1591"/>
      <c r="AO278" s="1592"/>
      <c r="AP278" s="1654" t="s">
        <v>774</v>
      </c>
      <c r="AQ278" s="1591"/>
      <c r="AR278" s="1592"/>
      <c r="AS278" s="1655" t="s">
        <v>775</v>
      </c>
      <c r="AT278" s="1654"/>
      <c r="AU278" s="1654"/>
      <c r="AV278" s="1654"/>
      <c r="AW278" s="2241" t="s">
        <v>666</v>
      </c>
      <c r="AX278" s="2242"/>
      <c r="AY278" s="2242"/>
      <c r="AZ278" s="2242"/>
      <c r="BA278" s="2200"/>
      <c r="BB278" s="956" t="b">
        <v>0</v>
      </c>
    </row>
    <row r="279" spans="1:54" ht="13.5" customHeight="1">
      <c r="B279" s="2578" t="s">
        <v>800</v>
      </c>
      <c r="C279" s="2579"/>
      <c r="D279" s="2580"/>
      <c r="E279" s="122" t="s">
        <v>777</v>
      </c>
      <c r="F279" s="2909" t="s">
        <v>795</v>
      </c>
      <c r="G279" s="2909"/>
      <c r="H279" s="2909"/>
      <c r="I279" s="2909"/>
      <c r="J279" s="2909"/>
      <c r="K279" s="2909"/>
      <c r="L279" s="2909"/>
      <c r="M279" s="2909"/>
      <c r="N279" s="2909"/>
      <c r="O279" s="2909"/>
      <c r="P279" s="2910"/>
      <c r="Q279" s="2320"/>
      <c r="R279" s="2275"/>
      <c r="S279" s="2275"/>
      <c r="T279" s="505"/>
      <c r="U279" s="2275"/>
      <c r="V279" s="2275"/>
      <c r="W279" s="2275"/>
      <c r="X279" s="505"/>
      <c r="Y279" s="2275"/>
      <c r="Z279" s="2275"/>
      <c r="AA279" s="2275"/>
      <c r="AB279" s="505"/>
      <c r="AC279" s="2275"/>
      <c r="AD279" s="2275"/>
      <c r="AE279" s="2275"/>
      <c r="AF279" s="505"/>
      <c r="AG279" s="2275"/>
      <c r="AH279" s="2275"/>
      <c r="AI279" s="2319"/>
      <c r="AJ279" s="2212">
        <f t="shared" ref="AJ279:AJ303" si="72">ROUNDDOWN(SUM(Q279:AI279),-1)</f>
        <v>0</v>
      </c>
      <c r="AK279" s="2213"/>
      <c r="AL279" s="2214"/>
      <c r="AM279" s="2215">
        <v>1</v>
      </c>
      <c r="AN279" s="2216"/>
      <c r="AO279" s="2217"/>
      <c r="AP279" s="2212">
        <f t="shared" ref="AP279:AP303" si="73">INT(AJ279*AM279)</f>
        <v>0</v>
      </c>
      <c r="AQ279" s="2213"/>
      <c r="AR279" s="2214"/>
      <c r="AS279" s="2218"/>
      <c r="AT279" s="2219"/>
      <c r="AU279" s="2219"/>
      <c r="AV279" s="2220"/>
      <c r="AW279" s="2206">
        <f t="shared" ref="AW279:AW303" si="74">INT(AP279*AS279)</f>
        <v>0</v>
      </c>
      <c r="AX279" s="2207"/>
      <c r="AY279" s="2207"/>
      <c r="AZ279" s="2208"/>
      <c r="BA279" s="2200"/>
      <c r="BB279" s="956" t="b">
        <f ca="1">AW304=0</f>
        <v>1</v>
      </c>
    </row>
    <row r="280" spans="1:54" ht="13.5" customHeight="1">
      <c r="B280" s="2445"/>
      <c r="C280" s="2521"/>
      <c r="D280" s="2500"/>
      <c r="E280" s="957" t="s">
        <v>777</v>
      </c>
      <c r="F280" s="2210" t="s">
        <v>1034</v>
      </c>
      <c r="G280" s="2210"/>
      <c r="H280" s="2210"/>
      <c r="I280" s="2210"/>
      <c r="J280" s="2210"/>
      <c r="K280" s="2210"/>
      <c r="L280" s="2210"/>
      <c r="M280" s="2210"/>
      <c r="N280" s="2210"/>
      <c r="O280" s="2210"/>
      <c r="P280" s="2211"/>
      <c r="Q280" s="2257">
        <v>1407</v>
      </c>
      <c r="R280" s="2224"/>
      <c r="S280" s="2224"/>
      <c r="T280" s="508" t="s">
        <v>1292</v>
      </c>
      <c r="U280" s="2224">
        <v>2304</v>
      </c>
      <c r="V280" s="2224"/>
      <c r="W280" s="2224"/>
      <c r="X280" s="508" t="s">
        <v>779</v>
      </c>
      <c r="Y280" s="2224">
        <v>49</v>
      </c>
      <c r="Z280" s="2224"/>
      <c r="AA280" s="2224"/>
      <c r="AB280" s="508" t="s">
        <v>40</v>
      </c>
      <c r="AC280" s="2224"/>
      <c r="AD280" s="2224"/>
      <c r="AE280" s="2224"/>
      <c r="AF280" s="508" t="s">
        <v>40</v>
      </c>
      <c r="AG280" s="2224"/>
      <c r="AH280" s="2224"/>
      <c r="AI280" s="2226"/>
      <c r="AJ280" s="2212">
        <f t="shared" si="72"/>
        <v>3760</v>
      </c>
      <c r="AK280" s="2213"/>
      <c r="AL280" s="2214"/>
      <c r="AM280" s="2215">
        <v>1</v>
      </c>
      <c r="AN280" s="2216"/>
      <c r="AO280" s="2217"/>
      <c r="AP280" s="2209">
        <f t="shared" si="73"/>
        <v>3760</v>
      </c>
      <c r="AQ280" s="2210"/>
      <c r="AR280" s="2211"/>
      <c r="AS280" s="2203">
        <f ca="1">SUMIF(内壁・間仕切!A$26:AA$26,F280,内壁・間仕切!A$31:AA$31)+SUMIF(内壁・間仕切!A$64:AA$64,F280,内壁・間仕切!A$69:AA$69)+SUMIF(見積拾!C$57:D$61,F280,見積拾!T$57:T$61)</f>
        <v>0</v>
      </c>
      <c r="AT280" s="2204"/>
      <c r="AU280" s="2204"/>
      <c r="AV280" s="2205"/>
      <c r="AW280" s="2206">
        <f t="shared" ca="1" si="74"/>
        <v>0</v>
      </c>
      <c r="AX280" s="2207"/>
      <c r="AY280" s="2207"/>
      <c r="AZ280" s="2208"/>
      <c r="BA280" s="2200"/>
      <c r="BB280" s="956" t="b">
        <f t="shared" ref="BB280:BB303" ca="1" si="75">AW280&lt;&gt;0</f>
        <v>0</v>
      </c>
    </row>
    <row r="281" spans="1:54" ht="13.5" customHeight="1">
      <c r="B281" s="2445"/>
      <c r="C281" s="2521"/>
      <c r="D281" s="2500"/>
      <c r="E281" s="957" t="s">
        <v>777</v>
      </c>
      <c r="F281" s="2210" t="s">
        <v>1308</v>
      </c>
      <c r="G281" s="2210"/>
      <c r="H281" s="2210"/>
      <c r="I281" s="2210"/>
      <c r="J281" s="2210"/>
      <c r="K281" s="2210"/>
      <c r="L281" s="2210"/>
      <c r="M281" s="2210"/>
      <c r="N281" s="2210"/>
      <c r="O281" s="2210"/>
      <c r="P281" s="2211"/>
      <c r="Q281" s="2257">
        <v>2062</v>
      </c>
      <c r="R281" s="2224"/>
      <c r="S281" s="2224"/>
      <c r="T281" s="508" t="s">
        <v>1292</v>
      </c>
      <c r="U281" s="2224">
        <v>4200</v>
      </c>
      <c r="V281" s="2224"/>
      <c r="W281" s="2224"/>
      <c r="X281" s="508" t="s">
        <v>779</v>
      </c>
      <c r="Y281" s="2224">
        <v>1009</v>
      </c>
      <c r="Z281" s="2224"/>
      <c r="AA281" s="2224"/>
      <c r="AB281" s="508" t="s">
        <v>40</v>
      </c>
      <c r="AC281" s="2224"/>
      <c r="AD281" s="2224"/>
      <c r="AE281" s="2224"/>
      <c r="AF281" s="508" t="s">
        <v>40</v>
      </c>
      <c r="AG281" s="2224"/>
      <c r="AH281" s="2224"/>
      <c r="AI281" s="2226"/>
      <c r="AJ281" s="2212">
        <f t="shared" si="72"/>
        <v>7270</v>
      </c>
      <c r="AK281" s="2213"/>
      <c r="AL281" s="2214"/>
      <c r="AM281" s="2215">
        <v>1</v>
      </c>
      <c r="AN281" s="2216"/>
      <c r="AO281" s="2217"/>
      <c r="AP281" s="2209">
        <f t="shared" si="73"/>
        <v>7270</v>
      </c>
      <c r="AQ281" s="2210"/>
      <c r="AR281" s="2211"/>
      <c r="AS281" s="2203">
        <f ca="1">SUMIF(内壁・間仕切!A$26:AA$26,F281,内壁・間仕切!A$31:AA$31)+SUMIF(内壁・間仕切!A$64:AA$64,F281,内壁・間仕切!A$69:AA$69)+SUMIF(見積拾!C$57:D$61,F281,見積拾!T$57:T$61)</f>
        <v>0</v>
      </c>
      <c r="AT281" s="2204"/>
      <c r="AU281" s="2204"/>
      <c r="AV281" s="2205"/>
      <c r="AW281" s="2206">
        <f t="shared" ca="1" si="74"/>
        <v>0</v>
      </c>
      <c r="AX281" s="2207"/>
      <c r="AY281" s="2207"/>
      <c r="AZ281" s="2208"/>
      <c r="BA281" s="2200"/>
      <c r="BB281" s="956" t="b">
        <f t="shared" ca="1" si="75"/>
        <v>0</v>
      </c>
    </row>
    <row r="282" spans="1:54" ht="13.5" customHeight="1">
      <c r="B282" s="2445"/>
      <c r="C282" s="2521"/>
      <c r="D282" s="2500"/>
      <c r="E282" s="957" t="s">
        <v>777</v>
      </c>
      <c r="F282" s="2210" t="s">
        <v>1309</v>
      </c>
      <c r="G282" s="2210"/>
      <c r="H282" s="2210"/>
      <c r="I282" s="2210"/>
      <c r="J282" s="2210"/>
      <c r="K282" s="2210"/>
      <c r="L282" s="2210"/>
      <c r="M282" s="2210"/>
      <c r="N282" s="2210"/>
      <c r="O282" s="2210"/>
      <c r="P282" s="2211"/>
      <c r="Q282" s="2257">
        <v>1437</v>
      </c>
      <c r="R282" s="2224"/>
      <c r="S282" s="2224"/>
      <c r="T282" s="508" t="s">
        <v>1292</v>
      </c>
      <c r="U282" s="2224">
        <v>3080</v>
      </c>
      <c r="V282" s="2224"/>
      <c r="W282" s="2224"/>
      <c r="X282" s="508" t="s">
        <v>779</v>
      </c>
      <c r="Y282" s="2224">
        <v>726</v>
      </c>
      <c r="Z282" s="2224"/>
      <c r="AA282" s="2224"/>
      <c r="AB282" s="508" t="s">
        <v>40</v>
      </c>
      <c r="AC282" s="2224"/>
      <c r="AD282" s="2224"/>
      <c r="AE282" s="2224"/>
      <c r="AF282" s="508" t="s">
        <v>40</v>
      </c>
      <c r="AG282" s="2224"/>
      <c r="AH282" s="2224"/>
      <c r="AI282" s="2226"/>
      <c r="AJ282" s="2212">
        <f t="shared" si="72"/>
        <v>5240</v>
      </c>
      <c r="AK282" s="2213"/>
      <c r="AL282" s="2214"/>
      <c r="AM282" s="2215">
        <v>1</v>
      </c>
      <c r="AN282" s="2216"/>
      <c r="AO282" s="2217"/>
      <c r="AP282" s="2209">
        <f t="shared" si="73"/>
        <v>5240</v>
      </c>
      <c r="AQ282" s="2210"/>
      <c r="AR282" s="2211"/>
      <c r="AS282" s="2203">
        <f ca="1">SUMIF(内壁・間仕切!A$26:AA$26,F282,内壁・間仕切!A$31:AA$31)+SUMIF(内壁・間仕切!A$64:AA$64,F282,内壁・間仕切!A$69:AA$69)+SUMIF(見積拾!C$57:D$61,F282,見積拾!T$57:T$61)</f>
        <v>0</v>
      </c>
      <c r="AT282" s="2204"/>
      <c r="AU282" s="2204"/>
      <c r="AV282" s="2205"/>
      <c r="AW282" s="2206">
        <f t="shared" ca="1" si="74"/>
        <v>0</v>
      </c>
      <c r="AX282" s="2207"/>
      <c r="AY282" s="2207"/>
      <c r="AZ282" s="2208"/>
      <c r="BA282" s="2200"/>
      <c r="BB282" s="956" t="b">
        <f t="shared" ca="1" si="75"/>
        <v>0</v>
      </c>
    </row>
    <row r="283" spans="1:54" ht="13.5" customHeight="1">
      <c r="B283" s="2445"/>
      <c r="C283" s="2521"/>
      <c r="D283" s="2500"/>
      <c r="E283" s="957" t="s">
        <v>777</v>
      </c>
      <c r="F283" s="2210" t="s">
        <v>1035</v>
      </c>
      <c r="G283" s="2210"/>
      <c r="H283" s="2210"/>
      <c r="I283" s="2210"/>
      <c r="J283" s="2210"/>
      <c r="K283" s="2210"/>
      <c r="L283" s="2210"/>
      <c r="M283" s="2210"/>
      <c r="N283" s="2210"/>
      <c r="O283" s="2210"/>
      <c r="P283" s="2211"/>
      <c r="Q283" s="2257">
        <v>2727</v>
      </c>
      <c r="R283" s="2224"/>
      <c r="S283" s="2224"/>
      <c r="T283" s="508" t="s">
        <v>1292</v>
      </c>
      <c r="U283" s="2225" t="s">
        <v>1031</v>
      </c>
      <c r="V283" s="2225"/>
      <c r="W283" s="2225"/>
      <c r="X283" s="508" t="s">
        <v>779</v>
      </c>
      <c r="Y283" s="2225" t="s">
        <v>5685</v>
      </c>
      <c r="Z283" s="2225"/>
      <c r="AA283" s="2225"/>
      <c r="AB283" s="508" t="s">
        <v>40</v>
      </c>
      <c r="AC283" s="2224"/>
      <c r="AD283" s="2224"/>
      <c r="AE283" s="2224"/>
      <c r="AF283" s="508" t="s">
        <v>40</v>
      </c>
      <c r="AG283" s="2224"/>
      <c r="AH283" s="2224"/>
      <c r="AI283" s="2226"/>
      <c r="AJ283" s="2212">
        <f t="shared" si="72"/>
        <v>2720</v>
      </c>
      <c r="AK283" s="2213"/>
      <c r="AL283" s="2214"/>
      <c r="AM283" s="2215">
        <v>1</v>
      </c>
      <c r="AN283" s="2216"/>
      <c r="AO283" s="2217"/>
      <c r="AP283" s="2209">
        <f t="shared" si="73"/>
        <v>2720</v>
      </c>
      <c r="AQ283" s="2210"/>
      <c r="AR283" s="2211"/>
      <c r="AS283" s="2203">
        <f ca="1">SUMIF(内壁・間仕切!A$26:AA$26,F283,内壁・間仕切!A$31:AA$31)+SUMIF(内壁・間仕切!A$64:AA$64,F283,内壁・間仕切!A$69:AA$69)+SUMIF(見積拾!C$57:D$61,F283,見積拾!T$57:T$61)</f>
        <v>0</v>
      </c>
      <c r="AT283" s="2204"/>
      <c r="AU283" s="2204"/>
      <c r="AV283" s="2205"/>
      <c r="AW283" s="2206">
        <f t="shared" ca="1" si="74"/>
        <v>0</v>
      </c>
      <c r="AX283" s="2207"/>
      <c r="AY283" s="2207"/>
      <c r="AZ283" s="2208"/>
      <c r="BA283" s="2200"/>
      <c r="BB283" s="956" t="b">
        <f t="shared" ca="1" si="75"/>
        <v>0</v>
      </c>
    </row>
    <row r="284" spans="1:54" ht="13.5" customHeight="1">
      <c r="B284" s="2445"/>
      <c r="C284" s="2521"/>
      <c r="D284" s="2500"/>
      <c r="E284" s="957" t="s">
        <v>777</v>
      </c>
      <c r="F284" s="2210" t="s">
        <v>5603</v>
      </c>
      <c r="G284" s="2210"/>
      <c r="H284" s="2210"/>
      <c r="I284" s="2210"/>
      <c r="J284" s="2210"/>
      <c r="K284" s="2210"/>
      <c r="L284" s="2210"/>
      <c r="M284" s="2210"/>
      <c r="N284" s="2210"/>
      <c r="O284" s="2210"/>
      <c r="P284" s="2211"/>
      <c r="Q284" s="2257">
        <v>2600</v>
      </c>
      <c r="R284" s="2224"/>
      <c r="S284" s="2224"/>
      <c r="T284" s="508" t="s">
        <v>1292</v>
      </c>
      <c r="U284" s="2225" t="s">
        <v>1031</v>
      </c>
      <c r="V284" s="2225"/>
      <c r="W284" s="2225"/>
      <c r="X284" s="508" t="s">
        <v>779</v>
      </c>
      <c r="Y284" s="2225" t="s">
        <v>5685</v>
      </c>
      <c r="Z284" s="2225"/>
      <c r="AA284" s="2225"/>
      <c r="AB284" s="508" t="s">
        <v>801</v>
      </c>
      <c r="AC284" s="2224"/>
      <c r="AD284" s="2224"/>
      <c r="AE284" s="2224"/>
      <c r="AF284" s="508" t="s">
        <v>801</v>
      </c>
      <c r="AG284" s="2224"/>
      <c r="AH284" s="2224"/>
      <c r="AI284" s="2226"/>
      <c r="AJ284" s="2212">
        <f t="shared" si="72"/>
        <v>2600</v>
      </c>
      <c r="AK284" s="2213"/>
      <c r="AL284" s="2214"/>
      <c r="AM284" s="2215">
        <v>1</v>
      </c>
      <c r="AN284" s="2216"/>
      <c r="AO284" s="2217"/>
      <c r="AP284" s="2209">
        <f t="shared" si="73"/>
        <v>2600</v>
      </c>
      <c r="AQ284" s="2210"/>
      <c r="AR284" s="2211"/>
      <c r="AS284" s="2203">
        <f ca="1">SUMIF(内壁・間仕切!A$26:AA$26,F284,内壁・間仕切!A$31:AA$31)+SUMIF(内壁・間仕切!A$64:AA$64,F284,内壁・間仕切!A$69:AA$69)+SUMIF(見積拾!C$57:D$61,F284,見積拾!T$57:T$61)</f>
        <v>0</v>
      </c>
      <c r="AT284" s="2204"/>
      <c r="AU284" s="2204"/>
      <c r="AV284" s="2205"/>
      <c r="AW284" s="2206">
        <f t="shared" ca="1" si="74"/>
        <v>0</v>
      </c>
      <c r="AX284" s="2207"/>
      <c r="AY284" s="2207"/>
      <c r="AZ284" s="2208"/>
      <c r="BA284" s="2200"/>
      <c r="BB284" s="956" t="b">
        <f t="shared" ca="1" si="75"/>
        <v>0</v>
      </c>
    </row>
    <row r="285" spans="1:54" ht="13.5" customHeight="1">
      <c r="B285" s="2445"/>
      <c r="C285" s="2521"/>
      <c r="D285" s="2500"/>
      <c r="E285" s="957" t="s">
        <v>777</v>
      </c>
      <c r="F285" s="2210" t="s">
        <v>5604</v>
      </c>
      <c r="G285" s="2210"/>
      <c r="H285" s="2210"/>
      <c r="I285" s="2210"/>
      <c r="J285" s="2210"/>
      <c r="K285" s="2210"/>
      <c r="L285" s="2210"/>
      <c r="M285" s="2210"/>
      <c r="N285" s="2210"/>
      <c r="O285" s="2210"/>
      <c r="P285" s="2211"/>
      <c r="Q285" s="2257">
        <v>1830</v>
      </c>
      <c r="R285" s="2224"/>
      <c r="S285" s="2224"/>
      <c r="T285" s="508" t="s">
        <v>1292</v>
      </c>
      <c r="U285" s="2225" t="s">
        <v>1031</v>
      </c>
      <c r="V285" s="2225"/>
      <c r="W285" s="2225"/>
      <c r="X285" s="508" t="s">
        <v>779</v>
      </c>
      <c r="Y285" s="2225" t="s">
        <v>5685</v>
      </c>
      <c r="Z285" s="2225"/>
      <c r="AA285" s="2225"/>
      <c r="AB285" s="508" t="s">
        <v>785</v>
      </c>
      <c r="AC285" s="2224"/>
      <c r="AD285" s="2224"/>
      <c r="AE285" s="2224"/>
      <c r="AF285" s="508" t="s">
        <v>785</v>
      </c>
      <c r="AG285" s="2224"/>
      <c r="AH285" s="2224"/>
      <c r="AI285" s="2226"/>
      <c r="AJ285" s="2212">
        <f t="shared" si="72"/>
        <v>1830</v>
      </c>
      <c r="AK285" s="2213"/>
      <c r="AL285" s="2214"/>
      <c r="AM285" s="2215">
        <v>1</v>
      </c>
      <c r="AN285" s="2216"/>
      <c r="AO285" s="2217"/>
      <c r="AP285" s="2209">
        <f t="shared" si="73"/>
        <v>1830</v>
      </c>
      <c r="AQ285" s="2210"/>
      <c r="AR285" s="2211"/>
      <c r="AS285" s="2203">
        <f ca="1">SUMIF(内壁・間仕切!A$26:AA$26,F285,内壁・間仕切!A$31:AA$31)+SUMIF(内壁・間仕切!A$64:AA$64,F285,内壁・間仕切!A$69:AA$69)+SUMIF(見積拾!C$57:D$61,F285,見積拾!T$57:T$61)</f>
        <v>0</v>
      </c>
      <c r="AT285" s="2204"/>
      <c r="AU285" s="2204"/>
      <c r="AV285" s="2205"/>
      <c r="AW285" s="2206">
        <f t="shared" ca="1" si="74"/>
        <v>0</v>
      </c>
      <c r="AX285" s="2207"/>
      <c r="AY285" s="2207"/>
      <c r="AZ285" s="2208"/>
      <c r="BA285" s="2200"/>
      <c r="BB285" s="956" t="b">
        <f t="shared" ca="1" si="75"/>
        <v>0</v>
      </c>
    </row>
    <row r="286" spans="1:54" ht="13.5" customHeight="1">
      <c r="B286" s="2445"/>
      <c r="C286" s="2521"/>
      <c r="D286" s="2500"/>
      <c r="E286" s="957" t="s">
        <v>777</v>
      </c>
      <c r="F286" s="2210" t="s">
        <v>1310</v>
      </c>
      <c r="G286" s="2210"/>
      <c r="H286" s="2210"/>
      <c r="I286" s="2210"/>
      <c r="J286" s="2210"/>
      <c r="K286" s="2210"/>
      <c r="L286" s="2210"/>
      <c r="M286" s="2210"/>
      <c r="N286" s="2210"/>
      <c r="O286" s="2210"/>
      <c r="P286" s="2211"/>
      <c r="Q286" s="2257">
        <v>14047</v>
      </c>
      <c r="R286" s="2224"/>
      <c r="S286" s="2224"/>
      <c r="T286" s="508" t="s">
        <v>1292</v>
      </c>
      <c r="U286" s="2225" t="s">
        <v>1031</v>
      </c>
      <c r="V286" s="2225"/>
      <c r="W286" s="2225"/>
      <c r="X286" s="508" t="s">
        <v>779</v>
      </c>
      <c r="Y286" s="2224">
        <v>1817</v>
      </c>
      <c r="Z286" s="2224"/>
      <c r="AA286" s="2224"/>
      <c r="AB286" s="508" t="s">
        <v>785</v>
      </c>
      <c r="AC286" s="2224"/>
      <c r="AD286" s="2224"/>
      <c r="AE286" s="2224"/>
      <c r="AF286" s="508" t="s">
        <v>785</v>
      </c>
      <c r="AG286" s="2224"/>
      <c r="AH286" s="2224"/>
      <c r="AI286" s="2226"/>
      <c r="AJ286" s="2212">
        <f t="shared" si="72"/>
        <v>15860</v>
      </c>
      <c r="AK286" s="2213"/>
      <c r="AL286" s="2214"/>
      <c r="AM286" s="2215">
        <v>1</v>
      </c>
      <c r="AN286" s="2216"/>
      <c r="AO286" s="2217"/>
      <c r="AP286" s="2209">
        <f t="shared" si="73"/>
        <v>15860</v>
      </c>
      <c r="AQ286" s="2210"/>
      <c r="AR286" s="2211"/>
      <c r="AS286" s="2203">
        <f ca="1">SUMIF(内壁・間仕切!A$26:AA$26,F286,内壁・間仕切!A$31:AA$31)+SUMIF(内壁・間仕切!A$64:AA$64,F286,内壁・間仕切!A$69:AA$69)+SUMIF(見積拾!C$57:D$61,F286,見積拾!T$57:T$61)</f>
        <v>0</v>
      </c>
      <c r="AT286" s="2204"/>
      <c r="AU286" s="2204"/>
      <c r="AV286" s="2205"/>
      <c r="AW286" s="2206">
        <f t="shared" ca="1" si="74"/>
        <v>0</v>
      </c>
      <c r="AX286" s="2207"/>
      <c r="AY286" s="2207"/>
      <c r="AZ286" s="2208"/>
      <c r="BA286" s="2200"/>
      <c r="BB286" s="956" t="b">
        <f t="shared" ca="1" si="75"/>
        <v>0</v>
      </c>
    </row>
    <row r="287" spans="1:54" ht="13.5" customHeight="1">
      <c r="B287" s="2445"/>
      <c r="C287" s="2521"/>
      <c r="D287" s="2500"/>
      <c r="E287" s="957" t="s">
        <v>777</v>
      </c>
      <c r="F287" s="2210" t="s">
        <v>1293</v>
      </c>
      <c r="G287" s="2210"/>
      <c r="H287" s="2210"/>
      <c r="I287" s="2210"/>
      <c r="J287" s="2210"/>
      <c r="K287" s="2210"/>
      <c r="L287" s="2210"/>
      <c r="M287" s="2210"/>
      <c r="N287" s="2210"/>
      <c r="O287" s="2210"/>
      <c r="P287" s="2211"/>
      <c r="Q287" s="2257">
        <v>10200</v>
      </c>
      <c r="R287" s="2224"/>
      <c r="S287" s="2224"/>
      <c r="T287" s="508" t="s">
        <v>1292</v>
      </c>
      <c r="U287" s="2225" t="s">
        <v>1031</v>
      </c>
      <c r="V287" s="2225"/>
      <c r="W287" s="2225"/>
      <c r="X287" s="508" t="s">
        <v>779</v>
      </c>
      <c r="Y287" s="2225" t="s">
        <v>5685</v>
      </c>
      <c r="Z287" s="2225"/>
      <c r="AA287" s="2225"/>
      <c r="AB287" s="508" t="s">
        <v>785</v>
      </c>
      <c r="AC287" s="2224"/>
      <c r="AD287" s="2224"/>
      <c r="AE287" s="2224"/>
      <c r="AF287" s="508" t="s">
        <v>785</v>
      </c>
      <c r="AG287" s="2224"/>
      <c r="AH287" s="2224"/>
      <c r="AI287" s="2226"/>
      <c r="AJ287" s="2212">
        <f t="shared" si="72"/>
        <v>10200</v>
      </c>
      <c r="AK287" s="2213"/>
      <c r="AL287" s="2214"/>
      <c r="AM287" s="2215">
        <v>1</v>
      </c>
      <c r="AN287" s="2216"/>
      <c r="AO287" s="2217"/>
      <c r="AP287" s="2209">
        <f t="shared" si="73"/>
        <v>10200</v>
      </c>
      <c r="AQ287" s="2210"/>
      <c r="AR287" s="2211"/>
      <c r="AS287" s="2203">
        <f ca="1">SUMIF(内壁・間仕切!A$26:AA$26,F287,内壁・間仕切!A$31:AA$31)+SUMIF(内壁・間仕切!A$64:AA$64,F287,内壁・間仕切!A$69:AA$69)+SUMIF(見積拾!C$57:D$61,F287,見積拾!T$57:T$61)</f>
        <v>0</v>
      </c>
      <c r="AT287" s="2204"/>
      <c r="AU287" s="2204"/>
      <c r="AV287" s="2205"/>
      <c r="AW287" s="2206">
        <f t="shared" ca="1" si="74"/>
        <v>0</v>
      </c>
      <c r="AX287" s="2207"/>
      <c r="AY287" s="2207"/>
      <c r="AZ287" s="2208"/>
      <c r="BA287" s="2200"/>
      <c r="BB287" s="956" t="b">
        <f t="shared" ca="1" si="75"/>
        <v>0</v>
      </c>
    </row>
    <row r="288" spans="1:54" ht="13.5" customHeight="1">
      <c r="B288" s="2445"/>
      <c r="C288" s="2521"/>
      <c r="D288" s="2500"/>
      <c r="E288" s="957" t="s">
        <v>777</v>
      </c>
      <c r="F288" s="2210" t="s">
        <v>1294</v>
      </c>
      <c r="G288" s="2210"/>
      <c r="H288" s="2210"/>
      <c r="I288" s="2210"/>
      <c r="J288" s="2210"/>
      <c r="K288" s="2210"/>
      <c r="L288" s="2210"/>
      <c r="M288" s="2210"/>
      <c r="N288" s="2210"/>
      <c r="O288" s="2210"/>
      <c r="P288" s="2211"/>
      <c r="Q288" s="2257">
        <v>8980</v>
      </c>
      <c r="R288" s="2224"/>
      <c r="S288" s="2224"/>
      <c r="T288" s="508" t="s">
        <v>1292</v>
      </c>
      <c r="U288" s="2225" t="s">
        <v>1031</v>
      </c>
      <c r="V288" s="2225"/>
      <c r="W288" s="2225"/>
      <c r="X288" s="508" t="s">
        <v>779</v>
      </c>
      <c r="Y288" s="2225" t="s">
        <v>5685</v>
      </c>
      <c r="Z288" s="2225"/>
      <c r="AA288" s="2225"/>
      <c r="AB288" s="508" t="s">
        <v>785</v>
      </c>
      <c r="AC288" s="2224"/>
      <c r="AD288" s="2224"/>
      <c r="AE288" s="2224"/>
      <c r="AF288" s="508" t="s">
        <v>785</v>
      </c>
      <c r="AG288" s="2224"/>
      <c r="AH288" s="2224"/>
      <c r="AI288" s="2226"/>
      <c r="AJ288" s="2212">
        <f t="shared" si="72"/>
        <v>8980</v>
      </c>
      <c r="AK288" s="2213"/>
      <c r="AL288" s="2214"/>
      <c r="AM288" s="2215">
        <v>1</v>
      </c>
      <c r="AN288" s="2216"/>
      <c r="AO288" s="2217"/>
      <c r="AP288" s="2209">
        <f t="shared" si="73"/>
        <v>8980</v>
      </c>
      <c r="AQ288" s="2210"/>
      <c r="AR288" s="2211"/>
      <c r="AS288" s="2203">
        <f ca="1">SUMIF(内壁・間仕切!A$26:AA$26,F288,内壁・間仕切!A$31:AA$31)+SUMIF(内壁・間仕切!A$64:AA$64,F288,内壁・間仕切!A$69:AA$69)+SUMIF(見積拾!C$57:D$61,F288,見積拾!T$57:T$61)</f>
        <v>0</v>
      </c>
      <c r="AT288" s="2204"/>
      <c r="AU288" s="2204"/>
      <c r="AV288" s="2205"/>
      <c r="AW288" s="2206">
        <f t="shared" ca="1" si="74"/>
        <v>0</v>
      </c>
      <c r="AX288" s="2207"/>
      <c r="AY288" s="2207"/>
      <c r="AZ288" s="2208"/>
      <c r="BA288" s="2200"/>
      <c r="BB288" s="956" t="b">
        <f t="shared" ca="1" si="75"/>
        <v>0</v>
      </c>
    </row>
    <row r="289" spans="2:54" ht="13.5" customHeight="1">
      <c r="B289" s="2445"/>
      <c r="C289" s="2521"/>
      <c r="D289" s="2500"/>
      <c r="E289" s="957" t="s">
        <v>777</v>
      </c>
      <c r="F289" s="2210" t="s">
        <v>1295</v>
      </c>
      <c r="G289" s="2210"/>
      <c r="H289" s="2210"/>
      <c r="I289" s="2210"/>
      <c r="J289" s="2210"/>
      <c r="K289" s="2210"/>
      <c r="L289" s="2210"/>
      <c r="M289" s="2210"/>
      <c r="N289" s="2210"/>
      <c r="O289" s="2210"/>
      <c r="P289" s="2211"/>
      <c r="Q289" s="2257">
        <v>7890</v>
      </c>
      <c r="R289" s="2224"/>
      <c r="S289" s="2224"/>
      <c r="T289" s="508" t="s">
        <v>1292</v>
      </c>
      <c r="U289" s="2225" t="s">
        <v>1031</v>
      </c>
      <c r="V289" s="2225"/>
      <c r="W289" s="2225"/>
      <c r="X289" s="508" t="s">
        <v>779</v>
      </c>
      <c r="Y289" s="2225" t="s">
        <v>5685</v>
      </c>
      <c r="Z289" s="2225"/>
      <c r="AA289" s="2225"/>
      <c r="AB289" s="508" t="s">
        <v>785</v>
      </c>
      <c r="AC289" s="2224"/>
      <c r="AD289" s="2224"/>
      <c r="AE289" s="2224"/>
      <c r="AF289" s="508" t="s">
        <v>785</v>
      </c>
      <c r="AG289" s="2224"/>
      <c r="AH289" s="2224"/>
      <c r="AI289" s="2226"/>
      <c r="AJ289" s="2212">
        <f t="shared" si="72"/>
        <v>7890</v>
      </c>
      <c r="AK289" s="2213"/>
      <c r="AL289" s="2214"/>
      <c r="AM289" s="2215">
        <v>1</v>
      </c>
      <c r="AN289" s="2216"/>
      <c r="AO289" s="2217"/>
      <c r="AP289" s="2209">
        <f t="shared" si="73"/>
        <v>7890</v>
      </c>
      <c r="AQ289" s="2210"/>
      <c r="AR289" s="2211"/>
      <c r="AS289" s="2203">
        <f ca="1">SUMIF(内壁・間仕切!A$26:AA$26,F289,内壁・間仕切!A$31:AA$31)+SUMIF(内壁・間仕切!A$64:AA$64,F289,内壁・間仕切!A$69:AA$69)+SUMIF(見積拾!C$57:D$61,F289,見積拾!T$57:T$61)</f>
        <v>0</v>
      </c>
      <c r="AT289" s="2204"/>
      <c r="AU289" s="2204"/>
      <c r="AV289" s="2205"/>
      <c r="AW289" s="2206">
        <f t="shared" ca="1" si="74"/>
        <v>0</v>
      </c>
      <c r="AX289" s="2207"/>
      <c r="AY289" s="2207"/>
      <c r="AZ289" s="2208"/>
      <c r="BA289" s="2200"/>
      <c r="BB289" s="956" t="b">
        <f t="shared" ca="1" si="75"/>
        <v>0</v>
      </c>
    </row>
    <row r="290" spans="2:54" ht="13.5" customHeight="1">
      <c r="B290" s="2445"/>
      <c r="C290" s="2521"/>
      <c r="D290" s="2500"/>
      <c r="E290" s="957" t="s">
        <v>777</v>
      </c>
      <c r="F290" s="2210" t="s">
        <v>1296</v>
      </c>
      <c r="G290" s="2210"/>
      <c r="H290" s="2210"/>
      <c r="I290" s="2210"/>
      <c r="J290" s="2210"/>
      <c r="K290" s="2210"/>
      <c r="L290" s="2210"/>
      <c r="M290" s="2210"/>
      <c r="N290" s="2210"/>
      <c r="O290" s="2210"/>
      <c r="P290" s="2211"/>
      <c r="Q290" s="2257">
        <v>6510</v>
      </c>
      <c r="R290" s="2224"/>
      <c r="S290" s="2224"/>
      <c r="T290" s="508" t="s">
        <v>1292</v>
      </c>
      <c r="U290" s="2225" t="s">
        <v>1031</v>
      </c>
      <c r="V290" s="2225"/>
      <c r="W290" s="2225"/>
      <c r="X290" s="508" t="s">
        <v>779</v>
      </c>
      <c r="Y290" s="2225" t="s">
        <v>5685</v>
      </c>
      <c r="Z290" s="2225"/>
      <c r="AA290" s="2225"/>
      <c r="AB290" s="508" t="s">
        <v>785</v>
      </c>
      <c r="AC290" s="2224"/>
      <c r="AD290" s="2224"/>
      <c r="AE290" s="2224"/>
      <c r="AF290" s="508" t="s">
        <v>785</v>
      </c>
      <c r="AG290" s="2224"/>
      <c r="AH290" s="2224"/>
      <c r="AI290" s="2226"/>
      <c r="AJ290" s="2212">
        <f t="shared" si="72"/>
        <v>6510</v>
      </c>
      <c r="AK290" s="2213"/>
      <c r="AL290" s="2214"/>
      <c r="AM290" s="2215">
        <v>1</v>
      </c>
      <c r="AN290" s="2216"/>
      <c r="AO290" s="2217"/>
      <c r="AP290" s="2209">
        <f t="shared" si="73"/>
        <v>6510</v>
      </c>
      <c r="AQ290" s="2210"/>
      <c r="AR290" s="2211"/>
      <c r="AS290" s="2203">
        <f ca="1">SUMIF(内壁・間仕切!A$26:AA$26,F290,内壁・間仕切!A$31:AA$31)+SUMIF(内壁・間仕切!A$64:AA$64,F290,内壁・間仕切!A$69:AA$69)+SUMIF(見積拾!C$57:D$61,F290,見積拾!T$57:T$61)</f>
        <v>0</v>
      </c>
      <c r="AT290" s="2204"/>
      <c r="AU290" s="2204"/>
      <c r="AV290" s="2205"/>
      <c r="AW290" s="2206">
        <f t="shared" ca="1" si="74"/>
        <v>0</v>
      </c>
      <c r="AX290" s="2207"/>
      <c r="AY290" s="2207"/>
      <c r="AZ290" s="2208"/>
      <c r="BA290" s="2200"/>
      <c r="BB290" s="956" t="b">
        <f t="shared" ca="1" si="75"/>
        <v>0</v>
      </c>
    </row>
    <row r="291" spans="2:54" ht="13.5" customHeight="1">
      <c r="B291" s="2445"/>
      <c r="C291" s="2521"/>
      <c r="D291" s="2500"/>
      <c r="E291" s="957" t="s">
        <v>777</v>
      </c>
      <c r="F291" s="2210" t="s">
        <v>1311</v>
      </c>
      <c r="G291" s="2210"/>
      <c r="H291" s="2210"/>
      <c r="I291" s="2210"/>
      <c r="J291" s="2210"/>
      <c r="K291" s="2210"/>
      <c r="L291" s="2210"/>
      <c r="M291" s="2210"/>
      <c r="N291" s="2210"/>
      <c r="O291" s="2210"/>
      <c r="P291" s="2211"/>
      <c r="Q291" s="2257">
        <v>4890</v>
      </c>
      <c r="R291" s="2224"/>
      <c r="S291" s="2224"/>
      <c r="T291" s="508" t="s">
        <v>1292</v>
      </c>
      <c r="U291" s="2225" t="s">
        <v>1031</v>
      </c>
      <c r="V291" s="2225"/>
      <c r="W291" s="2225"/>
      <c r="X291" s="508" t="s">
        <v>779</v>
      </c>
      <c r="Y291" s="2224">
        <v>484</v>
      </c>
      <c r="Z291" s="2224"/>
      <c r="AA291" s="2224"/>
      <c r="AB291" s="508" t="s">
        <v>802</v>
      </c>
      <c r="AC291" s="2224"/>
      <c r="AD291" s="2224"/>
      <c r="AE291" s="2224"/>
      <c r="AF291" s="508" t="s">
        <v>802</v>
      </c>
      <c r="AG291" s="2224"/>
      <c r="AH291" s="2224"/>
      <c r="AI291" s="2226"/>
      <c r="AJ291" s="2212">
        <f t="shared" si="72"/>
        <v>5370</v>
      </c>
      <c r="AK291" s="2213"/>
      <c r="AL291" s="2214"/>
      <c r="AM291" s="2215">
        <v>1</v>
      </c>
      <c r="AN291" s="2216"/>
      <c r="AO291" s="2217"/>
      <c r="AP291" s="2209">
        <f t="shared" si="73"/>
        <v>5370</v>
      </c>
      <c r="AQ291" s="2210"/>
      <c r="AR291" s="2211"/>
      <c r="AS291" s="2203">
        <f ca="1">SUMIF(内壁・間仕切!A$26:AA$26,F291,内壁・間仕切!A$31:AA$31)+SUMIF(内壁・間仕切!A$64:AA$64,F291,内壁・間仕切!A$69:AA$69)+SUMIF(見積拾!C$57:D$61,F291,見積拾!T$57:T$61)</f>
        <v>0</v>
      </c>
      <c r="AT291" s="2204"/>
      <c r="AU291" s="2204"/>
      <c r="AV291" s="2205"/>
      <c r="AW291" s="2206">
        <f t="shared" ca="1" si="74"/>
        <v>0</v>
      </c>
      <c r="AX291" s="2207"/>
      <c r="AY291" s="2207"/>
      <c r="AZ291" s="2208"/>
      <c r="BA291" s="2200"/>
      <c r="BB291" s="956" t="b">
        <f t="shared" ca="1" si="75"/>
        <v>0</v>
      </c>
    </row>
    <row r="292" spans="2:54" ht="13.5" customHeight="1">
      <c r="B292" s="2445"/>
      <c r="C292" s="2521"/>
      <c r="D292" s="2500"/>
      <c r="E292" s="957" t="s">
        <v>777</v>
      </c>
      <c r="F292" s="2210" t="s">
        <v>1297</v>
      </c>
      <c r="G292" s="2210"/>
      <c r="H292" s="2210"/>
      <c r="I292" s="2210"/>
      <c r="J292" s="2210"/>
      <c r="K292" s="2210"/>
      <c r="L292" s="2210"/>
      <c r="M292" s="2210"/>
      <c r="N292" s="2210"/>
      <c r="O292" s="2210"/>
      <c r="P292" s="2211"/>
      <c r="Q292" s="2257">
        <v>16658</v>
      </c>
      <c r="R292" s="2224"/>
      <c r="S292" s="2224"/>
      <c r="T292" s="508" t="s">
        <v>1292</v>
      </c>
      <c r="U292" s="2225" t="s">
        <v>1031</v>
      </c>
      <c r="V292" s="2225"/>
      <c r="W292" s="2225"/>
      <c r="X292" s="508" t="s">
        <v>779</v>
      </c>
      <c r="Y292" s="2224">
        <v>733</v>
      </c>
      <c r="Z292" s="2224"/>
      <c r="AA292" s="2224"/>
      <c r="AB292" s="508" t="s">
        <v>802</v>
      </c>
      <c r="AC292" s="2224"/>
      <c r="AD292" s="2224"/>
      <c r="AE292" s="2224"/>
      <c r="AF292" s="508" t="s">
        <v>802</v>
      </c>
      <c r="AG292" s="2224"/>
      <c r="AH292" s="2224"/>
      <c r="AI292" s="2226"/>
      <c r="AJ292" s="2212">
        <f t="shared" si="72"/>
        <v>17390</v>
      </c>
      <c r="AK292" s="2213"/>
      <c r="AL292" s="2214"/>
      <c r="AM292" s="2215">
        <v>1</v>
      </c>
      <c r="AN292" s="2216"/>
      <c r="AO292" s="2217"/>
      <c r="AP292" s="2209">
        <f t="shared" si="73"/>
        <v>17390</v>
      </c>
      <c r="AQ292" s="2210"/>
      <c r="AR292" s="2211"/>
      <c r="AS292" s="2203">
        <f ca="1">SUMIF(内壁・間仕切!A$26:AA$26,F292,内壁・間仕切!A$31:AA$31)+SUMIF(内壁・間仕切!A$64:AA$64,F292,内壁・間仕切!A$69:AA$69)+SUMIF(見積拾!C$57:D$61,F292,見積拾!T$57:T$61)</f>
        <v>0</v>
      </c>
      <c r="AT292" s="2204"/>
      <c r="AU292" s="2204"/>
      <c r="AV292" s="2205"/>
      <c r="AW292" s="2206">
        <f t="shared" ca="1" si="74"/>
        <v>0</v>
      </c>
      <c r="AX292" s="2207"/>
      <c r="AY292" s="2207"/>
      <c r="AZ292" s="2208"/>
      <c r="BA292" s="2200"/>
      <c r="BB292" s="956" t="b">
        <f t="shared" ca="1" si="75"/>
        <v>0</v>
      </c>
    </row>
    <row r="293" spans="2:54" ht="13.5" customHeight="1">
      <c r="B293" s="2445"/>
      <c r="C293" s="2521"/>
      <c r="D293" s="2500"/>
      <c r="E293" s="957" t="s">
        <v>777</v>
      </c>
      <c r="F293" s="2210" t="s">
        <v>1298</v>
      </c>
      <c r="G293" s="2210"/>
      <c r="H293" s="2210"/>
      <c r="I293" s="2210"/>
      <c r="J293" s="2210"/>
      <c r="K293" s="2210"/>
      <c r="L293" s="2210"/>
      <c r="M293" s="2210"/>
      <c r="N293" s="2210"/>
      <c r="O293" s="2210"/>
      <c r="P293" s="2211"/>
      <c r="Q293" s="2257">
        <v>10778</v>
      </c>
      <c r="R293" s="2224"/>
      <c r="S293" s="2224"/>
      <c r="T293" s="508" t="s">
        <v>1292</v>
      </c>
      <c r="U293" s="2225" t="s">
        <v>1031</v>
      </c>
      <c r="V293" s="2225"/>
      <c r="W293" s="2225"/>
      <c r="X293" s="508" t="s">
        <v>779</v>
      </c>
      <c r="Y293" s="2224">
        <v>733</v>
      </c>
      <c r="Z293" s="2224"/>
      <c r="AA293" s="2224"/>
      <c r="AB293" s="508" t="s">
        <v>802</v>
      </c>
      <c r="AC293" s="2224"/>
      <c r="AD293" s="2224"/>
      <c r="AE293" s="2224"/>
      <c r="AF293" s="508" t="s">
        <v>802</v>
      </c>
      <c r="AG293" s="2224"/>
      <c r="AH293" s="2224"/>
      <c r="AI293" s="2226"/>
      <c r="AJ293" s="2212">
        <f t="shared" si="72"/>
        <v>11510</v>
      </c>
      <c r="AK293" s="2213"/>
      <c r="AL293" s="2214"/>
      <c r="AM293" s="2215">
        <v>1</v>
      </c>
      <c r="AN293" s="2216"/>
      <c r="AO293" s="2217"/>
      <c r="AP293" s="2209">
        <f t="shared" si="73"/>
        <v>11510</v>
      </c>
      <c r="AQ293" s="2210"/>
      <c r="AR293" s="2211"/>
      <c r="AS293" s="2203">
        <f ca="1">SUMIF(内壁・間仕切!A$26:AA$26,F293,内壁・間仕切!A$31:AA$31)+SUMIF(内壁・間仕切!A$64:AA$64,F293,内壁・間仕切!A$69:AA$69)+SUMIF(見積拾!C$57:D$61,F293,見積拾!T$57:T$61)</f>
        <v>0</v>
      </c>
      <c r="AT293" s="2204"/>
      <c r="AU293" s="2204"/>
      <c r="AV293" s="2205"/>
      <c r="AW293" s="2206">
        <f t="shared" ca="1" si="74"/>
        <v>0</v>
      </c>
      <c r="AX293" s="2207"/>
      <c r="AY293" s="2207"/>
      <c r="AZ293" s="2208"/>
      <c r="BA293" s="2200"/>
      <c r="BB293" s="956" t="b">
        <f t="shared" ca="1" si="75"/>
        <v>0</v>
      </c>
    </row>
    <row r="294" spans="2:54" ht="13.5" customHeight="1">
      <c r="B294" s="2445"/>
      <c r="C294" s="2521"/>
      <c r="D294" s="2500"/>
      <c r="E294" s="957" t="s">
        <v>777</v>
      </c>
      <c r="F294" s="2210" t="s">
        <v>1313</v>
      </c>
      <c r="G294" s="2210"/>
      <c r="H294" s="2210"/>
      <c r="I294" s="2210"/>
      <c r="J294" s="2210"/>
      <c r="K294" s="2210"/>
      <c r="L294" s="2210"/>
      <c r="M294" s="2210"/>
      <c r="N294" s="2210"/>
      <c r="O294" s="2210"/>
      <c r="P294" s="2211"/>
      <c r="Q294" s="2257">
        <v>9700</v>
      </c>
      <c r="R294" s="2224"/>
      <c r="S294" s="2224"/>
      <c r="T294" s="508" t="s">
        <v>1292</v>
      </c>
      <c r="U294" s="2225" t="s">
        <v>1031</v>
      </c>
      <c r="V294" s="2225"/>
      <c r="W294" s="2225"/>
      <c r="X294" s="508" t="s">
        <v>779</v>
      </c>
      <c r="Y294" s="2224">
        <v>1008</v>
      </c>
      <c r="Z294" s="2224"/>
      <c r="AA294" s="2224"/>
      <c r="AB294" s="508" t="s">
        <v>802</v>
      </c>
      <c r="AC294" s="2224"/>
      <c r="AD294" s="2224"/>
      <c r="AE294" s="2224"/>
      <c r="AF294" s="508" t="s">
        <v>802</v>
      </c>
      <c r="AG294" s="2224"/>
      <c r="AH294" s="2224"/>
      <c r="AI294" s="2226"/>
      <c r="AJ294" s="2212">
        <f t="shared" si="72"/>
        <v>10700</v>
      </c>
      <c r="AK294" s="2213"/>
      <c r="AL294" s="2214"/>
      <c r="AM294" s="2215">
        <v>1</v>
      </c>
      <c r="AN294" s="2216"/>
      <c r="AO294" s="2217"/>
      <c r="AP294" s="2209">
        <f t="shared" si="73"/>
        <v>10700</v>
      </c>
      <c r="AQ294" s="2210"/>
      <c r="AR294" s="2211"/>
      <c r="AS294" s="2203">
        <f ca="1">SUMIF(内壁・間仕切!A$26:AA$26,F294,内壁・間仕切!A$31:AA$31)+SUMIF(内壁・間仕切!A$64:AA$64,F294,内壁・間仕切!A$69:AA$69)+SUMIF(見積拾!C$57:D$61,F294,見積拾!T$57:T$61)</f>
        <v>0</v>
      </c>
      <c r="AT294" s="2204"/>
      <c r="AU294" s="2204"/>
      <c r="AV294" s="2205"/>
      <c r="AW294" s="2206">
        <f t="shared" ca="1" si="74"/>
        <v>0</v>
      </c>
      <c r="AX294" s="2207"/>
      <c r="AY294" s="2207"/>
      <c r="AZ294" s="2208"/>
      <c r="BA294" s="2200"/>
      <c r="BB294" s="956" t="b">
        <f t="shared" ca="1" si="75"/>
        <v>0</v>
      </c>
    </row>
    <row r="295" spans="2:54" ht="13.5" customHeight="1">
      <c r="B295" s="2445"/>
      <c r="C295" s="2521"/>
      <c r="D295" s="2500"/>
      <c r="E295" s="957" t="s">
        <v>777</v>
      </c>
      <c r="F295" s="2210" t="s">
        <v>1314</v>
      </c>
      <c r="G295" s="2210"/>
      <c r="H295" s="2210"/>
      <c r="I295" s="2210"/>
      <c r="J295" s="2210"/>
      <c r="K295" s="2210"/>
      <c r="L295" s="2210"/>
      <c r="M295" s="2210"/>
      <c r="N295" s="2210"/>
      <c r="O295" s="2210"/>
      <c r="P295" s="2211"/>
      <c r="Q295" s="2257">
        <v>9000</v>
      </c>
      <c r="R295" s="2224"/>
      <c r="S295" s="2224"/>
      <c r="T295" s="508" t="s">
        <v>1292</v>
      </c>
      <c r="U295" s="2225" t="s">
        <v>1031</v>
      </c>
      <c r="V295" s="2225"/>
      <c r="W295" s="2225"/>
      <c r="X295" s="508" t="s">
        <v>779</v>
      </c>
      <c r="Y295" s="2224">
        <v>1008</v>
      </c>
      <c r="Z295" s="2224"/>
      <c r="AA295" s="2224"/>
      <c r="AB295" s="508" t="s">
        <v>802</v>
      </c>
      <c r="AC295" s="2224"/>
      <c r="AD295" s="2224"/>
      <c r="AE295" s="2224"/>
      <c r="AF295" s="508" t="s">
        <v>802</v>
      </c>
      <c r="AG295" s="2224"/>
      <c r="AH295" s="2224"/>
      <c r="AI295" s="2226"/>
      <c r="AJ295" s="2212">
        <f t="shared" si="72"/>
        <v>10000</v>
      </c>
      <c r="AK295" s="2213"/>
      <c r="AL295" s="2214"/>
      <c r="AM295" s="2215">
        <v>1</v>
      </c>
      <c r="AN295" s="2216"/>
      <c r="AO295" s="2217"/>
      <c r="AP295" s="2209">
        <f t="shared" si="73"/>
        <v>10000</v>
      </c>
      <c r="AQ295" s="2210"/>
      <c r="AR295" s="2211"/>
      <c r="AS295" s="2203">
        <f ca="1">SUMIF(内壁・間仕切!A$26:AA$26,F295,内壁・間仕切!A$31:AA$31)+SUMIF(内壁・間仕切!A$64:AA$64,F295,内壁・間仕切!A$69:AA$69)+SUMIF(見積拾!C$57:D$61,F295,見積拾!T$57:T$61)</f>
        <v>0</v>
      </c>
      <c r="AT295" s="2204"/>
      <c r="AU295" s="2204"/>
      <c r="AV295" s="2205"/>
      <c r="AW295" s="2206">
        <f t="shared" ca="1" si="74"/>
        <v>0</v>
      </c>
      <c r="AX295" s="2207"/>
      <c r="AY295" s="2207"/>
      <c r="AZ295" s="2208"/>
      <c r="BA295" s="2200"/>
      <c r="BB295" s="956" t="b">
        <f t="shared" ca="1" si="75"/>
        <v>0</v>
      </c>
    </row>
    <row r="296" spans="2:54" ht="13.5" customHeight="1">
      <c r="B296" s="2445"/>
      <c r="C296" s="2521"/>
      <c r="D296" s="2500"/>
      <c r="E296" s="957" t="s">
        <v>777</v>
      </c>
      <c r="F296" s="2210" t="s">
        <v>1317</v>
      </c>
      <c r="G296" s="2210"/>
      <c r="H296" s="2210"/>
      <c r="I296" s="2210"/>
      <c r="J296" s="2210"/>
      <c r="K296" s="2210"/>
      <c r="L296" s="2210"/>
      <c r="M296" s="2210"/>
      <c r="N296" s="2210"/>
      <c r="O296" s="2210"/>
      <c r="P296" s="2211"/>
      <c r="Q296" s="2257">
        <v>8790</v>
      </c>
      <c r="R296" s="2224"/>
      <c r="S296" s="2224"/>
      <c r="T296" s="508" t="s">
        <v>1292</v>
      </c>
      <c r="U296" s="2225" t="s">
        <v>1031</v>
      </c>
      <c r="V296" s="2225"/>
      <c r="W296" s="2225"/>
      <c r="X296" s="508" t="s">
        <v>779</v>
      </c>
      <c r="Y296" s="2225" t="s">
        <v>5685</v>
      </c>
      <c r="Z296" s="2225"/>
      <c r="AA296" s="2225"/>
      <c r="AB296" s="508" t="s">
        <v>803</v>
      </c>
      <c r="AC296" s="2224"/>
      <c r="AD296" s="2224"/>
      <c r="AE296" s="2224"/>
      <c r="AF296" s="508" t="s">
        <v>803</v>
      </c>
      <c r="AG296" s="2224"/>
      <c r="AH296" s="2224"/>
      <c r="AI296" s="2226"/>
      <c r="AJ296" s="2212">
        <f t="shared" si="72"/>
        <v>8790</v>
      </c>
      <c r="AK296" s="2213"/>
      <c r="AL296" s="2214"/>
      <c r="AM296" s="2215">
        <v>1</v>
      </c>
      <c r="AN296" s="2216"/>
      <c r="AO296" s="2217"/>
      <c r="AP296" s="2209">
        <f t="shared" si="73"/>
        <v>8790</v>
      </c>
      <c r="AQ296" s="2210"/>
      <c r="AR296" s="2211"/>
      <c r="AS296" s="2203">
        <f ca="1">SUMIF(内壁・間仕切!A$26:AA$26,F296,内壁・間仕切!A$31:AA$31)+SUMIF(内壁・間仕切!A$64:AA$64,F296,内壁・間仕切!A$69:AA$69)+SUMIF(見積拾!C$57:D$61,F296,見積拾!T$57:T$61)</f>
        <v>0</v>
      </c>
      <c r="AT296" s="2204"/>
      <c r="AU296" s="2204"/>
      <c r="AV296" s="2205"/>
      <c r="AW296" s="2206">
        <f t="shared" ca="1" si="74"/>
        <v>0</v>
      </c>
      <c r="AX296" s="2207"/>
      <c r="AY296" s="2207"/>
      <c r="AZ296" s="2208"/>
      <c r="BA296" s="2200"/>
      <c r="BB296" s="956" t="b">
        <f t="shared" ca="1" si="75"/>
        <v>0</v>
      </c>
    </row>
    <row r="297" spans="2:54" ht="13.5" customHeight="1">
      <c r="B297" s="2445"/>
      <c r="C297" s="2521"/>
      <c r="D297" s="2500"/>
      <c r="E297" s="957" t="s">
        <v>777</v>
      </c>
      <c r="F297" s="2210" t="s">
        <v>1318</v>
      </c>
      <c r="G297" s="2210"/>
      <c r="H297" s="2210"/>
      <c r="I297" s="2210"/>
      <c r="J297" s="2210"/>
      <c r="K297" s="2210"/>
      <c r="L297" s="2210"/>
      <c r="M297" s="2210"/>
      <c r="N297" s="2210"/>
      <c r="O297" s="2210"/>
      <c r="P297" s="2211"/>
      <c r="Q297" s="2257">
        <v>7670</v>
      </c>
      <c r="R297" s="2224"/>
      <c r="S297" s="2224"/>
      <c r="T297" s="508" t="s">
        <v>1292</v>
      </c>
      <c r="U297" s="2225" t="s">
        <v>1031</v>
      </c>
      <c r="V297" s="2225"/>
      <c r="W297" s="2225"/>
      <c r="X297" s="508" t="s">
        <v>779</v>
      </c>
      <c r="Y297" s="2225" t="s">
        <v>5685</v>
      </c>
      <c r="Z297" s="2225"/>
      <c r="AA297" s="2225"/>
      <c r="AB297" s="508" t="s">
        <v>803</v>
      </c>
      <c r="AC297" s="2224"/>
      <c r="AD297" s="2224"/>
      <c r="AE297" s="2224"/>
      <c r="AF297" s="508" t="s">
        <v>803</v>
      </c>
      <c r="AG297" s="2224"/>
      <c r="AH297" s="2224"/>
      <c r="AI297" s="2226"/>
      <c r="AJ297" s="2212">
        <f t="shared" si="72"/>
        <v>7670</v>
      </c>
      <c r="AK297" s="2213"/>
      <c r="AL297" s="2214"/>
      <c r="AM297" s="2215">
        <v>1</v>
      </c>
      <c r="AN297" s="2216"/>
      <c r="AO297" s="2217"/>
      <c r="AP297" s="2209">
        <f t="shared" si="73"/>
        <v>7670</v>
      </c>
      <c r="AQ297" s="2210"/>
      <c r="AR297" s="2211"/>
      <c r="AS297" s="2203">
        <f ca="1">SUMIF(内壁・間仕切!A$26:AA$26,F297,内壁・間仕切!A$31:AA$31)+SUMIF(内壁・間仕切!A$64:AA$64,F297,内壁・間仕切!A$69:AA$69)+SUMIF(見積拾!C$57:D$61,F297,見積拾!T$57:T$61)</f>
        <v>0</v>
      </c>
      <c r="AT297" s="2204"/>
      <c r="AU297" s="2204"/>
      <c r="AV297" s="2205"/>
      <c r="AW297" s="2206">
        <f t="shared" ca="1" si="74"/>
        <v>0</v>
      </c>
      <c r="AX297" s="2207"/>
      <c r="AY297" s="2207"/>
      <c r="AZ297" s="2208"/>
      <c r="BA297" s="2200"/>
      <c r="BB297" s="956" t="b">
        <f t="shared" ca="1" si="75"/>
        <v>0</v>
      </c>
    </row>
    <row r="298" spans="2:54" ht="13.5" customHeight="1">
      <c r="B298" s="2445"/>
      <c r="C298" s="2521"/>
      <c r="D298" s="2500"/>
      <c r="E298" s="957" t="s">
        <v>777</v>
      </c>
      <c r="F298" s="2210" t="s">
        <v>1315</v>
      </c>
      <c r="G298" s="2210"/>
      <c r="H298" s="2210"/>
      <c r="I298" s="2210"/>
      <c r="J298" s="2210"/>
      <c r="K298" s="2210"/>
      <c r="L298" s="2210"/>
      <c r="M298" s="2210"/>
      <c r="N298" s="2210"/>
      <c r="O298" s="2210"/>
      <c r="P298" s="2211"/>
      <c r="Q298" s="2257">
        <v>13710</v>
      </c>
      <c r="R298" s="2224"/>
      <c r="S298" s="2224"/>
      <c r="T298" s="508" t="s">
        <v>1292</v>
      </c>
      <c r="U298" s="2225" t="s">
        <v>1031</v>
      </c>
      <c r="V298" s="2225"/>
      <c r="W298" s="2225"/>
      <c r="X298" s="508" t="s">
        <v>779</v>
      </c>
      <c r="Y298" s="2224">
        <v>1217</v>
      </c>
      <c r="Z298" s="2224"/>
      <c r="AA298" s="2224"/>
      <c r="AB298" s="508" t="s">
        <v>803</v>
      </c>
      <c r="AC298" s="2224"/>
      <c r="AD298" s="2224"/>
      <c r="AE298" s="2224"/>
      <c r="AF298" s="508" t="s">
        <v>803</v>
      </c>
      <c r="AG298" s="2224"/>
      <c r="AH298" s="2224"/>
      <c r="AI298" s="2226"/>
      <c r="AJ298" s="2212">
        <f t="shared" si="72"/>
        <v>14920</v>
      </c>
      <c r="AK298" s="2213"/>
      <c r="AL298" s="2214"/>
      <c r="AM298" s="2215">
        <v>1</v>
      </c>
      <c r="AN298" s="2216"/>
      <c r="AO298" s="2217"/>
      <c r="AP298" s="2209">
        <f t="shared" si="73"/>
        <v>14920</v>
      </c>
      <c r="AQ298" s="2210"/>
      <c r="AR298" s="2211"/>
      <c r="AS298" s="2203">
        <f ca="1">SUMIF(内壁・間仕切!A$26:AA$26,F298,内壁・間仕切!A$31:AA$31)+SUMIF(内壁・間仕切!A$64:AA$64,F298,内壁・間仕切!A$69:AA$69)+SUMIF(見積拾!C$57:D$61,F298,見積拾!T$57:T$61)</f>
        <v>0</v>
      </c>
      <c r="AT298" s="2204"/>
      <c r="AU298" s="2204"/>
      <c r="AV298" s="2205"/>
      <c r="AW298" s="2206">
        <f t="shared" ca="1" si="74"/>
        <v>0</v>
      </c>
      <c r="AX298" s="2207"/>
      <c r="AY298" s="2207"/>
      <c r="AZ298" s="2208"/>
      <c r="BA298" s="2200"/>
      <c r="BB298" s="956" t="b">
        <f t="shared" ca="1" si="75"/>
        <v>0</v>
      </c>
    </row>
    <row r="299" spans="2:54" ht="13.5" customHeight="1">
      <c r="B299" s="2445"/>
      <c r="C299" s="2521"/>
      <c r="D299" s="2500"/>
      <c r="E299" s="957" t="s">
        <v>777</v>
      </c>
      <c r="F299" s="2210" t="s">
        <v>1316</v>
      </c>
      <c r="G299" s="2210"/>
      <c r="H299" s="2210"/>
      <c r="I299" s="2210"/>
      <c r="J299" s="2210"/>
      <c r="K299" s="2210"/>
      <c r="L299" s="2210"/>
      <c r="M299" s="2210"/>
      <c r="N299" s="2210"/>
      <c r="O299" s="2210"/>
      <c r="P299" s="2211"/>
      <c r="Q299" s="2257">
        <v>9510</v>
      </c>
      <c r="R299" s="2224"/>
      <c r="S299" s="2224"/>
      <c r="T299" s="508" t="s">
        <v>1292</v>
      </c>
      <c r="U299" s="2225" t="s">
        <v>1031</v>
      </c>
      <c r="V299" s="2225"/>
      <c r="W299" s="2225"/>
      <c r="X299" s="508" t="s">
        <v>779</v>
      </c>
      <c r="Y299" s="2224">
        <v>877</v>
      </c>
      <c r="Z299" s="2224"/>
      <c r="AA299" s="2224"/>
      <c r="AB299" s="508" t="s">
        <v>803</v>
      </c>
      <c r="AC299" s="2224"/>
      <c r="AD299" s="2224"/>
      <c r="AE299" s="2224"/>
      <c r="AF299" s="508" t="s">
        <v>803</v>
      </c>
      <c r="AG299" s="2224"/>
      <c r="AH299" s="2224"/>
      <c r="AI299" s="2226"/>
      <c r="AJ299" s="2212">
        <f t="shared" si="72"/>
        <v>10380</v>
      </c>
      <c r="AK299" s="2213"/>
      <c r="AL299" s="2214"/>
      <c r="AM299" s="2215">
        <v>1</v>
      </c>
      <c r="AN299" s="2216"/>
      <c r="AO299" s="2217"/>
      <c r="AP299" s="2209">
        <f t="shared" si="73"/>
        <v>10380</v>
      </c>
      <c r="AQ299" s="2210"/>
      <c r="AR299" s="2211"/>
      <c r="AS299" s="2203">
        <f ca="1">SUMIF(内壁・間仕切!A$26:AA$26,F299,内壁・間仕切!A$31:AA$31)+SUMIF(内壁・間仕切!A$64:AA$64,F299,内壁・間仕切!A$69:AA$69)+SUMIF(見積拾!C$57:D$61,F299,見積拾!T$57:T$61)</f>
        <v>0</v>
      </c>
      <c r="AT299" s="2204"/>
      <c r="AU299" s="2204"/>
      <c r="AV299" s="2205"/>
      <c r="AW299" s="2206">
        <f t="shared" ca="1" si="74"/>
        <v>0</v>
      </c>
      <c r="AX299" s="2207"/>
      <c r="AY299" s="2207"/>
      <c r="AZ299" s="2208"/>
      <c r="BA299" s="2200"/>
      <c r="BB299" s="956" t="b">
        <f t="shared" ca="1" si="75"/>
        <v>0</v>
      </c>
    </row>
    <row r="300" spans="2:54" ht="13.5" customHeight="1">
      <c r="B300" s="2445"/>
      <c r="C300" s="2521"/>
      <c r="D300" s="2500"/>
      <c r="E300" s="957" t="s">
        <v>777</v>
      </c>
      <c r="F300" s="2210" t="s">
        <v>5602</v>
      </c>
      <c r="G300" s="2210"/>
      <c r="H300" s="2210"/>
      <c r="I300" s="2210"/>
      <c r="J300" s="2210"/>
      <c r="K300" s="2210"/>
      <c r="L300" s="2210"/>
      <c r="M300" s="2210"/>
      <c r="N300" s="2210"/>
      <c r="O300" s="2210"/>
      <c r="P300" s="2211"/>
      <c r="Q300" s="2257">
        <v>3832</v>
      </c>
      <c r="R300" s="2224"/>
      <c r="S300" s="2224"/>
      <c r="T300" s="508" t="s">
        <v>1292</v>
      </c>
      <c r="U300" s="2225" t="s">
        <v>1031</v>
      </c>
      <c r="V300" s="2225"/>
      <c r="W300" s="2225"/>
      <c r="X300" s="508" t="s">
        <v>779</v>
      </c>
      <c r="Y300" s="2225" t="s">
        <v>5685</v>
      </c>
      <c r="Z300" s="2225"/>
      <c r="AA300" s="2225"/>
      <c r="AB300" s="508" t="s">
        <v>40</v>
      </c>
      <c r="AC300" s="2224"/>
      <c r="AD300" s="2224"/>
      <c r="AE300" s="2224"/>
      <c r="AF300" s="508" t="s">
        <v>40</v>
      </c>
      <c r="AG300" s="2224"/>
      <c r="AH300" s="2224"/>
      <c r="AI300" s="2226"/>
      <c r="AJ300" s="2212">
        <f t="shared" ref="AJ300" si="76">ROUNDDOWN(SUM(Q300:AI300),-1)</f>
        <v>3830</v>
      </c>
      <c r="AK300" s="2213"/>
      <c r="AL300" s="2214"/>
      <c r="AM300" s="2215">
        <v>1</v>
      </c>
      <c r="AN300" s="2216"/>
      <c r="AO300" s="2217"/>
      <c r="AP300" s="2209">
        <f t="shared" ref="AP300" si="77">INT(AJ300*AM300)</f>
        <v>3830</v>
      </c>
      <c r="AQ300" s="2210"/>
      <c r="AR300" s="2211"/>
      <c r="AS300" s="2203">
        <f ca="1">SUMIF(内壁・間仕切!A$26:AA$26,F300,内壁・間仕切!A$31:AA$31)+SUMIF(内壁・間仕切!A$64:AA$64,F300,内壁・間仕切!A$69:AA$69)+SUMIF(見積拾!C$57:D$61,F300,見積拾!T$57:T$61)</f>
        <v>0</v>
      </c>
      <c r="AT300" s="2204"/>
      <c r="AU300" s="2204"/>
      <c r="AV300" s="2205"/>
      <c r="AW300" s="2206">
        <f t="shared" ref="AW300" ca="1" si="78">INT(AP300*AS300)</f>
        <v>0</v>
      </c>
      <c r="AX300" s="2207"/>
      <c r="AY300" s="2207"/>
      <c r="AZ300" s="2208"/>
      <c r="BA300" s="2200"/>
      <c r="BB300" s="956" t="b">
        <f t="shared" ref="BB300" ca="1" si="79">AW300&lt;&gt;0</f>
        <v>0</v>
      </c>
    </row>
    <row r="301" spans="2:54" ht="13.5" customHeight="1">
      <c r="B301" s="2445"/>
      <c r="C301" s="2521"/>
      <c r="D301" s="2500"/>
      <c r="E301" s="957" t="s">
        <v>777</v>
      </c>
      <c r="F301" s="2210" t="s">
        <v>5465</v>
      </c>
      <c r="G301" s="2210"/>
      <c r="H301" s="2210"/>
      <c r="I301" s="2210"/>
      <c r="J301" s="2210"/>
      <c r="K301" s="2210"/>
      <c r="L301" s="2210"/>
      <c r="M301" s="2210"/>
      <c r="N301" s="2210"/>
      <c r="O301" s="2210"/>
      <c r="P301" s="2211"/>
      <c r="Q301" s="2257">
        <v>18386</v>
      </c>
      <c r="R301" s="2224"/>
      <c r="S301" s="2224"/>
      <c r="T301" s="508" t="s">
        <v>1292</v>
      </c>
      <c r="U301" s="2224">
        <v>5654</v>
      </c>
      <c r="V301" s="2224"/>
      <c r="W301" s="2224"/>
      <c r="X301" s="508" t="s">
        <v>779</v>
      </c>
      <c r="Y301" s="2224">
        <v>1800</v>
      </c>
      <c r="Z301" s="2224"/>
      <c r="AA301" s="2224"/>
      <c r="AB301" s="508" t="s">
        <v>804</v>
      </c>
      <c r="AC301" s="2224"/>
      <c r="AD301" s="2224"/>
      <c r="AE301" s="2224"/>
      <c r="AF301" s="508" t="s">
        <v>804</v>
      </c>
      <c r="AG301" s="2224"/>
      <c r="AH301" s="2224"/>
      <c r="AI301" s="2226"/>
      <c r="AJ301" s="2212">
        <f t="shared" si="72"/>
        <v>25840</v>
      </c>
      <c r="AK301" s="2213"/>
      <c r="AL301" s="2214"/>
      <c r="AM301" s="2215">
        <v>1</v>
      </c>
      <c r="AN301" s="2216"/>
      <c r="AO301" s="2217"/>
      <c r="AP301" s="2209">
        <f t="shared" si="73"/>
        <v>25840</v>
      </c>
      <c r="AQ301" s="2210"/>
      <c r="AR301" s="2211"/>
      <c r="AS301" s="2203">
        <f ca="1">SUMIF(内壁・間仕切!A$26:AA$26,F301,内壁・間仕切!A$31:AA$31)+SUMIF(内壁・間仕切!A$64:AA$64,F301,内壁・間仕切!A$69:AA$69)+SUMIF(見積拾!C$57:D$61,F301,見積拾!T$57:T$61)</f>
        <v>0</v>
      </c>
      <c r="AT301" s="2204"/>
      <c r="AU301" s="2204"/>
      <c r="AV301" s="2205"/>
      <c r="AW301" s="2206">
        <f t="shared" ca="1" si="74"/>
        <v>0</v>
      </c>
      <c r="AX301" s="2207"/>
      <c r="AY301" s="2207"/>
      <c r="AZ301" s="2208"/>
      <c r="BA301" s="2200"/>
      <c r="BB301" s="956" t="b">
        <f t="shared" ca="1" si="75"/>
        <v>0</v>
      </c>
    </row>
    <row r="302" spans="2:54" ht="13.5" customHeight="1">
      <c r="B302" s="2445"/>
      <c r="C302" s="2521"/>
      <c r="D302" s="2500"/>
      <c r="E302" s="1703" t="s">
        <v>805</v>
      </c>
      <c r="F302" s="2258" t="s">
        <v>5569</v>
      </c>
      <c r="G302" s="2259"/>
      <c r="H302" s="2259"/>
      <c r="I302" s="2259"/>
      <c r="J302" s="2259"/>
      <c r="K302" s="2259"/>
      <c r="L302" s="2259"/>
      <c r="M302" s="2259"/>
      <c r="N302" s="2259"/>
      <c r="O302" s="2259"/>
      <c r="P302" s="2260"/>
      <c r="Q302" s="2323">
        <v>2600</v>
      </c>
      <c r="R302" s="2318"/>
      <c r="S302" s="2318"/>
      <c r="T302" s="515" t="s">
        <v>789</v>
      </c>
      <c r="U302" s="2258">
        <v>2144</v>
      </c>
      <c r="V302" s="2318"/>
      <c r="W302" s="2318"/>
      <c r="X302" s="515" t="s">
        <v>789</v>
      </c>
      <c r="Y302" s="2258">
        <v>1040</v>
      </c>
      <c r="Z302" s="2318"/>
      <c r="AA302" s="2318"/>
      <c r="AB302" s="515" t="s">
        <v>789</v>
      </c>
      <c r="AC302" s="2258"/>
      <c r="AD302" s="2259"/>
      <c r="AE302" s="2259"/>
      <c r="AF302" s="515" t="s">
        <v>789</v>
      </c>
      <c r="AG302" s="2258"/>
      <c r="AH302" s="2259"/>
      <c r="AI302" s="2260"/>
      <c r="AJ302" s="2212">
        <f t="shared" si="72"/>
        <v>5780</v>
      </c>
      <c r="AK302" s="2213"/>
      <c r="AL302" s="2214"/>
      <c r="AM302" s="2215">
        <v>1</v>
      </c>
      <c r="AN302" s="2216"/>
      <c r="AO302" s="2217"/>
      <c r="AP302" s="2209">
        <f t="shared" si="73"/>
        <v>5780</v>
      </c>
      <c r="AQ302" s="2210"/>
      <c r="AR302" s="2211"/>
      <c r="AS302" s="2203">
        <f ca="1">SUMIF(内壁・間仕切!A$26:AA$26,F302,内壁・間仕切!A$31:AA$31)+SUMIF(内壁・間仕切!A$64:AA$64,F302,内壁・間仕切!A$69:AA$69)+SUMIF(見積拾!C$57:D$61,F302,見積拾!T$57:T$61)</f>
        <v>0</v>
      </c>
      <c r="AT302" s="2204"/>
      <c r="AU302" s="2204"/>
      <c r="AV302" s="2205"/>
      <c r="AW302" s="2206">
        <f t="shared" ca="1" si="74"/>
        <v>0</v>
      </c>
      <c r="AX302" s="2207"/>
      <c r="AY302" s="2207"/>
      <c r="AZ302" s="2208"/>
      <c r="BA302" s="2200"/>
      <c r="BB302" s="956" t="b">
        <f t="shared" ca="1" si="75"/>
        <v>0</v>
      </c>
    </row>
    <row r="303" spans="2:54" ht="13.5" customHeight="1" thickBot="1">
      <c r="B303" s="2445"/>
      <c r="C303" s="2521"/>
      <c r="D303" s="2500"/>
      <c r="E303" s="1704" t="s">
        <v>799</v>
      </c>
      <c r="F303" s="2316" t="s">
        <v>782</v>
      </c>
      <c r="G303" s="2317"/>
      <c r="H303" s="2317"/>
      <c r="I303" s="2317"/>
      <c r="J303" s="2317"/>
      <c r="K303" s="2317"/>
      <c r="L303" s="2317"/>
      <c r="M303" s="2317"/>
      <c r="N303" s="2317"/>
      <c r="O303" s="2317"/>
      <c r="P303" s="2331"/>
      <c r="Q303" s="2324"/>
      <c r="R303" s="2317"/>
      <c r="S303" s="2317"/>
      <c r="T303" s="517" t="s">
        <v>789</v>
      </c>
      <c r="U303" s="2316"/>
      <c r="V303" s="2317"/>
      <c r="W303" s="2317"/>
      <c r="X303" s="517" t="s">
        <v>789</v>
      </c>
      <c r="Y303" s="2316"/>
      <c r="Z303" s="2317"/>
      <c r="AA303" s="2317"/>
      <c r="AB303" s="517" t="s">
        <v>789</v>
      </c>
      <c r="AC303" s="2316"/>
      <c r="AD303" s="2317"/>
      <c r="AE303" s="2317"/>
      <c r="AF303" s="517" t="s">
        <v>789</v>
      </c>
      <c r="AG303" s="2316"/>
      <c r="AH303" s="2317"/>
      <c r="AI303" s="2331"/>
      <c r="AJ303" s="2212">
        <f t="shared" si="72"/>
        <v>0</v>
      </c>
      <c r="AK303" s="2213"/>
      <c r="AL303" s="2214"/>
      <c r="AM303" s="2215">
        <v>1</v>
      </c>
      <c r="AN303" s="2216"/>
      <c r="AO303" s="2217"/>
      <c r="AP303" s="2604">
        <f t="shared" si="73"/>
        <v>0</v>
      </c>
      <c r="AQ303" s="2605"/>
      <c r="AR303" s="2606"/>
      <c r="AS303" s="2203">
        <f ca="1">SUMIF(内壁・間仕切!A$26:AA$26,F303,内壁・間仕切!A$31:AA$31)+SUMIF(内壁・間仕切!A$64:AA$64,F303,内壁・間仕切!A$69:AA$69)+SUMIF(見積拾!C$57:D$61,F303,見積拾!T$57:T$61)</f>
        <v>0</v>
      </c>
      <c r="AT303" s="2204"/>
      <c r="AU303" s="2204"/>
      <c r="AV303" s="2205"/>
      <c r="AW303" s="2206">
        <f t="shared" ca="1" si="74"/>
        <v>0</v>
      </c>
      <c r="AX303" s="2207"/>
      <c r="AY303" s="2207"/>
      <c r="AZ303" s="2208"/>
      <c r="BA303" s="2200"/>
      <c r="BB303" s="956" t="b">
        <f t="shared" ca="1" si="75"/>
        <v>0</v>
      </c>
    </row>
    <row r="304" spans="2:54" ht="13.5" customHeight="1" thickBot="1">
      <c r="B304" s="2581"/>
      <c r="C304" s="2582"/>
      <c r="D304" s="2502"/>
      <c r="E304" s="1660"/>
      <c r="F304" s="1658"/>
      <c r="G304" s="1658"/>
      <c r="H304" s="1658"/>
      <c r="I304" s="1658"/>
      <c r="J304" s="1658"/>
      <c r="K304" s="1658"/>
      <c r="L304" s="1658"/>
      <c r="M304" s="1658"/>
      <c r="N304" s="1658"/>
      <c r="O304" s="1658"/>
      <c r="P304" s="1658"/>
      <c r="Q304" s="1660"/>
      <c r="R304" s="1658"/>
      <c r="S304" s="1658"/>
      <c r="T304" s="1658"/>
      <c r="U304" s="1658"/>
      <c r="V304" s="1658"/>
      <c r="W304" s="1658"/>
      <c r="X304" s="1658"/>
      <c r="Y304" s="1658"/>
      <c r="Z304" s="1658"/>
      <c r="AA304" s="1658"/>
      <c r="AB304" s="1658"/>
      <c r="AC304" s="1658"/>
      <c r="AD304" s="1658"/>
      <c r="AE304" s="1658"/>
      <c r="AF304" s="1658"/>
      <c r="AG304" s="1658"/>
      <c r="AH304" s="1658"/>
      <c r="AI304" s="1661"/>
      <c r="AJ304" s="2221" t="str">
        <f ca="1">IF(AS304=内壁・間仕切!C4+見積拾!T62,"面積合計及び部分別評点数","補助票と面積が違います！")</f>
        <v>面積合計及び部分別評点数</v>
      </c>
      <c r="AK304" s="2222"/>
      <c r="AL304" s="2222"/>
      <c r="AM304" s="2222"/>
      <c r="AN304" s="2222"/>
      <c r="AO304" s="2222"/>
      <c r="AP304" s="2222"/>
      <c r="AQ304" s="2222"/>
      <c r="AR304" s="2223"/>
      <c r="AS304" s="2254">
        <f ca="1">SUM(AS280:AV303)</f>
        <v>0</v>
      </c>
      <c r="AT304" s="2255"/>
      <c r="AU304" s="2255"/>
      <c r="AV304" s="2256"/>
      <c r="AW304" s="2246">
        <f ca="1">SUM(AW279:AZ303)</f>
        <v>0</v>
      </c>
      <c r="AX304" s="2246"/>
      <c r="AY304" s="2246"/>
      <c r="AZ304" s="2247"/>
      <c r="BA304" s="2200"/>
      <c r="BB304" s="956" t="b">
        <v>1</v>
      </c>
    </row>
    <row r="305" spans="2:54" ht="13.5" customHeight="1">
      <c r="BA305" s="2200"/>
      <c r="BB305" s="956" t="b">
        <v>0</v>
      </c>
    </row>
    <row r="306" spans="2:54" ht="13.5" customHeight="1">
      <c r="BA306" s="2200"/>
      <c r="BB306" s="956" t="b">
        <v>0</v>
      </c>
    </row>
    <row r="307" spans="2:54" ht="13.5" customHeight="1">
      <c r="B307" s="1523"/>
      <c r="C307" s="2089" t="s">
        <v>5313</v>
      </c>
      <c r="D307" s="2090"/>
      <c r="E307" s="2090"/>
      <c r="F307" s="2090"/>
      <c r="G307" s="2090"/>
      <c r="H307" s="2090"/>
      <c r="I307" s="2090"/>
      <c r="J307" s="2090"/>
      <c r="BA307" s="2200"/>
      <c r="BB307" s="956" t="b">
        <v>0</v>
      </c>
    </row>
    <row r="308" spans="2:54" ht="13.5" customHeight="1">
      <c r="BA308" s="2200"/>
      <c r="BB308" s="956" t="b">
        <v>0</v>
      </c>
    </row>
    <row r="309" spans="2:54" ht="13.5" customHeight="1">
      <c r="B309" s="1578"/>
      <c r="C309" s="1579"/>
      <c r="D309" s="1580"/>
      <c r="E309" s="1654" t="s">
        <v>663</v>
      </c>
      <c r="F309" s="1591"/>
      <c r="G309" s="1591"/>
      <c r="H309" s="1591"/>
      <c r="I309" s="1591"/>
      <c r="J309" s="1591"/>
      <c r="K309" s="1591"/>
      <c r="L309" s="1591"/>
      <c r="M309" s="1591"/>
      <c r="N309" s="1591"/>
      <c r="O309" s="1591"/>
      <c r="P309" s="1592"/>
      <c r="Q309" s="1591" t="s">
        <v>769</v>
      </c>
      <c r="R309" s="1591"/>
      <c r="S309" s="1591"/>
      <c r="T309" s="1658"/>
      <c r="U309" s="1591" t="s">
        <v>770</v>
      </c>
      <c r="V309" s="1591"/>
      <c r="W309" s="1591"/>
      <c r="X309" s="1658"/>
      <c r="Y309" s="1591" t="s">
        <v>771</v>
      </c>
      <c r="Z309" s="1591"/>
      <c r="AA309" s="1591"/>
      <c r="AB309" s="1658"/>
      <c r="AC309" s="1591" t="s">
        <v>772</v>
      </c>
      <c r="AD309" s="1591"/>
      <c r="AE309" s="1591"/>
      <c r="AF309" s="1591" t="s">
        <v>772</v>
      </c>
      <c r="AG309" s="1591"/>
      <c r="AH309" s="1592"/>
      <c r="AI309" s="1592"/>
      <c r="AJ309" s="1654" t="s">
        <v>773</v>
      </c>
      <c r="AK309" s="1591"/>
      <c r="AL309" s="1592"/>
      <c r="AM309" s="1654" t="s">
        <v>669</v>
      </c>
      <c r="AN309" s="1591"/>
      <c r="AO309" s="1592"/>
      <c r="AP309" s="1654" t="s">
        <v>774</v>
      </c>
      <c r="AQ309" s="1591"/>
      <c r="AR309" s="1592"/>
      <c r="AS309" s="1655" t="s">
        <v>775</v>
      </c>
      <c r="AT309" s="1654"/>
      <c r="AU309" s="1654"/>
      <c r="AV309" s="1654"/>
      <c r="AW309" s="2241" t="s">
        <v>666</v>
      </c>
      <c r="AX309" s="2242"/>
      <c r="AY309" s="2242"/>
      <c r="AZ309" s="2242"/>
      <c r="BA309" s="2200"/>
      <c r="BB309" s="956" t="b">
        <v>0</v>
      </c>
    </row>
    <row r="310" spans="2:54" ht="13.5" customHeight="1">
      <c r="B310" s="2578" t="s">
        <v>5310</v>
      </c>
      <c r="C310" s="2579"/>
      <c r="D310" s="2580"/>
      <c r="E310" s="962" t="s">
        <v>777</v>
      </c>
      <c r="F310" s="2909" t="s">
        <v>795</v>
      </c>
      <c r="G310" s="2909"/>
      <c r="H310" s="2909"/>
      <c r="I310" s="2909"/>
      <c r="J310" s="2909"/>
      <c r="K310" s="2909"/>
      <c r="L310" s="2909"/>
      <c r="M310" s="2909"/>
      <c r="N310" s="2909"/>
      <c r="O310" s="2909"/>
      <c r="P310" s="2910"/>
      <c r="Q310" s="2320"/>
      <c r="R310" s="2275"/>
      <c r="S310" s="2275"/>
      <c r="T310" s="505"/>
      <c r="U310" s="2275"/>
      <c r="V310" s="2275"/>
      <c r="W310" s="2275"/>
      <c r="X310" s="505"/>
      <c r="Y310" s="2275"/>
      <c r="Z310" s="2275"/>
      <c r="AA310" s="2275"/>
      <c r="AB310" s="505"/>
      <c r="AC310" s="2275"/>
      <c r="AD310" s="2275"/>
      <c r="AE310" s="2275"/>
      <c r="AF310" s="505"/>
      <c r="AG310" s="2275"/>
      <c r="AH310" s="2275"/>
      <c r="AI310" s="2319"/>
      <c r="AJ310" s="2212">
        <f t="shared" ref="AJ310:AJ337" si="80">ROUNDDOWN(SUM(Q310:AI310),-1)</f>
        <v>0</v>
      </c>
      <c r="AK310" s="2213"/>
      <c r="AL310" s="2214"/>
      <c r="AM310" s="2215">
        <v>1</v>
      </c>
      <c r="AN310" s="2216"/>
      <c r="AO310" s="2217"/>
      <c r="AP310" s="2212">
        <f t="shared" ref="AP310:AP337" si="81">INT(AJ310*AM310)</f>
        <v>0</v>
      </c>
      <c r="AQ310" s="2213"/>
      <c r="AR310" s="2214"/>
      <c r="AS310" s="2218"/>
      <c r="AT310" s="2219"/>
      <c r="AU310" s="2219"/>
      <c r="AV310" s="2220"/>
      <c r="AW310" s="2206">
        <f t="shared" ref="AW310:AW337" si="82">INT(AP310*AS310)</f>
        <v>0</v>
      </c>
      <c r="AX310" s="2207"/>
      <c r="AY310" s="2207"/>
      <c r="AZ310" s="2208"/>
      <c r="BA310" s="2200"/>
      <c r="BB310" s="956" t="b">
        <f ca="1">AW357=0</f>
        <v>1</v>
      </c>
    </row>
    <row r="311" spans="2:54" ht="13.5" customHeight="1">
      <c r="B311" s="2445"/>
      <c r="C311" s="2521"/>
      <c r="D311" s="2500"/>
      <c r="E311" s="958" t="s">
        <v>41</v>
      </c>
      <c r="F311" s="2210" t="s">
        <v>1319</v>
      </c>
      <c r="G311" s="2210"/>
      <c r="H311" s="2210"/>
      <c r="I311" s="2210"/>
      <c r="J311" s="2210"/>
      <c r="K311" s="2210"/>
      <c r="L311" s="2210"/>
      <c r="M311" s="2210"/>
      <c r="N311" s="2210"/>
      <c r="O311" s="2210"/>
      <c r="P311" s="2211"/>
      <c r="Q311" s="2257">
        <v>32452</v>
      </c>
      <c r="R311" s="2224"/>
      <c r="S311" s="2224"/>
      <c r="T311" s="508" t="s">
        <v>1292</v>
      </c>
      <c r="U311" s="2224">
        <v>16691</v>
      </c>
      <c r="V311" s="2224"/>
      <c r="W311" s="2224"/>
      <c r="X311" s="508" t="s">
        <v>779</v>
      </c>
      <c r="Y311" s="2224">
        <v>1015</v>
      </c>
      <c r="Z311" s="2224"/>
      <c r="AA311" s="2224"/>
      <c r="AB311" s="508" t="s">
        <v>806</v>
      </c>
      <c r="AC311" s="2224"/>
      <c r="AD311" s="2224"/>
      <c r="AE311" s="2224"/>
      <c r="AF311" s="508" t="s">
        <v>806</v>
      </c>
      <c r="AG311" s="2224"/>
      <c r="AH311" s="2224"/>
      <c r="AI311" s="2226"/>
      <c r="AJ311" s="2212">
        <f t="shared" si="80"/>
        <v>50150</v>
      </c>
      <c r="AK311" s="2213"/>
      <c r="AL311" s="2214"/>
      <c r="AM311" s="2215">
        <v>1</v>
      </c>
      <c r="AN311" s="2216"/>
      <c r="AO311" s="2217"/>
      <c r="AP311" s="2209">
        <f t="shared" si="81"/>
        <v>50150</v>
      </c>
      <c r="AQ311" s="2210"/>
      <c r="AR311" s="2211"/>
      <c r="AS311" s="2203">
        <f ca="1">SUMIF(基礎・屋根・外壁!B$206:AE$206,F311,基礎・屋根・外壁!B$211:AE$211)+
 SUMIF(基礎・屋根・外壁!B$242:AE$242,F311,基礎・屋根・外壁!B$247:AE$247)+
 SUMIF(見積拾!C$65:D$69,F311,見積拾!T$65:T$69)</f>
        <v>0</v>
      </c>
      <c r="AT311" s="2204"/>
      <c r="AU311" s="2204"/>
      <c r="AV311" s="2205"/>
      <c r="AW311" s="2206">
        <f t="shared" ca="1" si="82"/>
        <v>0</v>
      </c>
      <c r="AX311" s="2207"/>
      <c r="AY311" s="2207"/>
      <c r="AZ311" s="2208"/>
      <c r="BA311" s="2200"/>
      <c r="BB311" s="956" t="b">
        <f t="shared" ref="BB311:BB338" ca="1" si="83">AW311&lt;&gt;0</f>
        <v>0</v>
      </c>
    </row>
    <row r="312" spans="2:54" ht="13.5" customHeight="1">
      <c r="B312" s="2445"/>
      <c r="C312" s="2521"/>
      <c r="D312" s="2500"/>
      <c r="E312" s="958" t="s">
        <v>807</v>
      </c>
      <c r="F312" s="2210" t="s">
        <v>1320</v>
      </c>
      <c r="G312" s="2210"/>
      <c r="H312" s="2210"/>
      <c r="I312" s="2210"/>
      <c r="J312" s="2210"/>
      <c r="K312" s="2210"/>
      <c r="L312" s="2210"/>
      <c r="M312" s="2210"/>
      <c r="N312" s="2210"/>
      <c r="O312" s="2210"/>
      <c r="P312" s="2211"/>
      <c r="Q312" s="2257">
        <v>22235</v>
      </c>
      <c r="R312" s="2224"/>
      <c r="S312" s="2224"/>
      <c r="T312" s="508" t="s">
        <v>1292</v>
      </c>
      <c r="U312" s="2224">
        <v>12129</v>
      </c>
      <c r="V312" s="2224"/>
      <c r="W312" s="2224"/>
      <c r="X312" s="508" t="s">
        <v>779</v>
      </c>
      <c r="Y312" s="2224">
        <v>1001</v>
      </c>
      <c r="Z312" s="2224"/>
      <c r="AA312" s="2224"/>
      <c r="AB312" s="508" t="s">
        <v>806</v>
      </c>
      <c r="AC312" s="2224"/>
      <c r="AD312" s="2224"/>
      <c r="AE312" s="2224"/>
      <c r="AF312" s="508" t="s">
        <v>806</v>
      </c>
      <c r="AG312" s="2224"/>
      <c r="AH312" s="2224"/>
      <c r="AI312" s="2226"/>
      <c r="AJ312" s="2212">
        <f t="shared" si="80"/>
        <v>35360</v>
      </c>
      <c r="AK312" s="2213"/>
      <c r="AL312" s="2214"/>
      <c r="AM312" s="2215">
        <v>1</v>
      </c>
      <c r="AN312" s="2216"/>
      <c r="AO312" s="2217"/>
      <c r="AP312" s="2209">
        <f t="shared" si="81"/>
        <v>35360</v>
      </c>
      <c r="AQ312" s="2210"/>
      <c r="AR312" s="2211"/>
      <c r="AS312" s="2203">
        <f ca="1">SUMIF(基礎・屋根・外壁!B$206:AE$206,F312,基礎・屋根・外壁!B$211:AE$211)+SUMIF(基礎・屋根・外壁!B$242:AE$242,F312,基礎・屋根・外壁!B$247:AE$247)+SUMIF(見積拾!C$65:D$69,F312,見積拾!T$65:T$69)</f>
        <v>0</v>
      </c>
      <c r="AT312" s="2204"/>
      <c r="AU312" s="2204"/>
      <c r="AV312" s="2205"/>
      <c r="AW312" s="2206">
        <f t="shared" ca="1" si="82"/>
        <v>0</v>
      </c>
      <c r="AX312" s="2207"/>
      <c r="AY312" s="2207"/>
      <c r="AZ312" s="2208"/>
      <c r="BA312" s="2200"/>
      <c r="BB312" s="956" t="b">
        <f t="shared" ca="1" si="83"/>
        <v>0</v>
      </c>
    </row>
    <row r="313" spans="2:54" ht="13.5" customHeight="1">
      <c r="B313" s="2445"/>
      <c r="C313" s="2521"/>
      <c r="D313" s="2500"/>
      <c r="E313" s="958" t="s">
        <v>807</v>
      </c>
      <c r="F313" s="2210" t="s">
        <v>1321</v>
      </c>
      <c r="G313" s="2210"/>
      <c r="H313" s="2210"/>
      <c r="I313" s="2210"/>
      <c r="J313" s="2210"/>
      <c r="K313" s="2210"/>
      <c r="L313" s="2210"/>
      <c r="M313" s="2210"/>
      <c r="N313" s="2210"/>
      <c r="O313" s="2210"/>
      <c r="P313" s="2211"/>
      <c r="Q313" s="2257">
        <v>12019</v>
      </c>
      <c r="R313" s="2224"/>
      <c r="S313" s="2224"/>
      <c r="T313" s="508" t="s">
        <v>1292</v>
      </c>
      <c r="U313" s="2224">
        <v>12129</v>
      </c>
      <c r="V313" s="2224"/>
      <c r="W313" s="2224"/>
      <c r="X313" s="508" t="s">
        <v>779</v>
      </c>
      <c r="Y313" s="2224">
        <v>1001</v>
      </c>
      <c r="Z313" s="2224"/>
      <c r="AA313" s="2224"/>
      <c r="AB313" s="508" t="s">
        <v>806</v>
      </c>
      <c r="AC313" s="2224"/>
      <c r="AD313" s="2224"/>
      <c r="AE313" s="2224"/>
      <c r="AF313" s="508" t="s">
        <v>806</v>
      </c>
      <c r="AG313" s="2224"/>
      <c r="AH313" s="2224"/>
      <c r="AI313" s="2226"/>
      <c r="AJ313" s="2212">
        <f t="shared" si="80"/>
        <v>25140</v>
      </c>
      <c r="AK313" s="2213"/>
      <c r="AL313" s="2214"/>
      <c r="AM313" s="2215">
        <v>1</v>
      </c>
      <c r="AN313" s="2216"/>
      <c r="AO313" s="2217"/>
      <c r="AP313" s="2209">
        <f t="shared" si="81"/>
        <v>25140</v>
      </c>
      <c r="AQ313" s="2210"/>
      <c r="AR313" s="2211"/>
      <c r="AS313" s="2203">
        <f ca="1">SUMIF(基礎・屋根・外壁!B$206:AE$206,F313,基礎・屋根・外壁!B$211:AE$211)+SUMIF(基礎・屋根・外壁!B$242:AE$242,F313,基礎・屋根・外壁!B$247:AE$247)+SUMIF(見積拾!C$65:D$69,F313,見積拾!T$65:T$69)</f>
        <v>0</v>
      </c>
      <c r="AT313" s="2204"/>
      <c r="AU313" s="2204"/>
      <c r="AV313" s="2205"/>
      <c r="AW313" s="2206">
        <f t="shared" ca="1" si="82"/>
        <v>0</v>
      </c>
      <c r="AX313" s="2207"/>
      <c r="AY313" s="2207"/>
      <c r="AZ313" s="2208"/>
      <c r="BA313" s="2200"/>
      <c r="BB313" s="956" t="b">
        <f t="shared" ca="1" si="83"/>
        <v>0</v>
      </c>
    </row>
    <row r="314" spans="2:54" ht="13.5" customHeight="1">
      <c r="B314" s="2445"/>
      <c r="C314" s="2521"/>
      <c r="D314" s="2500"/>
      <c r="E314" s="958" t="s">
        <v>807</v>
      </c>
      <c r="F314" s="2210" t="s">
        <v>1322</v>
      </c>
      <c r="G314" s="2210"/>
      <c r="H314" s="2210"/>
      <c r="I314" s="2210"/>
      <c r="J314" s="2210"/>
      <c r="K314" s="2210"/>
      <c r="L314" s="2210"/>
      <c r="M314" s="2210"/>
      <c r="N314" s="2210"/>
      <c r="O314" s="2210"/>
      <c r="P314" s="2211"/>
      <c r="Q314" s="2257">
        <v>4807</v>
      </c>
      <c r="R314" s="2224"/>
      <c r="S314" s="2224"/>
      <c r="T314" s="508" t="s">
        <v>1292</v>
      </c>
      <c r="U314" s="2224">
        <v>12129</v>
      </c>
      <c r="V314" s="2224"/>
      <c r="W314" s="2224"/>
      <c r="X314" s="508" t="s">
        <v>779</v>
      </c>
      <c r="Y314" s="2224">
        <v>1001</v>
      </c>
      <c r="Z314" s="2224"/>
      <c r="AA314" s="2224"/>
      <c r="AB314" s="508" t="s">
        <v>806</v>
      </c>
      <c r="AC314" s="2224"/>
      <c r="AD314" s="2224"/>
      <c r="AE314" s="2224"/>
      <c r="AF314" s="508" t="s">
        <v>806</v>
      </c>
      <c r="AG314" s="2224"/>
      <c r="AH314" s="2224"/>
      <c r="AI314" s="2226"/>
      <c r="AJ314" s="2212">
        <f t="shared" si="80"/>
        <v>17930</v>
      </c>
      <c r="AK314" s="2213"/>
      <c r="AL314" s="2214"/>
      <c r="AM314" s="2215">
        <v>1</v>
      </c>
      <c r="AN314" s="2216"/>
      <c r="AO314" s="2217"/>
      <c r="AP314" s="2209">
        <f t="shared" si="81"/>
        <v>17930</v>
      </c>
      <c r="AQ314" s="2210"/>
      <c r="AR314" s="2211"/>
      <c r="AS314" s="2203">
        <f ca="1">SUMIF(基礎・屋根・外壁!B$206:AE$206,F314,基礎・屋根・外壁!B$211:AE$211)+SUMIF(基礎・屋根・外壁!B$242:AE$242,F314,基礎・屋根・外壁!B$247:AE$247)+SUMIF(見積拾!C$65:D$69,F314,見積拾!T$65:T$69)</f>
        <v>0</v>
      </c>
      <c r="AT314" s="2204"/>
      <c r="AU314" s="2204"/>
      <c r="AV314" s="2205"/>
      <c r="AW314" s="2206">
        <f t="shared" ca="1" si="82"/>
        <v>0</v>
      </c>
      <c r="AX314" s="2207"/>
      <c r="AY314" s="2207"/>
      <c r="AZ314" s="2208"/>
      <c r="BA314" s="2200"/>
      <c r="BB314" s="956" t="b">
        <f t="shared" ca="1" si="83"/>
        <v>0</v>
      </c>
    </row>
    <row r="315" spans="2:54" ht="13.5" customHeight="1">
      <c r="B315" s="2445"/>
      <c r="C315" s="2521"/>
      <c r="D315" s="2500"/>
      <c r="E315" s="958" t="s">
        <v>777</v>
      </c>
      <c r="F315" s="2210" t="s">
        <v>1108</v>
      </c>
      <c r="G315" s="2210"/>
      <c r="H315" s="2210"/>
      <c r="I315" s="2210"/>
      <c r="J315" s="2210"/>
      <c r="K315" s="2210"/>
      <c r="L315" s="2210"/>
      <c r="M315" s="2210"/>
      <c r="N315" s="2210"/>
      <c r="O315" s="2210"/>
      <c r="P315" s="2211"/>
      <c r="Q315" s="2257">
        <v>3820</v>
      </c>
      <c r="R315" s="2224"/>
      <c r="S315" s="2224"/>
      <c r="T315" s="508" t="s">
        <v>1292</v>
      </c>
      <c r="U315" s="2225" t="s">
        <v>1031</v>
      </c>
      <c r="V315" s="2225"/>
      <c r="W315" s="2225"/>
      <c r="X315" s="508" t="s">
        <v>779</v>
      </c>
      <c r="Y315" s="2225" t="s">
        <v>5685</v>
      </c>
      <c r="Z315" s="2225"/>
      <c r="AA315" s="2225"/>
      <c r="AB315" s="508" t="s">
        <v>40</v>
      </c>
      <c r="AC315" s="2224"/>
      <c r="AD315" s="2224"/>
      <c r="AE315" s="2224"/>
      <c r="AF315" s="508" t="s">
        <v>40</v>
      </c>
      <c r="AG315" s="2224"/>
      <c r="AH315" s="2224"/>
      <c r="AI315" s="2226"/>
      <c r="AJ315" s="2212">
        <f t="shared" si="80"/>
        <v>3820</v>
      </c>
      <c r="AK315" s="2213"/>
      <c r="AL315" s="2214"/>
      <c r="AM315" s="2215">
        <v>1</v>
      </c>
      <c r="AN315" s="2216"/>
      <c r="AO315" s="2217"/>
      <c r="AP315" s="2209">
        <f t="shared" si="81"/>
        <v>3820</v>
      </c>
      <c r="AQ315" s="2210"/>
      <c r="AR315" s="2211"/>
      <c r="AS315" s="2203">
        <f ca="1">SUMIF(基礎・屋根・外壁!B$206:AE$206,F315,基礎・屋根・外壁!B$211:AE$211)+SUMIF(基礎・屋根・外壁!B$242:AE$242,F315,基礎・屋根・外壁!B$247:AE$247)+SUMIF(見積拾!C$65:D$69,F315,見積拾!T$65:T$69)</f>
        <v>0</v>
      </c>
      <c r="AT315" s="2204"/>
      <c r="AU315" s="2204"/>
      <c r="AV315" s="2205"/>
      <c r="AW315" s="2206">
        <f t="shared" ca="1" si="82"/>
        <v>0</v>
      </c>
      <c r="AX315" s="2207"/>
      <c r="AY315" s="2207"/>
      <c r="AZ315" s="2208"/>
      <c r="BA315" s="2200"/>
      <c r="BB315" s="956" t="b">
        <f t="shared" ca="1" si="83"/>
        <v>0</v>
      </c>
    </row>
    <row r="316" spans="2:54" ht="13.5" customHeight="1">
      <c r="B316" s="2445"/>
      <c r="C316" s="2521"/>
      <c r="D316" s="2500"/>
      <c r="E316" s="958" t="s">
        <v>777</v>
      </c>
      <c r="F316" s="2210" t="s">
        <v>1323</v>
      </c>
      <c r="G316" s="2210"/>
      <c r="H316" s="2210"/>
      <c r="I316" s="2210"/>
      <c r="J316" s="2210"/>
      <c r="K316" s="2210"/>
      <c r="L316" s="2210"/>
      <c r="M316" s="2210"/>
      <c r="N316" s="2210"/>
      <c r="O316" s="2210"/>
      <c r="P316" s="2211"/>
      <c r="Q316" s="2315" t="s">
        <v>5686</v>
      </c>
      <c r="R316" s="2225"/>
      <c r="S316" s="2225"/>
      <c r="T316" s="508" t="s">
        <v>1292</v>
      </c>
      <c r="U316" s="2224">
        <v>4798</v>
      </c>
      <c r="V316" s="2224"/>
      <c r="W316" s="2224"/>
      <c r="X316" s="508" t="s">
        <v>779</v>
      </c>
      <c r="Y316" s="2224">
        <v>389</v>
      </c>
      <c r="Z316" s="2224"/>
      <c r="AA316" s="2224"/>
      <c r="AB316" s="508" t="s">
        <v>785</v>
      </c>
      <c r="AC316" s="2224"/>
      <c r="AD316" s="2224"/>
      <c r="AE316" s="2224"/>
      <c r="AF316" s="508" t="s">
        <v>785</v>
      </c>
      <c r="AG316" s="2224"/>
      <c r="AH316" s="2224"/>
      <c r="AI316" s="2226"/>
      <c r="AJ316" s="2212">
        <f t="shared" si="80"/>
        <v>5180</v>
      </c>
      <c r="AK316" s="2213"/>
      <c r="AL316" s="2214"/>
      <c r="AM316" s="2215">
        <v>1</v>
      </c>
      <c r="AN316" s="2216"/>
      <c r="AO316" s="2217"/>
      <c r="AP316" s="2209">
        <f t="shared" si="81"/>
        <v>5180</v>
      </c>
      <c r="AQ316" s="2210"/>
      <c r="AR316" s="2211"/>
      <c r="AS316" s="2203">
        <f ca="1">SUMIF(基礎・屋根・外壁!B$206:AE$206,F316,基礎・屋根・外壁!B$211:AE$211)+SUMIF(基礎・屋根・外壁!B$242:AE$242,F316,基礎・屋根・外壁!B$247:AE$247)+SUMIF(見積拾!C$65:D$69,F316,見積拾!T$65:T$69)</f>
        <v>0</v>
      </c>
      <c r="AT316" s="2204"/>
      <c r="AU316" s="2204"/>
      <c r="AV316" s="2205"/>
      <c r="AW316" s="2206">
        <f t="shared" ca="1" si="82"/>
        <v>0</v>
      </c>
      <c r="AX316" s="2207"/>
      <c r="AY316" s="2207"/>
      <c r="AZ316" s="2208"/>
      <c r="BA316" s="2200"/>
      <c r="BB316" s="956" t="b">
        <f t="shared" ca="1" si="83"/>
        <v>0</v>
      </c>
    </row>
    <row r="317" spans="2:54" ht="13.5" customHeight="1">
      <c r="B317" s="2445"/>
      <c r="C317" s="2521"/>
      <c r="D317" s="2500"/>
      <c r="E317" s="958" t="s">
        <v>777</v>
      </c>
      <c r="F317" s="2210" t="s">
        <v>1324</v>
      </c>
      <c r="G317" s="2210"/>
      <c r="H317" s="2210"/>
      <c r="I317" s="2210"/>
      <c r="J317" s="2210"/>
      <c r="K317" s="2210"/>
      <c r="L317" s="2210"/>
      <c r="M317" s="2210"/>
      <c r="N317" s="2210"/>
      <c r="O317" s="2210"/>
      <c r="P317" s="2211"/>
      <c r="Q317" s="2315" t="s">
        <v>5686</v>
      </c>
      <c r="R317" s="2225"/>
      <c r="S317" s="2225"/>
      <c r="T317" s="508" t="s">
        <v>1292</v>
      </c>
      <c r="U317" s="2224">
        <v>3890</v>
      </c>
      <c r="V317" s="2224"/>
      <c r="W317" s="2224"/>
      <c r="X317" s="508" t="s">
        <v>779</v>
      </c>
      <c r="Y317" s="2224">
        <v>339</v>
      </c>
      <c r="Z317" s="2224"/>
      <c r="AA317" s="2224"/>
      <c r="AB317" s="508" t="s">
        <v>40</v>
      </c>
      <c r="AC317" s="2224"/>
      <c r="AD317" s="2224"/>
      <c r="AE317" s="2224"/>
      <c r="AF317" s="508" t="s">
        <v>40</v>
      </c>
      <c r="AG317" s="2224"/>
      <c r="AH317" s="2224"/>
      <c r="AI317" s="2226"/>
      <c r="AJ317" s="2212">
        <f t="shared" si="80"/>
        <v>4220</v>
      </c>
      <c r="AK317" s="2213"/>
      <c r="AL317" s="2214"/>
      <c r="AM317" s="2215">
        <v>1</v>
      </c>
      <c r="AN317" s="2216"/>
      <c r="AO317" s="2217"/>
      <c r="AP317" s="2209">
        <f t="shared" si="81"/>
        <v>4220</v>
      </c>
      <c r="AQ317" s="2210"/>
      <c r="AR317" s="2211"/>
      <c r="AS317" s="2203">
        <f ca="1">SUMIF(基礎・屋根・外壁!B$206:AE$206,F317,基礎・屋根・外壁!B$211:AE$211)+SUMIF(基礎・屋根・外壁!B$242:AE$242,F317,基礎・屋根・外壁!B$247:AE$247)+SUMIF(見積拾!C$65:D$69,F317,見積拾!T$65:T$69)</f>
        <v>0</v>
      </c>
      <c r="AT317" s="2204"/>
      <c r="AU317" s="2204"/>
      <c r="AV317" s="2205"/>
      <c r="AW317" s="2206">
        <f t="shared" ca="1" si="82"/>
        <v>0</v>
      </c>
      <c r="AX317" s="2207"/>
      <c r="AY317" s="2207"/>
      <c r="AZ317" s="2208"/>
      <c r="BA317" s="2200"/>
      <c r="BB317" s="956" t="b">
        <f t="shared" ca="1" si="83"/>
        <v>0</v>
      </c>
    </row>
    <row r="318" spans="2:54" ht="13.5" customHeight="1">
      <c r="B318" s="2445"/>
      <c r="C318" s="2521"/>
      <c r="D318" s="2500"/>
      <c r="E318" s="958" t="s">
        <v>777</v>
      </c>
      <c r="F318" s="2210" t="s">
        <v>1325</v>
      </c>
      <c r="G318" s="2210"/>
      <c r="H318" s="2210"/>
      <c r="I318" s="2210"/>
      <c r="J318" s="2210"/>
      <c r="K318" s="2210"/>
      <c r="L318" s="2210"/>
      <c r="M318" s="2210"/>
      <c r="N318" s="2210"/>
      <c r="O318" s="2210"/>
      <c r="P318" s="2211"/>
      <c r="Q318" s="2257">
        <v>8690</v>
      </c>
      <c r="R318" s="2224"/>
      <c r="S318" s="2224"/>
      <c r="T318" s="508" t="s">
        <v>1292</v>
      </c>
      <c r="U318" s="2225" t="s">
        <v>1031</v>
      </c>
      <c r="V318" s="2225"/>
      <c r="W318" s="2225"/>
      <c r="X318" s="508" t="s">
        <v>779</v>
      </c>
      <c r="Y318" s="2224">
        <v>567</v>
      </c>
      <c r="Z318" s="2224"/>
      <c r="AA318" s="2224"/>
      <c r="AB318" s="508" t="s">
        <v>40</v>
      </c>
      <c r="AC318" s="2224"/>
      <c r="AD318" s="2224"/>
      <c r="AE318" s="2224"/>
      <c r="AF318" s="508" t="s">
        <v>40</v>
      </c>
      <c r="AG318" s="2224"/>
      <c r="AH318" s="2224"/>
      <c r="AI318" s="2226"/>
      <c r="AJ318" s="2212">
        <f t="shared" si="80"/>
        <v>9250</v>
      </c>
      <c r="AK318" s="2213"/>
      <c r="AL318" s="2214"/>
      <c r="AM318" s="2215">
        <v>1</v>
      </c>
      <c r="AN318" s="2216"/>
      <c r="AO318" s="2217"/>
      <c r="AP318" s="2209">
        <f t="shared" si="81"/>
        <v>9250</v>
      </c>
      <c r="AQ318" s="2210"/>
      <c r="AR318" s="2211"/>
      <c r="AS318" s="2203">
        <f ca="1">SUMIF(基礎・屋根・外壁!B$206:AE$206,F318,基礎・屋根・外壁!B$211:AE$211)+SUMIF(基礎・屋根・外壁!B$242:AE$242,F318,基礎・屋根・外壁!B$247:AE$247)+SUMIF(見積拾!C$65:D$69,F318,見積拾!T$65:T$69)</f>
        <v>0</v>
      </c>
      <c r="AT318" s="2204"/>
      <c r="AU318" s="2204"/>
      <c r="AV318" s="2205"/>
      <c r="AW318" s="2206">
        <f t="shared" ca="1" si="82"/>
        <v>0</v>
      </c>
      <c r="AX318" s="2207"/>
      <c r="AY318" s="2207"/>
      <c r="AZ318" s="2208"/>
      <c r="BA318" s="2200"/>
      <c r="BB318" s="956" t="b">
        <f t="shared" ca="1" si="83"/>
        <v>0</v>
      </c>
    </row>
    <row r="319" spans="2:54" ht="13.5" customHeight="1">
      <c r="B319" s="2445"/>
      <c r="C319" s="2521"/>
      <c r="D319" s="2500"/>
      <c r="E319" s="958" t="s">
        <v>777</v>
      </c>
      <c r="F319" s="2210" t="s">
        <v>1326</v>
      </c>
      <c r="G319" s="2210"/>
      <c r="H319" s="2210"/>
      <c r="I319" s="2210"/>
      <c r="J319" s="2210"/>
      <c r="K319" s="2210"/>
      <c r="L319" s="2210"/>
      <c r="M319" s="2210"/>
      <c r="N319" s="2210"/>
      <c r="O319" s="2210"/>
      <c r="P319" s="2211"/>
      <c r="Q319" s="2257">
        <v>4240</v>
      </c>
      <c r="R319" s="2224"/>
      <c r="S319" s="2224"/>
      <c r="T319" s="508" t="s">
        <v>1292</v>
      </c>
      <c r="U319" s="2225" t="s">
        <v>1031</v>
      </c>
      <c r="V319" s="2225"/>
      <c r="W319" s="2225"/>
      <c r="X319" s="508" t="s">
        <v>779</v>
      </c>
      <c r="Y319" s="2224">
        <v>567</v>
      </c>
      <c r="Z319" s="2224"/>
      <c r="AA319" s="2224"/>
      <c r="AB319" s="508" t="s">
        <v>40</v>
      </c>
      <c r="AC319" s="2224"/>
      <c r="AD319" s="2224"/>
      <c r="AE319" s="2224"/>
      <c r="AF319" s="508" t="s">
        <v>40</v>
      </c>
      <c r="AG319" s="2224"/>
      <c r="AH319" s="2224"/>
      <c r="AI319" s="2226"/>
      <c r="AJ319" s="2212">
        <f t="shared" si="80"/>
        <v>4800</v>
      </c>
      <c r="AK319" s="2213"/>
      <c r="AL319" s="2214"/>
      <c r="AM319" s="2215">
        <v>1</v>
      </c>
      <c r="AN319" s="2216"/>
      <c r="AO319" s="2217"/>
      <c r="AP319" s="2209">
        <f t="shared" si="81"/>
        <v>4800</v>
      </c>
      <c r="AQ319" s="2210"/>
      <c r="AR319" s="2211"/>
      <c r="AS319" s="2203">
        <f ca="1">SUMIF(基礎・屋根・外壁!B$206:AE$206,F319,基礎・屋根・外壁!B$211:AE$211)+SUMIF(基礎・屋根・外壁!B$242:AE$242,F319,基礎・屋根・外壁!B$247:AE$247)+SUMIF(見積拾!C$65:D$69,F319,見積拾!T$65:T$69)</f>
        <v>0</v>
      </c>
      <c r="AT319" s="2204"/>
      <c r="AU319" s="2204"/>
      <c r="AV319" s="2205"/>
      <c r="AW319" s="2206">
        <f t="shared" ca="1" si="82"/>
        <v>0</v>
      </c>
      <c r="AX319" s="2207"/>
      <c r="AY319" s="2207"/>
      <c r="AZ319" s="2208"/>
      <c r="BA319" s="2200"/>
      <c r="BB319" s="956" t="b">
        <f t="shared" ca="1" si="83"/>
        <v>0</v>
      </c>
    </row>
    <row r="320" spans="2:54" ht="13.5" customHeight="1">
      <c r="B320" s="2445"/>
      <c r="C320" s="2521"/>
      <c r="D320" s="2500"/>
      <c r="E320" s="958" t="s">
        <v>777</v>
      </c>
      <c r="F320" s="2210" t="s">
        <v>1539</v>
      </c>
      <c r="G320" s="2210"/>
      <c r="H320" s="2210"/>
      <c r="I320" s="2210"/>
      <c r="J320" s="2210"/>
      <c r="K320" s="2210"/>
      <c r="L320" s="2210"/>
      <c r="M320" s="2210"/>
      <c r="N320" s="2210"/>
      <c r="O320" s="2210"/>
      <c r="P320" s="2211"/>
      <c r="Q320" s="2257">
        <v>412</v>
      </c>
      <c r="R320" s="2224"/>
      <c r="S320" s="2224"/>
      <c r="T320" s="508" t="s">
        <v>1292</v>
      </c>
      <c r="U320" s="2224">
        <v>3492</v>
      </c>
      <c r="V320" s="2224"/>
      <c r="W320" s="2224"/>
      <c r="X320" s="508" t="s">
        <v>779</v>
      </c>
      <c r="Y320" s="2224">
        <v>1104</v>
      </c>
      <c r="Z320" s="2224"/>
      <c r="AA320" s="2224"/>
      <c r="AB320" s="508" t="s">
        <v>40</v>
      </c>
      <c r="AC320" s="2224"/>
      <c r="AD320" s="2224"/>
      <c r="AE320" s="2224"/>
      <c r="AF320" s="508" t="s">
        <v>40</v>
      </c>
      <c r="AG320" s="2224"/>
      <c r="AH320" s="2224"/>
      <c r="AI320" s="2226"/>
      <c r="AJ320" s="2212">
        <f t="shared" si="80"/>
        <v>5000</v>
      </c>
      <c r="AK320" s="2213"/>
      <c r="AL320" s="2214"/>
      <c r="AM320" s="2215">
        <v>1</v>
      </c>
      <c r="AN320" s="2216"/>
      <c r="AO320" s="2217"/>
      <c r="AP320" s="2209">
        <f t="shared" si="81"/>
        <v>5000</v>
      </c>
      <c r="AQ320" s="2210"/>
      <c r="AR320" s="2211"/>
      <c r="AS320" s="2203">
        <f ca="1">SUMIF(基礎・屋根・外壁!B$206:AE$206,F320,基礎・屋根・外壁!B$211:AE$211)+SUMIF(基礎・屋根・外壁!B$242:AE$242,F320,基礎・屋根・外壁!B$247:AE$247)+SUMIF(見積拾!C$65:D$69,F320,見積拾!T$65:T$69)</f>
        <v>0</v>
      </c>
      <c r="AT320" s="2204"/>
      <c r="AU320" s="2204"/>
      <c r="AV320" s="2205"/>
      <c r="AW320" s="2206">
        <f t="shared" ca="1" si="82"/>
        <v>0</v>
      </c>
      <c r="AX320" s="2207"/>
      <c r="AY320" s="2207"/>
      <c r="AZ320" s="2208"/>
      <c r="BA320" s="2200"/>
      <c r="BB320" s="956" t="b">
        <f t="shared" ca="1" si="83"/>
        <v>0</v>
      </c>
    </row>
    <row r="321" spans="2:54" ht="13.5" customHeight="1">
      <c r="B321" s="2445"/>
      <c r="C321" s="2521"/>
      <c r="D321" s="2500"/>
      <c r="E321" s="958" t="s">
        <v>777</v>
      </c>
      <c r="F321" s="2210" t="s">
        <v>1540</v>
      </c>
      <c r="G321" s="2210"/>
      <c r="H321" s="2210"/>
      <c r="I321" s="2210"/>
      <c r="J321" s="2210"/>
      <c r="K321" s="2210"/>
      <c r="L321" s="2210"/>
      <c r="M321" s="2210"/>
      <c r="N321" s="2210"/>
      <c r="O321" s="2210"/>
      <c r="P321" s="2211"/>
      <c r="Q321" s="2257">
        <v>773</v>
      </c>
      <c r="R321" s="2224"/>
      <c r="S321" s="2224"/>
      <c r="T321" s="508" t="s">
        <v>1292</v>
      </c>
      <c r="U321" s="2224">
        <v>3492</v>
      </c>
      <c r="V321" s="2224"/>
      <c r="W321" s="2224"/>
      <c r="X321" s="508" t="s">
        <v>779</v>
      </c>
      <c r="Y321" s="2224">
        <v>1824</v>
      </c>
      <c r="Z321" s="2224"/>
      <c r="AA321" s="2224"/>
      <c r="AB321" s="508" t="s">
        <v>808</v>
      </c>
      <c r="AC321" s="2224"/>
      <c r="AD321" s="2224"/>
      <c r="AE321" s="2224"/>
      <c r="AF321" s="508" t="s">
        <v>808</v>
      </c>
      <c r="AG321" s="2224"/>
      <c r="AH321" s="2224"/>
      <c r="AI321" s="2226"/>
      <c r="AJ321" s="2212">
        <f t="shared" si="80"/>
        <v>6080</v>
      </c>
      <c r="AK321" s="2213"/>
      <c r="AL321" s="2214"/>
      <c r="AM321" s="2215">
        <v>1</v>
      </c>
      <c r="AN321" s="2216"/>
      <c r="AO321" s="2217"/>
      <c r="AP321" s="2209">
        <f t="shared" si="81"/>
        <v>6080</v>
      </c>
      <c r="AQ321" s="2210"/>
      <c r="AR321" s="2211"/>
      <c r="AS321" s="2203">
        <f ca="1">SUMIF(基礎・屋根・外壁!B$206:AE$206,F321,基礎・屋根・外壁!B$211:AE$211)+SUMIF(基礎・屋根・外壁!B$242:AE$242,F321,基礎・屋根・外壁!B$247:AE$247)+SUMIF(見積拾!C$65:D$69,F321,見積拾!T$65:T$69)</f>
        <v>0</v>
      </c>
      <c r="AT321" s="2204"/>
      <c r="AU321" s="2204"/>
      <c r="AV321" s="2205"/>
      <c r="AW321" s="2206">
        <f t="shared" ca="1" si="82"/>
        <v>0</v>
      </c>
      <c r="AX321" s="2207"/>
      <c r="AY321" s="2207"/>
      <c r="AZ321" s="2208"/>
      <c r="BA321" s="2200"/>
      <c r="BB321" s="956" t="b">
        <f t="shared" ca="1" si="83"/>
        <v>0</v>
      </c>
    </row>
    <row r="322" spans="2:54" ht="13.5" customHeight="1">
      <c r="B322" s="2445"/>
      <c r="C322" s="2521"/>
      <c r="D322" s="2500"/>
      <c r="E322" s="958" t="s">
        <v>777</v>
      </c>
      <c r="F322" s="2210" t="s">
        <v>1541</v>
      </c>
      <c r="G322" s="2210"/>
      <c r="H322" s="2210"/>
      <c r="I322" s="2210"/>
      <c r="J322" s="2210"/>
      <c r="K322" s="2210"/>
      <c r="L322" s="2210"/>
      <c r="M322" s="2210"/>
      <c r="N322" s="2210"/>
      <c r="O322" s="2210"/>
      <c r="P322" s="2211"/>
      <c r="Q322" s="2257">
        <v>783</v>
      </c>
      <c r="R322" s="2224"/>
      <c r="S322" s="2224"/>
      <c r="T322" s="508" t="s">
        <v>1292</v>
      </c>
      <c r="U322" s="2224">
        <v>2037</v>
      </c>
      <c r="V322" s="2224"/>
      <c r="W322" s="2224"/>
      <c r="X322" s="508" t="s">
        <v>779</v>
      </c>
      <c r="Y322" s="2224">
        <v>1104</v>
      </c>
      <c r="Z322" s="2224"/>
      <c r="AA322" s="2224"/>
      <c r="AB322" s="508" t="s">
        <v>808</v>
      </c>
      <c r="AC322" s="2224"/>
      <c r="AD322" s="2224"/>
      <c r="AE322" s="2224"/>
      <c r="AF322" s="508" t="s">
        <v>808</v>
      </c>
      <c r="AG322" s="2224"/>
      <c r="AH322" s="2224"/>
      <c r="AI322" s="2226"/>
      <c r="AJ322" s="2212">
        <f t="shared" si="80"/>
        <v>3920</v>
      </c>
      <c r="AK322" s="2213"/>
      <c r="AL322" s="2214"/>
      <c r="AM322" s="2215">
        <v>1</v>
      </c>
      <c r="AN322" s="2216"/>
      <c r="AO322" s="2217"/>
      <c r="AP322" s="2209">
        <f t="shared" si="81"/>
        <v>3920</v>
      </c>
      <c r="AQ322" s="2210"/>
      <c r="AR322" s="2211"/>
      <c r="AS322" s="2203">
        <f ca="1">SUMIF(基礎・屋根・外壁!B$206:AE$206,F322,基礎・屋根・外壁!B$211:AE$211)+SUMIF(基礎・屋根・外壁!B$242:AE$242,F322,基礎・屋根・外壁!B$247:AE$247)+SUMIF(見積拾!C$65:D$69,F322,見積拾!T$65:T$69)</f>
        <v>0</v>
      </c>
      <c r="AT322" s="2204"/>
      <c r="AU322" s="2204"/>
      <c r="AV322" s="2205"/>
      <c r="AW322" s="2206">
        <f t="shared" ca="1" si="82"/>
        <v>0</v>
      </c>
      <c r="AX322" s="2207"/>
      <c r="AY322" s="2207"/>
      <c r="AZ322" s="2208"/>
      <c r="BA322" s="2200"/>
      <c r="BB322" s="956" t="b">
        <f t="shared" ca="1" si="83"/>
        <v>0</v>
      </c>
    </row>
    <row r="323" spans="2:54" ht="13.5" customHeight="1">
      <c r="B323" s="2445"/>
      <c r="C323" s="2521"/>
      <c r="D323" s="2500"/>
      <c r="E323" s="958" t="s">
        <v>777</v>
      </c>
      <c r="F323" s="2210" t="s">
        <v>1542</v>
      </c>
      <c r="G323" s="2210"/>
      <c r="H323" s="2210"/>
      <c r="I323" s="2210"/>
      <c r="J323" s="2210"/>
      <c r="K323" s="2210"/>
      <c r="L323" s="2210"/>
      <c r="M323" s="2210"/>
      <c r="N323" s="2210"/>
      <c r="O323" s="2210"/>
      <c r="P323" s="2211"/>
      <c r="Q323" s="2257">
        <v>22500</v>
      </c>
      <c r="R323" s="2224"/>
      <c r="S323" s="2224"/>
      <c r="T323" s="508" t="s">
        <v>1292</v>
      </c>
      <c r="U323" s="2224">
        <v>9021</v>
      </c>
      <c r="V323" s="2224"/>
      <c r="W323" s="2224"/>
      <c r="X323" s="508" t="s">
        <v>779</v>
      </c>
      <c r="Y323" s="2224">
        <v>1824</v>
      </c>
      <c r="Z323" s="2224"/>
      <c r="AA323" s="2224"/>
      <c r="AB323" s="508" t="s">
        <v>802</v>
      </c>
      <c r="AC323" s="2224"/>
      <c r="AD323" s="2224"/>
      <c r="AE323" s="2224"/>
      <c r="AF323" s="508" t="s">
        <v>802</v>
      </c>
      <c r="AG323" s="2224"/>
      <c r="AH323" s="2224"/>
      <c r="AI323" s="2226"/>
      <c r="AJ323" s="2212">
        <f t="shared" si="80"/>
        <v>33340</v>
      </c>
      <c r="AK323" s="2213"/>
      <c r="AL323" s="2214"/>
      <c r="AM323" s="2215">
        <v>1</v>
      </c>
      <c r="AN323" s="2216"/>
      <c r="AO323" s="2217"/>
      <c r="AP323" s="2209">
        <f t="shared" si="81"/>
        <v>33340</v>
      </c>
      <c r="AQ323" s="2210"/>
      <c r="AR323" s="2211"/>
      <c r="AS323" s="2203">
        <f ca="1">SUMIF(基礎・屋根・外壁!B$206:AE$206,F323,基礎・屋根・外壁!B$211:AE$211)+SUMIF(基礎・屋根・外壁!B$242:AE$242,F323,基礎・屋根・外壁!B$247:AE$247)+SUMIF(見積拾!C$65:D$69,F323,見積拾!T$65:T$69)</f>
        <v>0</v>
      </c>
      <c r="AT323" s="2204"/>
      <c r="AU323" s="2204"/>
      <c r="AV323" s="2205"/>
      <c r="AW323" s="2206">
        <f t="shared" ca="1" si="82"/>
        <v>0</v>
      </c>
      <c r="AX323" s="2207"/>
      <c r="AY323" s="2207"/>
      <c r="AZ323" s="2208"/>
      <c r="BA323" s="2200"/>
      <c r="BB323" s="956" t="b">
        <f t="shared" ca="1" si="83"/>
        <v>0</v>
      </c>
    </row>
    <row r="324" spans="2:54" ht="13.5" customHeight="1">
      <c r="B324" s="2445"/>
      <c r="C324" s="2521"/>
      <c r="D324" s="2500"/>
      <c r="E324" s="958" t="s">
        <v>777</v>
      </c>
      <c r="F324" s="2210" t="s">
        <v>1543</v>
      </c>
      <c r="G324" s="2210"/>
      <c r="H324" s="2210"/>
      <c r="I324" s="2210"/>
      <c r="J324" s="2210"/>
      <c r="K324" s="2210"/>
      <c r="L324" s="2210"/>
      <c r="M324" s="2210"/>
      <c r="N324" s="2210"/>
      <c r="O324" s="2210"/>
      <c r="P324" s="2211"/>
      <c r="Q324" s="2257">
        <v>2534</v>
      </c>
      <c r="R324" s="2224"/>
      <c r="S324" s="2224"/>
      <c r="T324" s="508" t="s">
        <v>1292</v>
      </c>
      <c r="U324" s="2224">
        <v>7275</v>
      </c>
      <c r="V324" s="2224"/>
      <c r="W324" s="2224"/>
      <c r="X324" s="508" t="s">
        <v>779</v>
      </c>
      <c r="Y324" s="2224">
        <v>1824</v>
      </c>
      <c r="Z324" s="2224"/>
      <c r="AA324" s="2224"/>
      <c r="AB324" s="508" t="s">
        <v>802</v>
      </c>
      <c r="AC324" s="2224"/>
      <c r="AD324" s="2224"/>
      <c r="AE324" s="2224"/>
      <c r="AF324" s="508" t="s">
        <v>802</v>
      </c>
      <c r="AG324" s="2224"/>
      <c r="AH324" s="2224"/>
      <c r="AI324" s="2226"/>
      <c r="AJ324" s="2212">
        <f t="shared" si="80"/>
        <v>11630</v>
      </c>
      <c r="AK324" s="2213"/>
      <c r="AL324" s="2214"/>
      <c r="AM324" s="2215">
        <v>1</v>
      </c>
      <c r="AN324" s="2216"/>
      <c r="AO324" s="2217"/>
      <c r="AP324" s="2209">
        <f t="shared" si="81"/>
        <v>11630</v>
      </c>
      <c r="AQ324" s="2210"/>
      <c r="AR324" s="2211"/>
      <c r="AS324" s="2203">
        <f ca="1">SUMIF(基礎・屋根・外壁!B$206:AE$206,F324,基礎・屋根・外壁!B$211:AE$211)+SUMIF(基礎・屋根・外壁!B$242:AE$242,F324,基礎・屋根・外壁!B$247:AE$247)+SUMIF(見積拾!C$65:D$69,F324,見積拾!T$65:T$69)</f>
        <v>0</v>
      </c>
      <c r="AT324" s="2204"/>
      <c r="AU324" s="2204"/>
      <c r="AV324" s="2205"/>
      <c r="AW324" s="2206">
        <f t="shared" ca="1" si="82"/>
        <v>0</v>
      </c>
      <c r="AX324" s="2207"/>
      <c r="AY324" s="2207"/>
      <c r="AZ324" s="2208"/>
      <c r="BA324" s="2200"/>
      <c r="BB324" s="956" t="b">
        <f t="shared" ca="1" si="83"/>
        <v>0</v>
      </c>
    </row>
    <row r="325" spans="2:54" ht="13.5" customHeight="1">
      <c r="B325" s="2445"/>
      <c r="C325" s="2521"/>
      <c r="D325" s="2500"/>
      <c r="E325" s="958" t="s">
        <v>777</v>
      </c>
      <c r="F325" s="2210" t="s">
        <v>1544</v>
      </c>
      <c r="G325" s="2210"/>
      <c r="H325" s="2210"/>
      <c r="I325" s="2210"/>
      <c r="J325" s="2210"/>
      <c r="K325" s="2210"/>
      <c r="L325" s="2210"/>
      <c r="M325" s="2210"/>
      <c r="N325" s="2210"/>
      <c r="O325" s="2210"/>
      <c r="P325" s="2211"/>
      <c r="Q325" s="2257">
        <v>580</v>
      </c>
      <c r="R325" s="2224"/>
      <c r="S325" s="2224"/>
      <c r="T325" s="508" t="s">
        <v>1292</v>
      </c>
      <c r="U325" s="2224">
        <v>7275</v>
      </c>
      <c r="V325" s="2224"/>
      <c r="W325" s="2224"/>
      <c r="X325" s="508" t="s">
        <v>779</v>
      </c>
      <c r="Y325" s="2224">
        <v>1824</v>
      </c>
      <c r="Z325" s="2224"/>
      <c r="AA325" s="2224"/>
      <c r="AB325" s="508" t="s">
        <v>802</v>
      </c>
      <c r="AC325" s="2224"/>
      <c r="AD325" s="2224"/>
      <c r="AE325" s="2224"/>
      <c r="AF325" s="508" t="s">
        <v>802</v>
      </c>
      <c r="AG325" s="2224"/>
      <c r="AH325" s="2224"/>
      <c r="AI325" s="2226"/>
      <c r="AJ325" s="2212">
        <f t="shared" si="80"/>
        <v>9670</v>
      </c>
      <c r="AK325" s="2213"/>
      <c r="AL325" s="2214"/>
      <c r="AM325" s="2215">
        <v>1</v>
      </c>
      <c r="AN325" s="2216"/>
      <c r="AO325" s="2217"/>
      <c r="AP325" s="2209">
        <f t="shared" si="81"/>
        <v>9670</v>
      </c>
      <c r="AQ325" s="2210"/>
      <c r="AR325" s="2211"/>
      <c r="AS325" s="2203">
        <f ca="1">SUMIF(基礎・屋根・外壁!B$206:AE$206,F325,基礎・屋根・外壁!B$211:AE$211)+SUMIF(基礎・屋根・外壁!B$242:AE$242,F325,基礎・屋根・外壁!B$247:AE$247)+SUMIF(見積拾!C$65:D$69,F325,見積拾!T$65:T$69)</f>
        <v>0</v>
      </c>
      <c r="AT325" s="2204"/>
      <c r="AU325" s="2204"/>
      <c r="AV325" s="2205"/>
      <c r="AW325" s="2206">
        <f t="shared" ca="1" si="82"/>
        <v>0</v>
      </c>
      <c r="AX325" s="2207"/>
      <c r="AY325" s="2207"/>
      <c r="AZ325" s="2208"/>
      <c r="BA325" s="2200"/>
      <c r="BB325" s="956" t="b">
        <f t="shared" ca="1" si="83"/>
        <v>0</v>
      </c>
    </row>
    <row r="326" spans="2:54" ht="13.5" customHeight="1">
      <c r="B326" s="2445"/>
      <c r="C326" s="2521"/>
      <c r="D326" s="2500"/>
      <c r="E326" s="958" t="s">
        <v>777</v>
      </c>
      <c r="F326" s="2210" t="s">
        <v>1331</v>
      </c>
      <c r="G326" s="2210"/>
      <c r="H326" s="2210"/>
      <c r="I326" s="2210"/>
      <c r="J326" s="2210"/>
      <c r="K326" s="2210"/>
      <c r="L326" s="2210"/>
      <c r="M326" s="2210"/>
      <c r="N326" s="2210"/>
      <c r="O326" s="2210"/>
      <c r="P326" s="2211"/>
      <c r="Q326" s="2257">
        <v>25161</v>
      </c>
      <c r="R326" s="2224"/>
      <c r="S326" s="2224"/>
      <c r="T326" s="508" t="s">
        <v>1292</v>
      </c>
      <c r="U326" s="2224">
        <v>9021</v>
      </c>
      <c r="V326" s="2224"/>
      <c r="W326" s="2224"/>
      <c r="X326" s="508" t="s">
        <v>779</v>
      </c>
      <c r="Y326" s="2224">
        <v>1824</v>
      </c>
      <c r="Z326" s="2224"/>
      <c r="AA326" s="2224"/>
      <c r="AB326" s="508" t="s">
        <v>802</v>
      </c>
      <c r="AC326" s="2224"/>
      <c r="AD326" s="2224"/>
      <c r="AE326" s="2224"/>
      <c r="AF326" s="508" t="s">
        <v>802</v>
      </c>
      <c r="AG326" s="2224"/>
      <c r="AH326" s="2224"/>
      <c r="AI326" s="2226"/>
      <c r="AJ326" s="2212">
        <f t="shared" si="80"/>
        <v>36000</v>
      </c>
      <c r="AK326" s="2213"/>
      <c r="AL326" s="2214"/>
      <c r="AM326" s="2215">
        <v>1</v>
      </c>
      <c r="AN326" s="2216"/>
      <c r="AO326" s="2217"/>
      <c r="AP326" s="2209">
        <f t="shared" si="81"/>
        <v>36000</v>
      </c>
      <c r="AQ326" s="2210"/>
      <c r="AR326" s="2211"/>
      <c r="AS326" s="2203">
        <f ca="1">SUMIF(基礎・屋根・外壁!B$206:AE$206,F326,基礎・屋根・外壁!B$211:AE$211)+SUMIF(基礎・屋根・外壁!B$242:AE$242,F326,基礎・屋根・外壁!B$247:AE$247)+SUMIF(見積拾!C$65:D$69,F326,見積拾!T$65:T$69)</f>
        <v>0</v>
      </c>
      <c r="AT326" s="2204"/>
      <c r="AU326" s="2204"/>
      <c r="AV326" s="2205"/>
      <c r="AW326" s="2206">
        <f t="shared" ca="1" si="82"/>
        <v>0</v>
      </c>
      <c r="AX326" s="2207"/>
      <c r="AY326" s="2207"/>
      <c r="AZ326" s="2208"/>
      <c r="BA326" s="2200"/>
      <c r="BB326" s="956" t="b">
        <f t="shared" ca="1" si="83"/>
        <v>0</v>
      </c>
    </row>
    <row r="327" spans="2:54" ht="13.5" customHeight="1">
      <c r="B327" s="2445"/>
      <c r="C327" s="2521"/>
      <c r="D327" s="2500"/>
      <c r="E327" s="958" t="s">
        <v>777</v>
      </c>
      <c r="F327" s="2210" t="s">
        <v>1332</v>
      </c>
      <c r="G327" s="2210"/>
      <c r="H327" s="2210"/>
      <c r="I327" s="2210"/>
      <c r="J327" s="2210"/>
      <c r="K327" s="2210"/>
      <c r="L327" s="2210"/>
      <c r="M327" s="2210"/>
      <c r="N327" s="2210"/>
      <c r="O327" s="2210"/>
      <c r="P327" s="2211"/>
      <c r="Q327" s="2257">
        <v>6380</v>
      </c>
      <c r="R327" s="2224"/>
      <c r="S327" s="2224"/>
      <c r="T327" s="508" t="s">
        <v>1292</v>
      </c>
      <c r="U327" s="2224">
        <v>7566</v>
      </c>
      <c r="V327" s="2224"/>
      <c r="W327" s="2224"/>
      <c r="X327" s="508" t="s">
        <v>779</v>
      </c>
      <c r="Y327" s="2224">
        <v>1824</v>
      </c>
      <c r="Z327" s="2224"/>
      <c r="AA327" s="2224"/>
      <c r="AB327" s="508" t="s">
        <v>802</v>
      </c>
      <c r="AC327" s="2224"/>
      <c r="AD327" s="2224"/>
      <c r="AE327" s="2224"/>
      <c r="AF327" s="508" t="s">
        <v>802</v>
      </c>
      <c r="AG327" s="2224"/>
      <c r="AH327" s="2224"/>
      <c r="AI327" s="2226"/>
      <c r="AJ327" s="2212">
        <f t="shared" si="80"/>
        <v>15770</v>
      </c>
      <c r="AK327" s="2213"/>
      <c r="AL327" s="2214"/>
      <c r="AM327" s="2215">
        <v>1</v>
      </c>
      <c r="AN327" s="2216"/>
      <c r="AO327" s="2217"/>
      <c r="AP327" s="2209">
        <f t="shared" si="81"/>
        <v>15770</v>
      </c>
      <c r="AQ327" s="2210"/>
      <c r="AR327" s="2211"/>
      <c r="AS327" s="2203">
        <f ca="1">SUMIF(基礎・屋根・外壁!B$206:AE$206,F327,基礎・屋根・外壁!B$211:AE$211)+SUMIF(基礎・屋根・外壁!B$242:AE$242,F327,基礎・屋根・外壁!B$247:AE$247)+SUMIF(見積拾!C$65:D$69,F327,見積拾!T$65:T$69)</f>
        <v>0</v>
      </c>
      <c r="AT327" s="2204"/>
      <c r="AU327" s="2204"/>
      <c r="AV327" s="2205"/>
      <c r="AW327" s="2206">
        <f t="shared" ca="1" si="82"/>
        <v>0</v>
      </c>
      <c r="AX327" s="2207"/>
      <c r="AY327" s="2207"/>
      <c r="AZ327" s="2208"/>
      <c r="BA327" s="2200"/>
      <c r="BB327" s="956" t="b">
        <f t="shared" ca="1" si="83"/>
        <v>0</v>
      </c>
    </row>
    <row r="328" spans="2:54" ht="13.5" customHeight="1">
      <c r="B328" s="2445"/>
      <c r="C328" s="2521"/>
      <c r="D328" s="2500"/>
      <c r="E328" s="958" t="s">
        <v>777</v>
      </c>
      <c r="F328" s="2210" t="s">
        <v>1333</v>
      </c>
      <c r="G328" s="2210"/>
      <c r="H328" s="2210"/>
      <c r="I328" s="2210"/>
      <c r="J328" s="2210"/>
      <c r="K328" s="2210"/>
      <c r="L328" s="2210"/>
      <c r="M328" s="2210"/>
      <c r="N328" s="2210"/>
      <c r="O328" s="2210"/>
      <c r="P328" s="2211"/>
      <c r="Q328" s="2257">
        <v>5200</v>
      </c>
      <c r="R328" s="2224"/>
      <c r="S328" s="2224"/>
      <c r="T328" s="508" t="s">
        <v>1292</v>
      </c>
      <c r="U328" s="2224">
        <v>2192</v>
      </c>
      <c r="V328" s="2224"/>
      <c r="W328" s="2224"/>
      <c r="X328" s="508" t="s">
        <v>779</v>
      </c>
      <c r="Y328" s="2224">
        <v>1824</v>
      </c>
      <c r="Z328" s="2224"/>
      <c r="AA328" s="2224"/>
      <c r="AB328" s="508" t="s">
        <v>802</v>
      </c>
      <c r="AC328" s="2224"/>
      <c r="AD328" s="2224"/>
      <c r="AE328" s="2224"/>
      <c r="AF328" s="508" t="s">
        <v>802</v>
      </c>
      <c r="AG328" s="2224"/>
      <c r="AH328" s="2224"/>
      <c r="AI328" s="2226"/>
      <c r="AJ328" s="2212">
        <f t="shared" si="80"/>
        <v>9210</v>
      </c>
      <c r="AK328" s="2213"/>
      <c r="AL328" s="2214"/>
      <c r="AM328" s="2215">
        <v>1</v>
      </c>
      <c r="AN328" s="2216"/>
      <c r="AO328" s="2217"/>
      <c r="AP328" s="2209">
        <f t="shared" si="81"/>
        <v>9210</v>
      </c>
      <c r="AQ328" s="2210"/>
      <c r="AR328" s="2211"/>
      <c r="AS328" s="2203">
        <f ca="1">SUMIF(基礎・屋根・外壁!B$206:AE$206,F328,基礎・屋根・外壁!B$211:AE$211)+SUMIF(基礎・屋根・外壁!B$242:AE$242,F328,基礎・屋根・外壁!B$247:AE$247)+SUMIF(見積拾!C$65:D$69,F328,見積拾!T$65:T$69)</f>
        <v>0</v>
      </c>
      <c r="AT328" s="2204"/>
      <c r="AU328" s="2204"/>
      <c r="AV328" s="2205"/>
      <c r="AW328" s="2206">
        <f t="shared" ca="1" si="82"/>
        <v>0</v>
      </c>
      <c r="AX328" s="2207"/>
      <c r="AY328" s="2207"/>
      <c r="AZ328" s="2208"/>
      <c r="BA328" s="2200"/>
      <c r="BB328" s="956" t="b">
        <f t="shared" ca="1" si="83"/>
        <v>0</v>
      </c>
    </row>
    <row r="329" spans="2:54" ht="13.5" customHeight="1">
      <c r="B329" s="2445"/>
      <c r="C329" s="2521"/>
      <c r="D329" s="2500"/>
      <c r="E329" s="958" t="s">
        <v>777</v>
      </c>
      <c r="F329" s="2210" t="s">
        <v>1334</v>
      </c>
      <c r="G329" s="2210"/>
      <c r="H329" s="2210"/>
      <c r="I329" s="2210"/>
      <c r="J329" s="2210"/>
      <c r="K329" s="2210"/>
      <c r="L329" s="2210"/>
      <c r="M329" s="2210"/>
      <c r="N329" s="2210"/>
      <c r="O329" s="2210"/>
      <c r="P329" s="2211"/>
      <c r="Q329" s="2257">
        <v>3460</v>
      </c>
      <c r="R329" s="2224"/>
      <c r="S329" s="2224"/>
      <c r="T329" s="508" t="s">
        <v>1292</v>
      </c>
      <c r="U329" s="2225" t="s">
        <v>1031</v>
      </c>
      <c r="V329" s="2225"/>
      <c r="W329" s="2225"/>
      <c r="X329" s="508" t="s">
        <v>779</v>
      </c>
      <c r="Y329" s="2224">
        <v>1824</v>
      </c>
      <c r="Z329" s="2224"/>
      <c r="AA329" s="2224"/>
      <c r="AB329" s="508" t="s">
        <v>802</v>
      </c>
      <c r="AC329" s="2224"/>
      <c r="AD329" s="2224"/>
      <c r="AE329" s="2224"/>
      <c r="AF329" s="508" t="s">
        <v>802</v>
      </c>
      <c r="AG329" s="2224"/>
      <c r="AH329" s="2224"/>
      <c r="AI329" s="2226"/>
      <c r="AJ329" s="2212">
        <f t="shared" si="80"/>
        <v>5280</v>
      </c>
      <c r="AK329" s="2213"/>
      <c r="AL329" s="2214"/>
      <c r="AM329" s="2215">
        <v>1</v>
      </c>
      <c r="AN329" s="2216"/>
      <c r="AO329" s="2217"/>
      <c r="AP329" s="2209">
        <f t="shared" si="81"/>
        <v>5280</v>
      </c>
      <c r="AQ329" s="2210"/>
      <c r="AR329" s="2211"/>
      <c r="AS329" s="2203">
        <f ca="1">SUMIF(基礎・屋根・外壁!B$206:AE$206,F329,基礎・屋根・外壁!B$211:AE$211)+SUMIF(基礎・屋根・外壁!B$242:AE$242,F329,基礎・屋根・外壁!B$247:AE$247)+SUMIF(見積拾!C$65:D$69,F329,見積拾!T$65:T$69)</f>
        <v>0</v>
      </c>
      <c r="AT329" s="2204"/>
      <c r="AU329" s="2204"/>
      <c r="AV329" s="2205"/>
      <c r="AW329" s="2206">
        <f t="shared" ca="1" si="82"/>
        <v>0</v>
      </c>
      <c r="AX329" s="2207"/>
      <c r="AY329" s="2207"/>
      <c r="AZ329" s="2208"/>
      <c r="BA329" s="2200"/>
      <c r="BB329" s="956" t="b">
        <f t="shared" ca="1" si="83"/>
        <v>0</v>
      </c>
    </row>
    <row r="330" spans="2:54" ht="13.5" customHeight="1">
      <c r="B330" s="2445"/>
      <c r="C330" s="2521"/>
      <c r="D330" s="2500"/>
      <c r="E330" s="958" t="s">
        <v>777</v>
      </c>
      <c r="F330" s="2210" t="s">
        <v>1335</v>
      </c>
      <c r="G330" s="2210"/>
      <c r="H330" s="2210"/>
      <c r="I330" s="2210"/>
      <c r="J330" s="2210"/>
      <c r="K330" s="2210"/>
      <c r="L330" s="2210"/>
      <c r="M330" s="2210"/>
      <c r="N330" s="2210"/>
      <c r="O330" s="2210"/>
      <c r="P330" s="2211"/>
      <c r="Q330" s="2257">
        <v>4270</v>
      </c>
      <c r="R330" s="2224"/>
      <c r="S330" s="2224"/>
      <c r="T330" s="508" t="s">
        <v>1292</v>
      </c>
      <c r="U330" s="2225" t="s">
        <v>1031</v>
      </c>
      <c r="V330" s="2225"/>
      <c r="W330" s="2225"/>
      <c r="X330" s="508" t="s">
        <v>779</v>
      </c>
      <c r="Y330" s="2224">
        <v>1824</v>
      </c>
      <c r="Z330" s="2224"/>
      <c r="AA330" s="2224"/>
      <c r="AB330" s="508" t="s">
        <v>802</v>
      </c>
      <c r="AC330" s="2224"/>
      <c r="AD330" s="2224"/>
      <c r="AE330" s="2224"/>
      <c r="AF330" s="508" t="s">
        <v>802</v>
      </c>
      <c r="AG330" s="2224"/>
      <c r="AH330" s="2224"/>
      <c r="AI330" s="2226"/>
      <c r="AJ330" s="2212">
        <f t="shared" si="80"/>
        <v>6090</v>
      </c>
      <c r="AK330" s="2213"/>
      <c r="AL330" s="2214"/>
      <c r="AM330" s="2215">
        <v>1</v>
      </c>
      <c r="AN330" s="2216"/>
      <c r="AO330" s="2217"/>
      <c r="AP330" s="2209">
        <f t="shared" si="81"/>
        <v>6090</v>
      </c>
      <c r="AQ330" s="2210"/>
      <c r="AR330" s="2211"/>
      <c r="AS330" s="2203">
        <f ca="1">SUMIF(基礎・屋根・外壁!B$206:AE$206,F330,基礎・屋根・外壁!B$211:AE$211)+SUMIF(基礎・屋根・外壁!B$242:AE$242,F330,基礎・屋根・外壁!B$247:AE$247)+SUMIF(見積拾!C$65:D$69,F330,見積拾!T$65:T$69)</f>
        <v>0</v>
      </c>
      <c r="AT330" s="2204"/>
      <c r="AU330" s="2204"/>
      <c r="AV330" s="2205"/>
      <c r="AW330" s="2206">
        <f t="shared" ca="1" si="82"/>
        <v>0</v>
      </c>
      <c r="AX330" s="2207"/>
      <c r="AY330" s="2207"/>
      <c r="AZ330" s="2208"/>
      <c r="BA330" s="2200"/>
      <c r="BB330" s="956" t="b">
        <f t="shared" ca="1" si="83"/>
        <v>0</v>
      </c>
    </row>
    <row r="331" spans="2:54" ht="13.5" customHeight="1">
      <c r="B331" s="2445"/>
      <c r="C331" s="2521"/>
      <c r="D331" s="2500"/>
      <c r="E331" s="958" t="s">
        <v>777</v>
      </c>
      <c r="F331" s="2210" t="s">
        <v>1336</v>
      </c>
      <c r="G331" s="2210"/>
      <c r="H331" s="2210"/>
      <c r="I331" s="2210"/>
      <c r="J331" s="2210"/>
      <c r="K331" s="2210"/>
      <c r="L331" s="2210"/>
      <c r="M331" s="2210"/>
      <c r="N331" s="2210"/>
      <c r="O331" s="2210"/>
      <c r="P331" s="2211"/>
      <c r="Q331" s="2257">
        <v>2740</v>
      </c>
      <c r="R331" s="2224"/>
      <c r="S331" s="2224"/>
      <c r="T331" s="508" t="s">
        <v>1292</v>
      </c>
      <c r="U331" s="2225" t="s">
        <v>1031</v>
      </c>
      <c r="V331" s="2225"/>
      <c r="W331" s="2225"/>
      <c r="X331" s="508" t="s">
        <v>779</v>
      </c>
      <c r="Y331" s="2224">
        <v>1104</v>
      </c>
      <c r="Z331" s="2224"/>
      <c r="AA331" s="2224"/>
      <c r="AB331" s="508" t="s">
        <v>802</v>
      </c>
      <c r="AC331" s="2224"/>
      <c r="AD331" s="2224"/>
      <c r="AE331" s="2224"/>
      <c r="AF331" s="508" t="s">
        <v>802</v>
      </c>
      <c r="AG331" s="2224"/>
      <c r="AH331" s="2224"/>
      <c r="AI331" s="2226"/>
      <c r="AJ331" s="2212">
        <f t="shared" si="80"/>
        <v>3840</v>
      </c>
      <c r="AK331" s="2213"/>
      <c r="AL331" s="2214"/>
      <c r="AM331" s="2215">
        <v>1</v>
      </c>
      <c r="AN331" s="2216"/>
      <c r="AO331" s="2217"/>
      <c r="AP331" s="2209">
        <f t="shared" si="81"/>
        <v>3840</v>
      </c>
      <c r="AQ331" s="2210"/>
      <c r="AR331" s="2211"/>
      <c r="AS331" s="2203">
        <f ca="1">SUMIF(基礎・屋根・外壁!B$206:AE$206,F331,基礎・屋根・外壁!B$211:AE$211)+SUMIF(基礎・屋根・外壁!B$242:AE$242,F331,基礎・屋根・外壁!B$247:AE$247)+SUMIF(見積拾!C$65:D$69,F331,見積拾!T$65:T$69)</f>
        <v>0</v>
      </c>
      <c r="AT331" s="2204"/>
      <c r="AU331" s="2204"/>
      <c r="AV331" s="2205"/>
      <c r="AW331" s="2206">
        <f t="shared" ca="1" si="82"/>
        <v>0</v>
      </c>
      <c r="AX331" s="2207"/>
      <c r="AY331" s="2207"/>
      <c r="AZ331" s="2208"/>
      <c r="BA331" s="2200"/>
      <c r="BB331" s="956" t="b">
        <f t="shared" ca="1" si="83"/>
        <v>0</v>
      </c>
    </row>
    <row r="332" spans="2:54" ht="13.5" customHeight="1">
      <c r="B332" s="2445"/>
      <c r="C332" s="2521"/>
      <c r="D332" s="2500"/>
      <c r="E332" s="958" t="s">
        <v>777</v>
      </c>
      <c r="F332" s="2210" t="s">
        <v>1337</v>
      </c>
      <c r="G332" s="2210"/>
      <c r="H332" s="2210"/>
      <c r="I332" s="2210"/>
      <c r="J332" s="2210"/>
      <c r="K332" s="2210"/>
      <c r="L332" s="2210"/>
      <c r="M332" s="2210"/>
      <c r="N332" s="2210"/>
      <c r="O332" s="2210"/>
      <c r="P332" s="2211"/>
      <c r="Q332" s="2257">
        <v>2415</v>
      </c>
      <c r="R332" s="2224"/>
      <c r="S332" s="2224"/>
      <c r="T332" s="508" t="s">
        <v>1292</v>
      </c>
      <c r="U332" s="2224">
        <v>1400</v>
      </c>
      <c r="V332" s="2224"/>
      <c r="W332" s="2224"/>
      <c r="X332" s="508" t="s">
        <v>779</v>
      </c>
      <c r="Y332" s="2224">
        <v>1824</v>
      </c>
      <c r="Z332" s="2224"/>
      <c r="AA332" s="2224"/>
      <c r="AB332" s="508" t="s">
        <v>802</v>
      </c>
      <c r="AC332" s="2224"/>
      <c r="AD332" s="2224"/>
      <c r="AE332" s="2224"/>
      <c r="AF332" s="508" t="s">
        <v>802</v>
      </c>
      <c r="AG332" s="2224"/>
      <c r="AH332" s="2224"/>
      <c r="AI332" s="2226"/>
      <c r="AJ332" s="2212">
        <f t="shared" si="80"/>
        <v>5630</v>
      </c>
      <c r="AK332" s="2213"/>
      <c r="AL332" s="2214"/>
      <c r="AM332" s="2215">
        <v>1</v>
      </c>
      <c r="AN332" s="2216"/>
      <c r="AO332" s="2217"/>
      <c r="AP332" s="2209">
        <f t="shared" si="81"/>
        <v>5630</v>
      </c>
      <c r="AQ332" s="2210"/>
      <c r="AR332" s="2211"/>
      <c r="AS332" s="2203">
        <f ca="1">SUMIF(基礎・屋根・外壁!B$206:AE$206,F332,基礎・屋根・外壁!B$211:AE$211)+SUMIF(基礎・屋根・外壁!B$242:AE$242,F332,基礎・屋根・外壁!B$247:AE$247)+SUMIF(見積拾!C$65:D$69,F332,見積拾!T$65:T$69)</f>
        <v>0</v>
      </c>
      <c r="AT332" s="2204"/>
      <c r="AU332" s="2204"/>
      <c r="AV332" s="2205"/>
      <c r="AW332" s="2206">
        <f t="shared" ca="1" si="82"/>
        <v>0</v>
      </c>
      <c r="AX332" s="2207"/>
      <c r="AY332" s="2207"/>
      <c r="AZ332" s="2208"/>
      <c r="BA332" s="2200"/>
      <c r="BB332" s="956" t="b">
        <f t="shared" ca="1" si="83"/>
        <v>0</v>
      </c>
    </row>
    <row r="333" spans="2:54" ht="13.5" customHeight="1">
      <c r="B333" s="2445"/>
      <c r="C333" s="2521"/>
      <c r="D333" s="2500"/>
      <c r="E333" s="958" t="s">
        <v>777</v>
      </c>
      <c r="F333" s="2210" t="s">
        <v>1338</v>
      </c>
      <c r="G333" s="2210"/>
      <c r="H333" s="2210"/>
      <c r="I333" s="2210"/>
      <c r="J333" s="2210"/>
      <c r="K333" s="2210"/>
      <c r="L333" s="2210"/>
      <c r="M333" s="2210"/>
      <c r="N333" s="2210"/>
      <c r="O333" s="2210"/>
      <c r="P333" s="2211"/>
      <c r="Q333" s="2257">
        <v>511</v>
      </c>
      <c r="R333" s="2224"/>
      <c r="S333" s="2224"/>
      <c r="T333" s="508" t="s">
        <v>1292</v>
      </c>
      <c r="U333" s="2224">
        <v>873</v>
      </c>
      <c r="V333" s="2224"/>
      <c r="W333" s="2224"/>
      <c r="X333" s="508" t="s">
        <v>779</v>
      </c>
      <c r="Y333" s="2224">
        <v>1104</v>
      </c>
      <c r="Z333" s="2224"/>
      <c r="AA333" s="2224"/>
      <c r="AB333" s="508" t="s">
        <v>802</v>
      </c>
      <c r="AC333" s="2224"/>
      <c r="AD333" s="2224"/>
      <c r="AE333" s="2224"/>
      <c r="AF333" s="508" t="s">
        <v>802</v>
      </c>
      <c r="AG333" s="2224"/>
      <c r="AH333" s="2224"/>
      <c r="AI333" s="2226"/>
      <c r="AJ333" s="2212">
        <f t="shared" si="80"/>
        <v>2480</v>
      </c>
      <c r="AK333" s="2213"/>
      <c r="AL333" s="2214"/>
      <c r="AM333" s="2215">
        <v>1</v>
      </c>
      <c r="AN333" s="2216"/>
      <c r="AO333" s="2217"/>
      <c r="AP333" s="2209">
        <f t="shared" si="81"/>
        <v>2480</v>
      </c>
      <c r="AQ333" s="2210"/>
      <c r="AR333" s="2211"/>
      <c r="AS333" s="2203">
        <f ca="1">SUMIF(基礎・屋根・外壁!B$206:AE$206,F333,基礎・屋根・外壁!B$211:AE$211)+SUMIF(基礎・屋根・外壁!B$242:AE$242,F333,基礎・屋根・外壁!B$247:AE$247)+SUMIF(見積拾!C$65:D$69,F333,見積拾!T$65:T$69)</f>
        <v>0</v>
      </c>
      <c r="AT333" s="2204"/>
      <c r="AU333" s="2204"/>
      <c r="AV333" s="2205"/>
      <c r="AW333" s="2206">
        <f t="shared" ca="1" si="82"/>
        <v>0</v>
      </c>
      <c r="AX333" s="2207"/>
      <c r="AY333" s="2207"/>
      <c r="AZ333" s="2208"/>
      <c r="BA333" s="2200"/>
      <c r="BB333" s="956" t="b">
        <f t="shared" ca="1" si="83"/>
        <v>0</v>
      </c>
    </row>
    <row r="334" spans="2:54" ht="13.5" customHeight="1">
      <c r="B334" s="2445"/>
      <c r="C334" s="2521"/>
      <c r="D334" s="2500"/>
      <c r="E334" s="958" t="s">
        <v>777</v>
      </c>
      <c r="F334" s="2210" t="s">
        <v>1339</v>
      </c>
      <c r="G334" s="2210"/>
      <c r="H334" s="2210"/>
      <c r="I334" s="2210"/>
      <c r="J334" s="2210"/>
      <c r="K334" s="2210"/>
      <c r="L334" s="2210"/>
      <c r="M334" s="2210"/>
      <c r="N334" s="2210"/>
      <c r="O334" s="2210"/>
      <c r="P334" s="2211"/>
      <c r="Q334" s="2257">
        <v>2085</v>
      </c>
      <c r="R334" s="2224"/>
      <c r="S334" s="2224"/>
      <c r="T334" s="508" t="s">
        <v>1292</v>
      </c>
      <c r="U334" s="2224">
        <v>873</v>
      </c>
      <c r="V334" s="2224"/>
      <c r="W334" s="2224"/>
      <c r="X334" s="508" t="s">
        <v>779</v>
      </c>
      <c r="Y334" s="2224">
        <v>1104</v>
      </c>
      <c r="Z334" s="2224"/>
      <c r="AA334" s="2224"/>
      <c r="AB334" s="508" t="s">
        <v>802</v>
      </c>
      <c r="AC334" s="2224"/>
      <c r="AD334" s="2224"/>
      <c r="AE334" s="2224"/>
      <c r="AF334" s="508" t="s">
        <v>802</v>
      </c>
      <c r="AG334" s="2224"/>
      <c r="AH334" s="2224"/>
      <c r="AI334" s="2226"/>
      <c r="AJ334" s="2212">
        <f t="shared" si="80"/>
        <v>4060</v>
      </c>
      <c r="AK334" s="2213"/>
      <c r="AL334" s="2214"/>
      <c r="AM334" s="2215">
        <v>1</v>
      </c>
      <c r="AN334" s="2216"/>
      <c r="AO334" s="2217"/>
      <c r="AP334" s="2209">
        <f t="shared" si="81"/>
        <v>4060</v>
      </c>
      <c r="AQ334" s="2210"/>
      <c r="AR334" s="2211"/>
      <c r="AS334" s="2203">
        <f ca="1">SUMIF(基礎・屋根・外壁!B$206:AE$206,F334,基礎・屋根・外壁!B$211:AE$211)+SUMIF(基礎・屋根・外壁!B$242:AE$242,F334,基礎・屋根・外壁!B$247:AE$247)+SUMIF(見積拾!C$65:D$69,F334,見積拾!T$65:T$69)</f>
        <v>0</v>
      </c>
      <c r="AT334" s="2204"/>
      <c r="AU334" s="2204"/>
      <c r="AV334" s="2205"/>
      <c r="AW334" s="2206">
        <f t="shared" ca="1" si="82"/>
        <v>0</v>
      </c>
      <c r="AX334" s="2207"/>
      <c r="AY334" s="2207"/>
      <c r="AZ334" s="2208"/>
      <c r="BA334" s="2200"/>
      <c r="BB334" s="956" t="b">
        <f t="shared" ca="1" si="83"/>
        <v>0</v>
      </c>
    </row>
    <row r="335" spans="2:54" ht="13.5" customHeight="1">
      <c r="B335" s="2445"/>
      <c r="C335" s="2521"/>
      <c r="D335" s="2500"/>
      <c r="E335" s="958" t="s">
        <v>777</v>
      </c>
      <c r="F335" s="2210" t="s">
        <v>1340</v>
      </c>
      <c r="G335" s="2210"/>
      <c r="H335" s="2210"/>
      <c r="I335" s="2210"/>
      <c r="J335" s="2210"/>
      <c r="K335" s="2210"/>
      <c r="L335" s="2210"/>
      <c r="M335" s="2210"/>
      <c r="N335" s="2210"/>
      <c r="O335" s="2210"/>
      <c r="P335" s="2211"/>
      <c r="Q335" s="2257">
        <v>6702</v>
      </c>
      <c r="R335" s="2224"/>
      <c r="S335" s="2224"/>
      <c r="T335" s="508" t="s">
        <v>1292</v>
      </c>
      <c r="U335" s="2224">
        <v>873</v>
      </c>
      <c r="V335" s="2224"/>
      <c r="W335" s="2224"/>
      <c r="X335" s="508" t="s">
        <v>779</v>
      </c>
      <c r="Y335" s="2224">
        <v>1104</v>
      </c>
      <c r="Z335" s="2224"/>
      <c r="AA335" s="2224"/>
      <c r="AB335" s="508" t="s">
        <v>802</v>
      </c>
      <c r="AC335" s="2224"/>
      <c r="AD335" s="2224"/>
      <c r="AE335" s="2224"/>
      <c r="AF335" s="508" t="s">
        <v>802</v>
      </c>
      <c r="AG335" s="2224"/>
      <c r="AH335" s="2224"/>
      <c r="AI335" s="2226"/>
      <c r="AJ335" s="2212">
        <f t="shared" si="80"/>
        <v>8670</v>
      </c>
      <c r="AK335" s="2213"/>
      <c r="AL335" s="2214"/>
      <c r="AM335" s="2215">
        <v>1</v>
      </c>
      <c r="AN335" s="2216"/>
      <c r="AO335" s="2217"/>
      <c r="AP335" s="2209">
        <f t="shared" si="81"/>
        <v>8670</v>
      </c>
      <c r="AQ335" s="2210"/>
      <c r="AR335" s="2211"/>
      <c r="AS335" s="2203">
        <f ca="1">SUMIF(基礎・屋根・外壁!B$206:AE$206,F335,基礎・屋根・外壁!B$211:AE$211)+SUMIF(基礎・屋根・外壁!B$242:AE$242,F335,基礎・屋根・外壁!B$247:AE$247)+SUMIF(見積拾!C$65:D$69,F335,見積拾!T$65:T$69)</f>
        <v>0</v>
      </c>
      <c r="AT335" s="2204"/>
      <c r="AU335" s="2204"/>
      <c r="AV335" s="2205"/>
      <c r="AW335" s="2206">
        <f t="shared" ca="1" si="82"/>
        <v>0</v>
      </c>
      <c r="AX335" s="2207"/>
      <c r="AY335" s="2207"/>
      <c r="AZ335" s="2208"/>
      <c r="BA335" s="2200"/>
      <c r="BB335" s="956" t="b">
        <f t="shared" ca="1" si="83"/>
        <v>0</v>
      </c>
    </row>
    <row r="336" spans="2:54" ht="13.5" customHeight="1">
      <c r="B336" s="2445"/>
      <c r="C336" s="2521"/>
      <c r="D336" s="2500"/>
      <c r="E336" s="958" t="s">
        <v>777</v>
      </c>
      <c r="F336" s="2210" t="s">
        <v>1341</v>
      </c>
      <c r="G336" s="2210"/>
      <c r="H336" s="2210"/>
      <c r="I336" s="2210"/>
      <c r="J336" s="2210"/>
      <c r="K336" s="2210"/>
      <c r="L336" s="2210"/>
      <c r="M336" s="2210"/>
      <c r="N336" s="2210"/>
      <c r="O336" s="2210"/>
      <c r="P336" s="2211"/>
      <c r="Q336" s="2257">
        <v>2437</v>
      </c>
      <c r="R336" s="2224"/>
      <c r="S336" s="2224"/>
      <c r="T336" s="508" t="s">
        <v>1292</v>
      </c>
      <c r="U336" s="2224">
        <v>3190</v>
      </c>
      <c r="V336" s="2224"/>
      <c r="W336" s="2224"/>
      <c r="X336" s="508" t="s">
        <v>779</v>
      </c>
      <c r="Y336" s="2224">
        <v>1104</v>
      </c>
      <c r="Z336" s="2224"/>
      <c r="AA336" s="2224"/>
      <c r="AB336" s="508" t="s">
        <v>810</v>
      </c>
      <c r="AC336" s="2224"/>
      <c r="AD336" s="2224"/>
      <c r="AE336" s="2224"/>
      <c r="AF336" s="508" t="s">
        <v>810</v>
      </c>
      <c r="AG336" s="2224"/>
      <c r="AH336" s="2224"/>
      <c r="AI336" s="2226"/>
      <c r="AJ336" s="2212">
        <f t="shared" si="80"/>
        <v>6730</v>
      </c>
      <c r="AK336" s="2213"/>
      <c r="AL336" s="2214"/>
      <c r="AM336" s="2215">
        <v>1</v>
      </c>
      <c r="AN336" s="2216"/>
      <c r="AO336" s="2217"/>
      <c r="AP336" s="2209">
        <f t="shared" si="81"/>
        <v>6730</v>
      </c>
      <c r="AQ336" s="2210"/>
      <c r="AR336" s="2211"/>
      <c r="AS336" s="2203">
        <f ca="1">SUMIF(基礎・屋根・外壁!B$206:AE$206,F336,基礎・屋根・外壁!B$211:AE$211)+SUMIF(基礎・屋根・外壁!B$242:AE$242,F336,基礎・屋根・外壁!B$247:AE$247)+SUMIF(見積拾!C$65:D$69,F336,見積拾!T$65:T$69)</f>
        <v>0</v>
      </c>
      <c r="AT336" s="2204"/>
      <c r="AU336" s="2204"/>
      <c r="AV336" s="2205"/>
      <c r="AW336" s="2206">
        <f t="shared" ca="1" si="82"/>
        <v>0</v>
      </c>
      <c r="AX336" s="2207"/>
      <c r="AY336" s="2207"/>
      <c r="AZ336" s="2208"/>
      <c r="BA336" s="2200"/>
      <c r="BB336" s="956" t="b">
        <f t="shared" ca="1" si="83"/>
        <v>0</v>
      </c>
    </row>
    <row r="337" spans="2:54" ht="13.5" customHeight="1">
      <c r="B337" s="2445"/>
      <c r="C337" s="2521"/>
      <c r="D337" s="2500"/>
      <c r="E337" s="958" t="s">
        <v>777</v>
      </c>
      <c r="F337" s="2210" t="s">
        <v>5700</v>
      </c>
      <c r="G337" s="2210"/>
      <c r="H337" s="2210"/>
      <c r="I337" s="2210"/>
      <c r="J337" s="2210"/>
      <c r="K337" s="2210"/>
      <c r="L337" s="2210"/>
      <c r="M337" s="2210"/>
      <c r="N337" s="2210"/>
      <c r="O337" s="2210"/>
      <c r="P337" s="2211"/>
      <c r="Q337" s="2257">
        <v>37600</v>
      </c>
      <c r="R337" s="2224"/>
      <c r="S337" s="2224"/>
      <c r="T337" s="508" t="s">
        <v>1292</v>
      </c>
      <c r="U337" s="2225" t="s">
        <v>1031</v>
      </c>
      <c r="V337" s="2225"/>
      <c r="W337" s="2225"/>
      <c r="X337" s="508" t="s">
        <v>779</v>
      </c>
      <c r="Y337" s="2225" t="s">
        <v>1032</v>
      </c>
      <c r="Z337" s="2225"/>
      <c r="AA337" s="2225"/>
      <c r="AB337" s="508" t="s">
        <v>810</v>
      </c>
      <c r="AC337" s="2224"/>
      <c r="AD337" s="2224"/>
      <c r="AE337" s="2224"/>
      <c r="AF337" s="508" t="s">
        <v>810</v>
      </c>
      <c r="AG337" s="2224"/>
      <c r="AH337" s="2224"/>
      <c r="AI337" s="2226"/>
      <c r="AJ337" s="2212">
        <f t="shared" si="80"/>
        <v>37600</v>
      </c>
      <c r="AK337" s="2213"/>
      <c r="AL337" s="2214"/>
      <c r="AM337" s="2215">
        <v>1</v>
      </c>
      <c r="AN337" s="2216"/>
      <c r="AO337" s="2217"/>
      <c r="AP337" s="2209">
        <f t="shared" si="81"/>
        <v>37600</v>
      </c>
      <c r="AQ337" s="2210"/>
      <c r="AR337" s="2211"/>
      <c r="AS337" s="2203">
        <f ca="1">SUMIF(基礎・屋根・外壁!B$206:AE$206,F337,基礎・屋根・外壁!B$211:AE$211)+SUMIF(基礎・屋根・外壁!B$242:AE$242,F337,基礎・屋根・外壁!B$247:AE$247)+SUMIF(見積拾!C$65:D$69,F337,見積拾!T$65:T$69)</f>
        <v>0</v>
      </c>
      <c r="AT337" s="2204"/>
      <c r="AU337" s="2204"/>
      <c r="AV337" s="2205"/>
      <c r="AW337" s="2206">
        <f t="shared" ca="1" si="82"/>
        <v>0</v>
      </c>
      <c r="AX337" s="2207"/>
      <c r="AY337" s="2207"/>
      <c r="AZ337" s="2208"/>
      <c r="BA337" s="2200"/>
      <c r="BB337" s="956" t="b">
        <f t="shared" ca="1" si="83"/>
        <v>0</v>
      </c>
    </row>
    <row r="338" spans="2:54" ht="13.5" customHeight="1">
      <c r="B338" s="2445"/>
      <c r="C338" s="2521"/>
      <c r="D338" s="2500"/>
      <c r="E338" s="958" t="s">
        <v>777</v>
      </c>
      <c r="F338" s="2210" t="s">
        <v>5701</v>
      </c>
      <c r="G338" s="2210"/>
      <c r="H338" s="2210"/>
      <c r="I338" s="2210"/>
      <c r="J338" s="2210"/>
      <c r="K338" s="2210"/>
      <c r="L338" s="2210"/>
      <c r="M338" s="2210"/>
      <c r="N338" s="2210"/>
      <c r="O338" s="2210"/>
      <c r="P338" s="2211"/>
      <c r="Q338" s="2257">
        <v>21891</v>
      </c>
      <c r="R338" s="2224"/>
      <c r="S338" s="2224"/>
      <c r="T338" s="508" t="s">
        <v>1292</v>
      </c>
      <c r="U338" s="2225" t="s">
        <v>1031</v>
      </c>
      <c r="V338" s="2225"/>
      <c r="W338" s="2225"/>
      <c r="X338" s="508" t="s">
        <v>779</v>
      </c>
      <c r="Y338" s="2225" t="s">
        <v>1032</v>
      </c>
      <c r="Z338" s="2225"/>
      <c r="AA338" s="2225"/>
      <c r="AB338" s="508" t="s">
        <v>811</v>
      </c>
      <c r="AC338" s="2224"/>
      <c r="AD338" s="2224"/>
      <c r="AE338" s="2224"/>
      <c r="AF338" s="508" t="s">
        <v>811</v>
      </c>
      <c r="AG338" s="2224"/>
      <c r="AH338" s="2224"/>
      <c r="AI338" s="2226"/>
      <c r="AJ338" s="2212">
        <f t="shared" ref="AJ338:AJ344" si="84">ROUNDDOWN(SUM(Q338:AI338),-1)</f>
        <v>21890</v>
      </c>
      <c r="AK338" s="2213"/>
      <c r="AL338" s="2214"/>
      <c r="AM338" s="2215">
        <v>1</v>
      </c>
      <c r="AN338" s="2216"/>
      <c r="AO338" s="2217"/>
      <c r="AP338" s="2209">
        <f t="shared" ref="AP338:AP344" si="85">INT(AJ338*AM338)</f>
        <v>21890</v>
      </c>
      <c r="AQ338" s="2210"/>
      <c r="AR338" s="2211"/>
      <c r="AS338" s="2203">
        <f ca="1">SUMIF(基礎・屋根・外壁!B$206:AE$206,F338,基礎・屋根・外壁!B$211:AE$211)+SUMIF(基礎・屋根・外壁!B$242:AE$242,F338,基礎・屋根・外壁!B$247:AE$247)+SUMIF(見積拾!C$65:D$69,F338,見積拾!T$65:T$69)</f>
        <v>0</v>
      </c>
      <c r="AT338" s="2204"/>
      <c r="AU338" s="2204"/>
      <c r="AV338" s="2205"/>
      <c r="AW338" s="2206">
        <f t="shared" ref="AW338:AW344" ca="1" si="86">INT(AP338*AS338)</f>
        <v>0</v>
      </c>
      <c r="AX338" s="2207"/>
      <c r="AY338" s="2207"/>
      <c r="AZ338" s="2208"/>
      <c r="BA338" s="2200"/>
      <c r="BB338" s="956" t="b">
        <f t="shared" ca="1" si="83"/>
        <v>0</v>
      </c>
    </row>
    <row r="339" spans="2:54" ht="13.5" customHeight="1">
      <c r="B339" s="2445"/>
      <c r="C339" s="2521"/>
      <c r="D339" s="2500"/>
      <c r="E339" s="958" t="s">
        <v>777</v>
      </c>
      <c r="F339" s="2210" t="s">
        <v>1342</v>
      </c>
      <c r="G339" s="2210"/>
      <c r="H339" s="2210"/>
      <c r="I339" s="2210"/>
      <c r="J339" s="2210"/>
      <c r="K339" s="2210"/>
      <c r="L339" s="2210"/>
      <c r="M339" s="2210"/>
      <c r="N339" s="2210"/>
      <c r="O339" s="2210"/>
      <c r="P339" s="2211"/>
      <c r="Q339" s="2257">
        <v>57894</v>
      </c>
      <c r="R339" s="2224"/>
      <c r="S339" s="2224"/>
      <c r="T339" s="508" t="s">
        <v>1292</v>
      </c>
      <c r="U339" s="2225" t="s">
        <v>1031</v>
      </c>
      <c r="V339" s="2225"/>
      <c r="W339" s="2225"/>
      <c r="X339" s="508" t="s">
        <v>779</v>
      </c>
      <c r="Y339" s="2225" t="s">
        <v>1032</v>
      </c>
      <c r="Z339" s="2225"/>
      <c r="AA339" s="2225"/>
      <c r="AB339" s="508" t="s">
        <v>811</v>
      </c>
      <c r="AC339" s="2224"/>
      <c r="AD339" s="2224"/>
      <c r="AE339" s="2224"/>
      <c r="AF339" s="508" t="s">
        <v>811</v>
      </c>
      <c r="AG339" s="2224"/>
      <c r="AH339" s="2224"/>
      <c r="AI339" s="2226"/>
      <c r="AJ339" s="2212">
        <f t="shared" si="84"/>
        <v>57890</v>
      </c>
      <c r="AK339" s="2213"/>
      <c r="AL339" s="2214"/>
      <c r="AM339" s="2215">
        <v>1</v>
      </c>
      <c r="AN339" s="2216"/>
      <c r="AO339" s="2217"/>
      <c r="AP339" s="2209">
        <f t="shared" si="85"/>
        <v>57890</v>
      </c>
      <c r="AQ339" s="2210"/>
      <c r="AR339" s="2211"/>
      <c r="AS339" s="2203">
        <f ca="1">SUMIF(基礎・屋根・外壁!B$206:AE$206,F339,基礎・屋根・外壁!B$211:AE$211)+SUMIF(基礎・屋根・外壁!B$242:AE$242,F339,基礎・屋根・外壁!B$247:AE$247)+SUMIF(見積拾!C$65:D$69,F339,見積拾!T$65:T$69)</f>
        <v>0</v>
      </c>
      <c r="AT339" s="2204"/>
      <c r="AU339" s="2204"/>
      <c r="AV339" s="2205"/>
      <c r="AW339" s="2206">
        <f t="shared" ca="1" si="86"/>
        <v>0</v>
      </c>
      <c r="AX339" s="2207"/>
      <c r="AY339" s="2207"/>
      <c r="AZ339" s="2208"/>
      <c r="BA339" s="2200"/>
      <c r="BB339" s="956" t="b">
        <f t="shared" ref="BB339:BB344" ca="1" si="87">AW339&lt;&gt;0</f>
        <v>0</v>
      </c>
    </row>
    <row r="340" spans="2:54" ht="13.5" customHeight="1">
      <c r="B340" s="2445"/>
      <c r="C340" s="2521"/>
      <c r="D340" s="2500"/>
      <c r="E340" s="958" t="s">
        <v>777</v>
      </c>
      <c r="F340" s="2210" t="s">
        <v>1343</v>
      </c>
      <c r="G340" s="2210"/>
      <c r="H340" s="2210"/>
      <c r="I340" s="2210"/>
      <c r="J340" s="2210"/>
      <c r="K340" s="2210"/>
      <c r="L340" s="2210"/>
      <c r="M340" s="2210"/>
      <c r="N340" s="2210"/>
      <c r="O340" s="2210"/>
      <c r="P340" s="2211"/>
      <c r="Q340" s="2257">
        <v>35051</v>
      </c>
      <c r="R340" s="2224"/>
      <c r="S340" s="2224"/>
      <c r="T340" s="508" t="s">
        <v>1292</v>
      </c>
      <c r="U340" s="2225" t="s">
        <v>1031</v>
      </c>
      <c r="V340" s="2225"/>
      <c r="W340" s="2225"/>
      <c r="X340" s="508" t="s">
        <v>779</v>
      </c>
      <c r="Y340" s="2225" t="s">
        <v>1032</v>
      </c>
      <c r="Z340" s="2225"/>
      <c r="AA340" s="2225"/>
      <c r="AB340" s="508" t="s">
        <v>811</v>
      </c>
      <c r="AC340" s="2224"/>
      <c r="AD340" s="2224"/>
      <c r="AE340" s="2224"/>
      <c r="AF340" s="508" t="s">
        <v>811</v>
      </c>
      <c r="AG340" s="2224"/>
      <c r="AH340" s="2224"/>
      <c r="AI340" s="2226"/>
      <c r="AJ340" s="2212">
        <f t="shared" si="84"/>
        <v>35050</v>
      </c>
      <c r="AK340" s="2213"/>
      <c r="AL340" s="2214"/>
      <c r="AM340" s="2215">
        <v>1</v>
      </c>
      <c r="AN340" s="2216"/>
      <c r="AO340" s="2217"/>
      <c r="AP340" s="2209">
        <f t="shared" si="85"/>
        <v>35050</v>
      </c>
      <c r="AQ340" s="2210"/>
      <c r="AR340" s="2211"/>
      <c r="AS340" s="2203">
        <f ca="1">SUMIF(基礎・屋根・外壁!B$206:AE$206,F340,基礎・屋根・外壁!B$211:AE$211)+SUMIF(基礎・屋根・外壁!B$242:AE$242,F340,基礎・屋根・外壁!B$247:AE$247)+SUMIF(見積拾!C$65:D$69,F340,見積拾!T$65:T$69)</f>
        <v>0</v>
      </c>
      <c r="AT340" s="2204"/>
      <c r="AU340" s="2204"/>
      <c r="AV340" s="2205"/>
      <c r="AW340" s="2206">
        <f t="shared" ca="1" si="86"/>
        <v>0</v>
      </c>
      <c r="AX340" s="2207"/>
      <c r="AY340" s="2207"/>
      <c r="AZ340" s="2208"/>
      <c r="BA340" s="2200"/>
      <c r="BB340" s="956" t="b">
        <f t="shared" ca="1" si="87"/>
        <v>0</v>
      </c>
    </row>
    <row r="341" spans="2:54" ht="13.5" customHeight="1">
      <c r="B341" s="2445"/>
      <c r="C341" s="2521"/>
      <c r="D341" s="2500"/>
      <c r="E341" s="958" t="s">
        <v>777</v>
      </c>
      <c r="F341" s="2210" t="s">
        <v>1344</v>
      </c>
      <c r="G341" s="2210"/>
      <c r="H341" s="2210"/>
      <c r="I341" s="2210"/>
      <c r="J341" s="2210"/>
      <c r="K341" s="2210"/>
      <c r="L341" s="2210"/>
      <c r="M341" s="2210"/>
      <c r="N341" s="2210"/>
      <c r="O341" s="2210"/>
      <c r="P341" s="2211"/>
      <c r="Q341" s="2257">
        <v>15490</v>
      </c>
      <c r="R341" s="2224"/>
      <c r="S341" s="2224"/>
      <c r="T341" s="508" t="s">
        <v>1292</v>
      </c>
      <c r="U341" s="2225" t="s">
        <v>1031</v>
      </c>
      <c r="V341" s="2225"/>
      <c r="W341" s="2225"/>
      <c r="X341" s="508" t="s">
        <v>779</v>
      </c>
      <c r="Y341" s="2225" t="s">
        <v>1032</v>
      </c>
      <c r="Z341" s="2225"/>
      <c r="AA341" s="2225"/>
      <c r="AB341" s="508" t="s">
        <v>811</v>
      </c>
      <c r="AC341" s="2224"/>
      <c r="AD341" s="2224"/>
      <c r="AE341" s="2224"/>
      <c r="AF341" s="508" t="s">
        <v>811</v>
      </c>
      <c r="AG341" s="2224"/>
      <c r="AH341" s="2224"/>
      <c r="AI341" s="2226"/>
      <c r="AJ341" s="2212">
        <f t="shared" si="84"/>
        <v>15490</v>
      </c>
      <c r="AK341" s="2213"/>
      <c r="AL341" s="2214"/>
      <c r="AM341" s="2215">
        <v>1</v>
      </c>
      <c r="AN341" s="2216"/>
      <c r="AO341" s="2217"/>
      <c r="AP341" s="2209">
        <f t="shared" si="85"/>
        <v>15490</v>
      </c>
      <c r="AQ341" s="2210"/>
      <c r="AR341" s="2211"/>
      <c r="AS341" s="2203">
        <f ca="1">SUMIF(基礎・屋根・外壁!B$206:AE$206,F341,基礎・屋根・外壁!B$211:AE$211)+SUMIF(基礎・屋根・外壁!B$242:AE$242,F341,基礎・屋根・外壁!B$247:AE$247)+SUMIF(見積拾!C$65:D$69,F341,見積拾!T$65:T$69)</f>
        <v>0</v>
      </c>
      <c r="AT341" s="2204"/>
      <c r="AU341" s="2204"/>
      <c r="AV341" s="2205"/>
      <c r="AW341" s="2206">
        <f t="shared" ca="1" si="86"/>
        <v>0</v>
      </c>
      <c r="AX341" s="2207"/>
      <c r="AY341" s="2207"/>
      <c r="AZ341" s="2208"/>
      <c r="BA341" s="2200"/>
      <c r="BB341" s="956" t="b">
        <f t="shared" ca="1" si="87"/>
        <v>0</v>
      </c>
    </row>
    <row r="342" spans="2:54" ht="13.5" customHeight="1">
      <c r="B342" s="2445"/>
      <c r="C342" s="2521"/>
      <c r="D342" s="2500"/>
      <c r="E342" s="958" t="s">
        <v>777</v>
      </c>
      <c r="F342" s="2210" t="s">
        <v>1345</v>
      </c>
      <c r="G342" s="2210"/>
      <c r="H342" s="2210"/>
      <c r="I342" s="2210"/>
      <c r="J342" s="2210"/>
      <c r="K342" s="2210"/>
      <c r="L342" s="2210"/>
      <c r="M342" s="2210"/>
      <c r="N342" s="2210"/>
      <c r="O342" s="2210"/>
      <c r="P342" s="2211"/>
      <c r="Q342" s="2257">
        <v>57000</v>
      </c>
      <c r="R342" s="2224"/>
      <c r="S342" s="2224"/>
      <c r="T342" s="508" t="s">
        <v>1292</v>
      </c>
      <c r="U342" s="2225" t="s">
        <v>1031</v>
      </c>
      <c r="V342" s="2225"/>
      <c r="W342" s="2225"/>
      <c r="X342" s="508" t="s">
        <v>779</v>
      </c>
      <c r="Y342" s="2224">
        <v>801</v>
      </c>
      <c r="Z342" s="2224"/>
      <c r="AA342" s="2224"/>
      <c r="AB342" s="508" t="s">
        <v>811</v>
      </c>
      <c r="AC342" s="2224"/>
      <c r="AD342" s="2224"/>
      <c r="AE342" s="2224"/>
      <c r="AF342" s="508" t="s">
        <v>811</v>
      </c>
      <c r="AG342" s="2224"/>
      <c r="AH342" s="2224"/>
      <c r="AI342" s="2226"/>
      <c r="AJ342" s="2212">
        <f t="shared" si="84"/>
        <v>57800</v>
      </c>
      <c r="AK342" s="2213"/>
      <c r="AL342" s="2214"/>
      <c r="AM342" s="2215">
        <v>1</v>
      </c>
      <c r="AN342" s="2216"/>
      <c r="AO342" s="2217"/>
      <c r="AP342" s="2209">
        <f t="shared" si="85"/>
        <v>57800</v>
      </c>
      <c r="AQ342" s="2210"/>
      <c r="AR342" s="2211"/>
      <c r="AS342" s="2203">
        <f ca="1">SUMIF(基礎・屋根・外壁!B$206:AE$206,F342,基礎・屋根・外壁!B$211:AE$211)+SUMIF(基礎・屋根・外壁!B$242:AE$242,F342,基礎・屋根・外壁!B$247:AE$247)+SUMIF(見積拾!C$65:D$69,F342,見積拾!T$65:T$69)</f>
        <v>0</v>
      </c>
      <c r="AT342" s="2204"/>
      <c r="AU342" s="2204"/>
      <c r="AV342" s="2205"/>
      <c r="AW342" s="2206">
        <f t="shared" ca="1" si="86"/>
        <v>0</v>
      </c>
      <c r="AX342" s="2207"/>
      <c r="AY342" s="2207"/>
      <c r="AZ342" s="2208"/>
      <c r="BA342" s="2200"/>
      <c r="BB342" s="956" t="b">
        <f t="shared" ca="1" si="87"/>
        <v>0</v>
      </c>
    </row>
    <row r="343" spans="2:54" ht="13.5" customHeight="1">
      <c r="B343" s="2445"/>
      <c r="C343" s="2521"/>
      <c r="D343" s="2500"/>
      <c r="E343" s="958" t="s">
        <v>777</v>
      </c>
      <c r="F343" s="2210" t="s">
        <v>1346</v>
      </c>
      <c r="G343" s="2210"/>
      <c r="H343" s="2210"/>
      <c r="I343" s="2210"/>
      <c r="J343" s="2210"/>
      <c r="K343" s="2210"/>
      <c r="L343" s="2210"/>
      <c r="M343" s="2210"/>
      <c r="N343" s="2210"/>
      <c r="O343" s="2210"/>
      <c r="P343" s="2211"/>
      <c r="Q343" s="2257">
        <v>4759</v>
      </c>
      <c r="R343" s="2224"/>
      <c r="S343" s="2224"/>
      <c r="T343" s="508" t="s">
        <v>1292</v>
      </c>
      <c r="U343" s="2224">
        <v>1584</v>
      </c>
      <c r="V343" s="2224"/>
      <c r="W343" s="2224"/>
      <c r="X343" s="508" t="s">
        <v>779</v>
      </c>
      <c r="Y343" s="2224">
        <v>1104</v>
      </c>
      <c r="Z343" s="2224"/>
      <c r="AA343" s="2224"/>
      <c r="AB343" s="508" t="s">
        <v>811</v>
      </c>
      <c r="AC343" s="2224"/>
      <c r="AD343" s="2224"/>
      <c r="AE343" s="2224"/>
      <c r="AF343" s="508" t="s">
        <v>811</v>
      </c>
      <c r="AG343" s="2224"/>
      <c r="AH343" s="2224"/>
      <c r="AI343" s="2226"/>
      <c r="AJ343" s="2212">
        <f t="shared" si="84"/>
        <v>7440</v>
      </c>
      <c r="AK343" s="2213"/>
      <c r="AL343" s="2214"/>
      <c r="AM343" s="2215">
        <v>1</v>
      </c>
      <c r="AN343" s="2216"/>
      <c r="AO343" s="2217"/>
      <c r="AP343" s="2209">
        <f t="shared" si="85"/>
        <v>7440</v>
      </c>
      <c r="AQ343" s="2210"/>
      <c r="AR343" s="2211"/>
      <c r="AS343" s="2203">
        <f ca="1">SUMIF(基礎・屋根・外壁!B$206:AE$206,F343,基礎・屋根・外壁!B$211:AE$211)+SUMIF(基礎・屋根・外壁!B$242:AE$242,F343,基礎・屋根・外壁!B$247:AE$247)+SUMIF(見積拾!C$65:D$69,F343,見積拾!T$65:T$69)</f>
        <v>0</v>
      </c>
      <c r="AT343" s="2204"/>
      <c r="AU343" s="2204"/>
      <c r="AV343" s="2205"/>
      <c r="AW343" s="2206">
        <f t="shared" ca="1" si="86"/>
        <v>0</v>
      </c>
      <c r="AX343" s="2207"/>
      <c r="AY343" s="2207"/>
      <c r="AZ343" s="2208"/>
      <c r="BA343" s="2200"/>
      <c r="BB343" s="956" t="b">
        <f t="shared" ca="1" si="87"/>
        <v>0</v>
      </c>
    </row>
    <row r="344" spans="2:54" ht="13.5" customHeight="1">
      <c r="B344" s="2445"/>
      <c r="C344" s="2521"/>
      <c r="D344" s="2500"/>
      <c r="E344" s="958" t="s">
        <v>777</v>
      </c>
      <c r="F344" s="2210" t="s">
        <v>1347</v>
      </c>
      <c r="G344" s="2210"/>
      <c r="H344" s="2210"/>
      <c r="I344" s="2210"/>
      <c r="J344" s="2210"/>
      <c r="K344" s="2210"/>
      <c r="L344" s="2210"/>
      <c r="M344" s="2210"/>
      <c r="N344" s="2210"/>
      <c r="O344" s="2210"/>
      <c r="P344" s="2211"/>
      <c r="Q344" s="2257">
        <v>2673</v>
      </c>
      <c r="R344" s="2224"/>
      <c r="S344" s="2224"/>
      <c r="T344" s="508" t="s">
        <v>1292</v>
      </c>
      <c r="U344" s="2224">
        <v>1244</v>
      </c>
      <c r="V344" s="2224"/>
      <c r="W344" s="2224"/>
      <c r="X344" s="508" t="s">
        <v>779</v>
      </c>
      <c r="Y344" s="2224">
        <v>1104</v>
      </c>
      <c r="Z344" s="2224"/>
      <c r="AA344" s="2224"/>
      <c r="AB344" s="508" t="s">
        <v>811</v>
      </c>
      <c r="AC344" s="2224"/>
      <c r="AD344" s="2224"/>
      <c r="AE344" s="2224"/>
      <c r="AF344" s="508" t="s">
        <v>811</v>
      </c>
      <c r="AG344" s="2224"/>
      <c r="AH344" s="2224"/>
      <c r="AI344" s="2226"/>
      <c r="AJ344" s="2212">
        <f t="shared" si="84"/>
        <v>5020</v>
      </c>
      <c r="AK344" s="2213"/>
      <c r="AL344" s="2214"/>
      <c r="AM344" s="2215">
        <v>1</v>
      </c>
      <c r="AN344" s="2216"/>
      <c r="AO344" s="2217"/>
      <c r="AP344" s="2209">
        <f t="shared" si="85"/>
        <v>5020</v>
      </c>
      <c r="AQ344" s="2210"/>
      <c r="AR344" s="2211"/>
      <c r="AS344" s="2203">
        <f ca="1">SUMIF(基礎・屋根・外壁!B$206:AE$206,F344,基礎・屋根・外壁!B$211:AE$211)+SUMIF(基礎・屋根・外壁!B$242:AE$242,F344,基礎・屋根・外壁!B$247:AE$247)+SUMIF(見積拾!C$65:D$69,F344,見積拾!T$65:T$69)</f>
        <v>0</v>
      </c>
      <c r="AT344" s="2204"/>
      <c r="AU344" s="2204"/>
      <c r="AV344" s="2205"/>
      <c r="AW344" s="2206">
        <f t="shared" ca="1" si="86"/>
        <v>0</v>
      </c>
      <c r="AX344" s="2207"/>
      <c r="AY344" s="2207"/>
      <c r="AZ344" s="2208"/>
      <c r="BA344" s="2200"/>
      <c r="BB344" s="956" t="b">
        <f t="shared" ca="1" si="87"/>
        <v>0</v>
      </c>
    </row>
    <row r="345" spans="2:54" ht="13.5" customHeight="1">
      <c r="B345" s="2445"/>
      <c r="C345" s="2521"/>
      <c r="D345" s="2500"/>
      <c r="E345" s="1702" t="s">
        <v>817</v>
      </c>
      <c r="F345" s="2272" t="s">
        <v>782</v>
      </c>
      <c r="G345" s="2273"/>
      <c r="H345" s="2273"/>
      <c r="I345" s="2273"/>
      <c r="J345" s="2273"/>
      <c r="K345" s="2273"/>
      <c r="L345" s="2273"/>
      <c r="M345" s="2273"/>
      <c r="N345" s="2273"/>
      <c r="O345" s="2273"/>
      <c r="P345" s="2321"/>
      <c r="Q345" s="2323"/>
      <c r="R345" s="2259"/>
      <c r="S345" s="2259"/>
      <c r="T345" s="508" t="s">
        <v>789</v>
      </c>
      <c r="U345" s="2258"/>
      <c r="V345" s="2259"/>
      <c r="W345" s="2259"/>
      <c r="X345" s="508" t="s">
        <v>789</v>
      </c>
      <c r="Y345" s="2258"/>
      <c r="Z345" s="2259"/>
      <c r="AA345" s="2259"/>
      <c r="AB345" s="508" t="s">
        <v>789</v>
      </c>
      <c r="AC345" s="2258"/>
      <c r="AD345" s="2259"/>
      <c r="AE345" s="2259"/>
      <c r="AF345" s="508" t="s">
        <v>789</v>
      </c>
      <c r="AG345" s="2258"/>
      <c r="AH345" s="2259"/>
      <c r="AI345" s="2260"/>
      <c r="AJ345" s="2212">
        <f t="shared" ref="AJ345:AJ356" si="88">ROUNDDOWN(SUM(Q345:AI345),-1)</f>
        <v>0</v>
      </c>
      <c r="AK345" s="2213"/>
      <c r="AL345" s="2214"/>
      <c r="AM345" s="2215">
        <v>1</v>
      </c>
      <c r="AN345" s="2216"/>
      <c r="AO345" s="2217"/>
      <c r="AP345" s="2209">
        <f t="shared" ref="AP345:AP356" si="89">INT(AJ345*AM345)</f>
        <v>0</v>
      </c>
      <c r="AQ345" s="2210"/>
      <c r="AR345" s="2211"/>
      <c r="AS345" s="2203">
        <f ca="1">SUMIF(基礎・屋根・外壁!B$206:AE$206,F345,基礎・屋根・外壁!B$211:AE$211)+SUMIF(基礎・屋根・外壁!B$242:AE$242,F345,基礎・屋根・外壁!B$247:AE$247)+SUMIF(見積拾!C$65:D$69,F345,見積拾!T$65:T$69)</f>
        <v>0</v>
      </c>
      <c r="AT345" s="2204"/>
      <c r="AU345" s="2204"/>
      <c r="AV345" s="2205"/>
      <c r="AW345" s="2206">
        <f t="shared" ref="AW345:AW356" ca="1" si="90">INT(AP345*AS345)</f>
        <v>0</v>
      </c>
      <c r="AX345" s="2207"/>
      <c r="AY345" s="2207"/>
      <c r="AZ345" s="2208"/>
      <c r="BA345" s="2200"/>
      <c r="BB345" s="956" t="b">
        <f t="shared" ref="BB345:BB356" ca="1" si="91">AW345&lt;&gt;0</f>
        <v>0</v>
      </c>
    </row>
    <row r="346" spans="2:54" ht="13.5" customHeight="1">
      <c r="B346" s="2445"/>
      <c r="C346" s="2521"/>
      <c r="D346" s="2500"/>
      <c r="E346" s="1702" t="s">
        <v>339</v>
      </c>
      <c r="F346" s="2272" t="s">
        <v>782</v>
      </c>
      <c r="G346" s="2273"/>
      <c r="H346" s="2273"/>
      <c r="I346" s="2273"/>
      <c r="J346" s="2273"/>
      <c r="K346" s="2273"/>
      <c r="L346" s="2273"/>
      <c r="M346" s="2273"/>
      <c r="N346" s="2273"/>
      <c r="O346" s="2273"/>
      <c r="P346" s="2321"/>
      <c r="Q346" s="2323"/>
      <c r="R346" s="2259"/>
      <c r="S346" s="2259"/>
      <c r="T346" s="508" t="s">
        <v>40</v>
      </c>
      <c r="U346" s="2258"/>
      <c r="V346" s="2259"/>
      <c r="W346" s="2259"/>
      <c r="X346" s="508" t="s">
        <v>40</v>
      </c>
      <c r="Y346" s="2258"/>
      <c r="Z346" s="2259"/>
      <c r="AA346" s="2259"/>
      <c r="AB346" s="508" t="s">
        <v>40</v>
      </c>
      <c r="AC346" s="2258"/>
      <c r="AD346" s="2259"/>
      <c r="AE346" s="2259"/>
      <c r="AF346" s="508" t="s">
        <v>40</v>
      </c>
      <c r="AG346" s="2258"/>
      <c r="AH346" s="2259"/>
      <c r="AI346" s="2260"/>
      <c r="AJ346" s="2212">
        <f t="shared" ref="AJ346:AJ347" si="92">ROUNDDOWN(SUM(Q346:AI346),-1)</f>
        <v>0</v>
      </c>
      <c r="AK346" s="2213"/>
      <c r="AL346" s="2214"/>
      <c r="AM346" s="2215">
        <v>1</v>
      </c>
      <c r="AN346" s="2216"/>
      <c r="AO346" s="2217"/>
      <c r="AP346" s="2209">
        <f t="shared" ref="AP346:AP347" si="93">INT(AJ346*AM346)</f>
        <v>0</v>
      </c>
      <c r="AQ346" s="2210"/>
      <c r="AR346" s="2211"/>
      <c r="AS346" s="2203">
        <f ca="1">SUMIF(基礎・屋根・外壁!B$206:AE$206,F346,基礎・屋根・外壁!B$211:AE$211)+SUMIF(基礎・屋根・外壁!B$242:AE$242,F346,基礎・屋根・外壁!B$247:AE$247)+SUMIF(見積拾!C$65:D$69,F346,見積拾!T$65:T$69)</f>
        <v>0</v>
      </c>
      <c r="AT346" s="2204"/>
      <c r="AU346" s="2204"/>
      <c r="AV346" s="2205"/>
      <c r="AW346" s="2206">
        <f t="shared" ref="AW346:AW347" ca="1" si="94">INT(AP346*AS346)</f>
        <v>0</v>
      </c>
      <c r="AX346" s="2207"/>
      <c r="AY346" s="2207"/>
      <c r="AZ346" s="2208"/>
      <c r="BA346" s="2200"/>
      <c r="BB346" s="956" t="b">
        <f t="shared" ref="BB346:BB347" ca="1" si="95">AW346&lt;&gt;0</f>
        <v>0</v>
      </c>
    </row>
    <row r="347" spans="2:54" ht="13.5" customHeight="1">
      <c r="B347" s="2445"/>
      <c r="C347" s="2521"/>
      <c r="D347" s="2500"/>
      <c r="E347" s="1702" t="s">
        <v>339</v>
      </c>
      <c r="F347" s="2272" t="s">
        <v>782</v>
      </c>
      <c r="G347" s="2273"/>
      <c r="H347" s="2273"/>
      <c r="I347" s="2273"/>
      <c r="J347" s="2273"/>
      <c r="K347" s="2273"/>
      <c r="L347" s="2273"/>
      <c r="M347" s="2273"/>
      <c r="N347" s="2273"/>
      <c r="O347" s="2273"/>
      <c r="P347" s="2321"/>
      <c r="Q347" s="2323"/>
      <c r="R347" s="2259"/>
      <c r="S347" s="2259"/>
      <c r="T347" s="508" t="s">
        <v>40</v>
      </c>
      <c r="U347" s="2258"/>
      <c r="V347" s="2259"/>
      <c r="W347" s="2259"/>
      <c r="X347" s="508" t="s">
        <v>40</v>
      </c>
      <c r="Y347" s="2258"/>
      <c r="Z347" s="2259"/>
      <c r="AA347" s="2259"/>
      <c r="AB347" s="508" t="s">
        <v>40</v>
      </c>
      <c r="AC347" s="2258"/>
      <c r="AD347" s="2259"/>
      <c r="AE347" s="2259"/>
      <c r="AF347" s="508" t="s">
        <v>40</v>
      </c>
      <c r="AG347" s="2258"/>
      <c r="AH347" s="2259"/>
      <c r="AI347" s="2260"/>
      <c r="AJ347" s="2212">
        <f t="shared" si="92"/>
        <v>0</v>
      </c>
      <c r="AK347" s="2213"/>
      <c r="AL347" s="2214"/>
      <c r="AM347" s="2215">
        <v>1</v>
      </c>
      <c r="AN347" s="2216"/>
      <c r="AO347" s="2217"/>
      <c r="AP347" s="2209">
        <f t="shared" si="93"/>
        <v>0</v>
      </c>
      <c r="AQ347" s="2210"/>
      <c r="AR347" s="2211"/>
      <c r="AS347" s="2203">
        <f ca="1">SUMIF(基礎・屋根・外壁!B$206:AE$206,F347,基礎・屋根・外壁!B$211:AE$211)+SUMIF(基礎・屋根・外壁!B$242:AE$242,F347,基礎・屋根・外壁!B$247:AE$247)+SUMIF(見積拾!C$65:D$69,F347,見積拾!T$65:T$69)</f>
        <v>0</v>
      </c>
      <c r="AT347" s="2204"/>
      <c r="AU347" s="2204"/>
      <c r="AV347" s="2205"/>
      <c r="AW347" s="2206">
        <f t="shared" ca="1" si="94"/>
        <v>0</v>
      </c>
      <c r="AX347" s="2207"/>
      <c r="AY347" s="2207"/>
      <c r="AZ347" s="2208"/>
      <c r="BA347" s="2200"/>
      <c r="BB347" s="956" t="b">
        <f t="shared" ca="1" si="95"/>
        <v>0</v>
      </c>
    </row>
    <row r="348" spans="2:54" ht="13.5" customHeight="1">
      <c r="B348" s="2445"/>
      <c r="C348" s="2521"/>
      <c r="D348" s="2500"/>
      <c r="E348" s="1702" t="s">
        <v>799</v>
      </c>
      <c r="F348" s="2272" t="s">
        <v>782</v>
      </c>
      <c r="G348" s="2273"/>
      <c r="H348" s="2273"/>
      <c r="I348" s="2273"/>
      <c r="J348" s="2273"/>
      <c r="K348" s="2273"/>
      <c r="L348" s="2273"/>
      <c r="M348" s="2273"/>
      <c r="N348" s="2273"/>
      <c r="O348" s="2273"/>
      <c r="P348" s="2321"/>
      <c r="Q348" s="2323"/>
      <c r="R348" s="2259"/>
      <c r="S348" s="2259"/>
      <c r="T348" s="508" t="s">
        <v>789</v>
      </c>
      <c r="U348" s="2258"/>
      <c r="V348" s="2259"/>
      <c r="W348" s="2259"/>
      <c r="X348" s="508" t="s">
        <v>789</v>
      </c>
      <c r="Y348" s="2258"/>
      <c r="Z348" s="2259"/>
      <c r="AA348" s="2259"/>
      <c r="AB348" s="508" t="s">
        <v>789</v>
      </c>
      <c r="AC348" s="2258"/>
      <c r="AD348" s="2259"/>
      <c r="AE348" s="2259"/>
      <c r="AF348" s="508" t="s">
        <v>789</v>
      </c>
      <c r="AG348" s="2258"/>
      <c r="AH348" s="2259"/>
      <c r="AI348" s="2260"/>
      <c r="AJ348" s="2212">
        <f t="shared" si="88"/>
        <v>0</v>
      </c>
      <c r="AK348" s="2213"/>
      <c r="AL348" s="2214"/>
      <c r="AM348" s="2215">
        <v>1</v>
      </c>
      <c r="AN348" s="2216"/>
      <c r="AO348" s="2217"/>
      <c r="AP348" s="2209">
        <f t="shared" si="89"/>
        <v>0</v>
      </c>
      <c r="AQ348" s="2210"/>
      <c r="AR348" s="2211"/>
      <c r="AS348" s="2203">
        <f ca="1">SUMIF(基礎・屋根・外壁!B$206:AE$206,F348,基礎・屋根・外壁!B$211:AE$211)+SUMIF(基礎・屋根・外壁!B$242:AE$242,F348,基礎・屋根・外壁!B$247:AE$247)+SUMIF(見積拾!C$65:D$69,F348,見積拾!T$65:T$69)</f>
        <v>0</v>
      </c>
      <c r="AT348" s="2204"/>
      <c r="AU348" s="2204"/>
      <c r="AV348" s="2205"/>
      <c r="AW348" s="2206">
        <f t="shared" ca="1" si="90"/>
        <v>0</v>
      </c>
      <c r="AX348" s="2207"/>
      <c r="AY348" s="2207"/>
      <c r="AZ348" s="2208"/>
      <c r="BA348" s="2200"/>
      <c r="BB348" s="956" t="b">
        <f t="shared" ca="1" si="91"/>
        <v>0</v>
      </c>
    </row>
    <row r="349" spans="2:54" ht="13.5" customHeight="1">
      <c r="B349" s="2445"/>
      <c r="C349" s="2521"/>
      <c r="D349" s="2500"/>
      <c r="E349" s="1707" t="s">
        <v>799</v>
      </c>
      <c r="F349" s="2426" t="s">
        <v>782</v>
      </c>
      <c r="G349" s="2427"/>
      <c r="H349" s="2427"/>
      <c r="I349" s="2427"/>
      <c r="J349" s="2427"/>
      <c r="K349" s="2427"/>
      <c r="L349" s="2427"/>
      <c r="M349" s="2427"/>
      <c r="N349" s="2427"/>
      <c r="O349" s="2427"/>
      <c r="P349" s="2428"/>
      <c r="Q349" s="2324"/>
      <c r="R349" s="2317"/>
      <c r="S349" s="2317"/>
      <c r="T349" s="514" t="s">
        <v>789</v>
      </c>
      <c r="U349" s="2316"/>
      <c r="V349" s="2317"/>
      <c r="W349" s="2317"/>
      <c r="X349" s="514" t="s">
        <v>789</v>
      </c>
      <c r="Y349" s="2316"/>
      <c r="Z349" s="2317"/>
      <c r="AA349" s="2317"/>
      <c r="AB349" s="514" t="s">
        <v>789</v>
      </c>
      <c r="AC349" s="2316"/>
      <c r="AD349" s="2317"/>
      <c r="AE349" s="2317"/>
      <c r="AF349" s="514" t="s">
        <v>789</v>
      </c>
      <c r="AG349" s="2316"/>
      <c r="AH349" s="2317"/>
      <c r="AI349" s="2331"/>
      <c r="AJ349" s="2229">
        <f t="shared" si="88"/>
        <v>0</v>
      </c>
      <c r="AK349" s="2230"/>
      <c r="AL349" s="2231"/>
      <c r="AM349" s="2262">
        <v>1</v>
      </c>
      <c r="AN349" s="2263"/>
      <c r="AO349" s="2264"/>
      <c r="AP349" s="2229">
        <f t="shared" si="89"/>
        <v>0</v>
      </c>
      <c r="AQ349" s="2230"/>
      <c r="AR349" s="2231"/>
      <c r="AS349" s="2203">
        <f ca="1">SUMIF(基礎・屋根・外壁!B$206:AE$206,F349,基礎・屋根・外壁!B$211:AE$211)+SUMIF(基礎・屋根・外壁!B$242:AE$242,F349,基礎・屋根・外壁!B$247:AE$247)+SUMIF(見積拾!C$65:D$69,F349,見積拾!T$65:T$69)</f>
        <v>0</v>
      </c>
      <c r="AT349" s="2204"/>
      <c r="AU349" s="2204"/>
      <c r="AV349" s="2205"/>
      <c r="AW349" s="2248">
        <f t="shared" ca="1" si="90"/>
        <v>0</v>
      </c>
      <c r="AX349" s="2249"/>
      <c r="AY349" s="2249"/>
      <c r="AZ349" s="2250"/>
      <c r="BA349" s="2200"/>
      <c r="BB349" s="956" t="b">
        <f t="shared" ca="1" si="91"/>
        <v>0</v>
      </c>
    </row>
    <row r="350" spans="2:54" ht="13.5" customHeight="1">
      <c r="B350" s="2445"/>
      <c r="C350" s="2521"/>
      <c r="D350" s="2500"/>
      <c r="E350" s="2429" t="s">
        <v>1107</v>
      </c>
      <c r="F350" s="2430"/>
      <c r="G350" s="122" t="s">
        <v>777</v>
      </c>
      <c r="H350" s="2252" t="s">
        <v>819</v>
      </c>
      <c r="I350" s="2252"/>
      <c r="J350" s="2252"/>
      <c r="K350" s="2252"/>
      <c r="L350" s="2252"/>
      <c r="M350" s="2252"/>
      <c r="N350" s="2252"/>
      <c r="O350" s="2252"/>
      <c r="P350" s="2253"/>
      <c r="Q350" s="2326">
        <v>2900</v>
      </c>
      <c r="R350" s="2327"/>
      <c r="S350" s="2327"/>
      <c r="T350" s="123" t="s">
        <v>40</v>
      </c>
      <c r="U350" s="2322" t="s">
        <v>1031</v>
      </c>
      <c r="V350" s="2322"/>
      <c r="W350" s="2322"/>
      <c r="X350" s="877" t="s">
        <v>779</v>
      </c>
      <c r="Y350" s="2322" t="s">
        <v>1032</v>
      </c>
      <c r="Z350" s="2322"/>
      <c r="AA350" s="2322"/>
      <c r="AB350" s="123" t="s">
        <v>40</v>
      </c>
      <c r="AC350" s="2327"/>
      <c r="AD350" s="2327"/>
      <c r="AE350" s="2327"/>
      <c r="AF350" s="123" t="s">
        <v>40</v>
      </c>
      <c r="AG350" s="2327"/>
      <c r="AH350" s="2327"/>
      <c r="AI350" s="2327"/>
      <c r="AJ350" s="2251">
        <f t="shared" si="88"/>
        <v>2900</v>
      </c>
      <c r="AK350" s="2252"/>
      <c r="AL350" s="2253"/>
      <c r="AM350" s="2265">
        <v>1</v>
      </c>
      <c r="AN350" s="2266"/>
      <c r="AO350" s="2267"/>
      <c r="AP350" s="2251">
        <f t="shared" si="89"/>
        <v>2900</v>
      </c>
      <c r="AQ350" s="2252"/>
      <c r="AR350" s="2253"/>
      <c r="AS350" s="2243">
        <f>SUMIF(基礎・屋根・外壁!B$207:AE$207,H350,基礎・屋根・外壁!B$211:AE$211)+SUMIF(基礎・屋根・外壁!B$208:AE$208,H350,基礎・屋根・外壁!B$211:AE$211)+
SUMIF(基礎・屋根・外壁!B$243:AE$243,H350,基礎・屋根・外壁!B$247:AE$247)+SUMIF(基礎・屋根・外壁!B$244:AE$244,H350,基礎・屋根・外壁!B$247:AE$247)+
SUMIF(見積拾!D$70:D$74,H350,見積拾!T$70:T$74)</f>
        <v>0</v>
      </c>
      <c r="AT350" s="2244"/>
      <c r="AU350" s="2244"/>
      <c r="AV350" s="2245"/>
      <c r="AW350" s="2235">
        <f t="shared" si="90"/>
        <v>0</v>
      </c>
      <c r="AX350" s="2236"/>
      <c r="AY350" s="2236"/>
      <c r="AZ350" s="2237"/>
      <c r="BA350" s="2200"/>
      <c r="BB350" s="956" t="b">
        <f t="shared" si="91"/>
        <v>0</v>
      </c>
    </row>
    <row r="351" spans="2:54" ht="13.5" customHeight="1">
      <c r="B351" s="2445"/>
      <c r="C351" s="2521"/>
      <c r="D351" s="2500"/>
      <c r="E351" s="2338"/>
      <c r="F351" s="2337"/>
      <c r="G351" s="124" t="s">
        <v>777</v>
      </c>
      <c r="H351" s="2210" t="s">
        <v>820</v>
      </c>
      <c r="I351" s="2210"/>
      <c r="J351" s="2210"/>
      <c r="K351" s="2210"/>
      <c r="L351" s="2210"/>
      <c r="M351" s="2210"/>
      <c r="N351" s="2210"/>
      <c r="O351" s="2210"/>
      <c r="P351" s="2211"/>
      <c r="Q351" s="2328">
        <v>1360</v>
      </c>
      <c r="R351" s="2261"/>
      <c r="S351" s="2261"/>
      <c r="T351" s="120" t="s">
        <v>40</v>
      </c>
      <c r="U351" s="2322" t="s">
        <v>1031</v>
      </c>
      <c r="V351" s="2322"/>
      <c r="W351" s="2322"/>
      <c r="X351" s="120" t="s">
        <v>40</v>
      </c>
      <c r="Y351" s="2322" t="s">
        <v>1032</v>
      </c>
      <c r="Z351" s="2322"/>
      <c r="AA351" s="2322"/>
      <c r="AB351" s="120" t="s">
        <v>40</v>
      </c>
      <c r="AC351" s="2261"/>
      <c r="AD351" s="2261"/>
      <c r="AE351" s="2261"/>
      <c r="AF351" s="120" t="s">
        <v>40</v>
      </c>
      <c r="AG351" s="2261"/>
      <c r="AH351" s="2261"/>
      <c r="AI351" s="2261"/>
      <c r="AJ351" s="2209">
        <f t="shared" si="88"/>
        <v>1360</v>
      </c>
      <c r="AK351" s="2210"/>
      <c r="AL351" s="2211"/>
      <c r="AM351" s="2232">
        <v>1</v>
      </c>
      <c r="AN351" s="2233"/>
      <c r="AO351" s="2234"/>
      <c r="AP351" s="2209">
        <f t="shared" si="89"/>
        <v>1360</v>
      </c>
      <c r="AQ351" s="2210"/>
      <c r="AR351" s="2211"/>
      <c r="AS351" s="2203">
        <f>SUMIF(基礎・屋根・外壁!B$207:AE$207,H351,基礎・屋根・外壁!B$211:AE$211)+SUMIF(基礎・屋根・外壁!B$208:AE$208,H351,基礎・屋根・外壁!B$211:AE$211)+
SUMIF(基礎・屋根・外壁!B$243:AE$243,H351,基礎・屋根・外壁!B$247:AE$247)+SUMIF(基礎・屋根・外壁!B$244:AE$244,H351,基礎・屋根・外壁!B$247:AE$247)+
SUMIF(見積拾!D$70:D$74,H351,見積拾!T$70:T$74)</f>
        <v>0</v>
      </c>
      <c r="AT351" s="2204"/>
      <c r="AU351" s="2204"/>
      <c r="AV351" s="2205"/>
      <c r="AW351" s="2238">
        <f t="shared" si="90"/>
        <v>0</v>
      </c>
      <c r="AX351" s="2239"/>
      <c r="AY351" s="2239"/>
      <c r="AZ351" s="2240"/>
      <c r="BA351" s="2200"/>
      <c r="BB351" s="956" t="b">
        <f t="shared" si="91"/>
        <v>0</v>
      </c>
    </row>
    <row r="352" spans="2:54" ht="13.5" customHeight="1">
      <c r="B352" s="2445"/>
      <c r="C352" s="2521"/>
      <c r="D352" s="2500"/>
      <c r="E352" s="2338"/>
      <c r="F352" s="2337"/>
      <c r="G352" s="124" t="s">
        <v>777</v>
      </c>
      <c r="H352" s="2210" t="s">
        <v>821</v>
      </c>
      <c r="I352" s="2210"/>
      <c r="J352" s="2210"/>
      <c r="K352" s="2210"/>
      <c r="L352" s="2210"/>
      <c r="M352" s="2210"/>
      <c r="N352" s="2210"/>
      <c r="O352" s="2210"/>
      <c r="P352" s="2211"/>
      <c r="Q352" s="2328">
        <v>930</v>
      </c>
      <c r="R352" s="2261"/>
      <c r="S352" s="2261"/>
      <c r="T352" s="120" t="s">
        <v>40</v>
      </c>
      <c r="U352" s="2322" t="s">
        <v>1031</v>
      </c>
      <c r="V352" s="2322"/>
      <c r="W352" s="2322"/>
      <c r="X352" s="120" t="s">
        <v>40</v>
      </c>
      <c r="Y352" s="2322" t="s">
        <v>1032</v>
      </c>
      <c r="Z352" s="2322"/>
      <c r="AA352" s="2322"/>
      <c r="AB352" s="120" t="s">
        <v>40</v>
      </c>
      <c r="AC352" s="2261"/>
      <c r="AD352" s="2261"/>
      <c r="AE352" s="2261"/>
      <c r="AF352" s="120" t="s">
        <v>40</v>
      </c>
      <c r="AG352" s="2261"/>
      <c r="AH352" s="2261"/>
      <c r="AI352" s="2261"/>
      <c r="AJ352" s="2209">
        <f t="shared" ref="AJ352" si="96">ROUNDDOWN(SUM(Q352:AI352),-1)</f>
        <v>930</v>
      </c>
      <c r="AK352" s="2210"/>
      <c r="AL352" s="2211"/>
      <c r="AM352" s="2232">
        <v>1</v>
      </c>
      <c r="AN352" s="2233"/>
      <c r="AO352" s="2234"/>
      <c r="AP352" s="2209">
        <f t="shared" ref="AP352" si="97">INT(AJ352*AM352)</f>
        <v>930</v>
      </c>
      <c r="AQ352" s="2210"/>
      <c r="AR352" s="2211"/>
      <c r="AS352" s="2203">
        <f>SUMIF(基礎・屋根・外壁!B$207:AE$207,H352,基礎・屋根・外壁!B$211:AE$211)+SUMIF(基礎・屋根・外壁!B$208:AE$208,H352,基礎・屋根・外壁!B$211:AE$211)+
SUMIF(基礎・屋根・外壁!B$243:AE$243,H352,基礎・屋根・外壁!B$247:AE$247)+SUMIF(基礎・屋根・外壁!B$244:AE$244,H352,基礎・屋根・外壁!B$247:AE$247)+
SUMIF(見積拾!D$70:D$74,H352,見積拾!T$70:T$74)</f>
        <v>0</v>
      </c>
      <c r="AT352" s="2204"/>
      <c r="AU352" s="2204"/>
      <c r="AV352" s="2205"/>
      <c r="AW352" s="2238">
        <f t="shared" ref="AW352" si="98">INT(AP352*AS352)</f>
        <v>0</v>
      </c>
      <c r="AX352" s="2239"/>
      <c r="AY352" s="2239"/>
      <c r="AZ352" s="2240"/>
      <c r="BA352" s="2200"/>
      <c r="BB352" s="956" t="b">
        <f t="shared" ref="BB352" si="99">AW352&lt;&gt;0</f>
        <v>0</v>
      </c>
    </row>
    <row r="353" spans="2:54" ht="13.5" customHeight="1">
      <c r="B353" s="2445"/>
      <c r="C353" s="2521"/>
      <c r="D353" s="2500"/>
      <c r="E353" s="2338"/>
      <c r="F353" s="2431"/>
      <c r="G353" s="124" t="s">
        <v>777</v>
      </c>
      <c r="H353" s="2210" t="s">
        <v>5605</v>
      </c>
      <c r="I353" s="2210"/>
      <c r="J353" s="2210"/>
      <c r="K353" s="2210"/>
      <c r="L353" s="2210"/>
      <c r="M353" s="2210"/>
      <c r="N353" s="2210"/>
      <c r="O353" s="2210"/>
      <c r="P353" s="2211"/>
      <c r="Q353" s="2328">
        <v>1890</v>
      </c>
      <c r="R353" s="2261"/>
      <c r="S353" s="2261"/>
      <c r="T353" s="120" t="s">
        <v>40</v>
      </c>
      <c r="U353" s="2322" t="s">
        <v>1031</v>
      </c>
      <c r="V353" s="2322"/>
      <c r="W353" s="2322"/>
      <c r="X353" s="120" t="s">
        <v>40</v>
      </c>
      <c r="Y353" s="2322" t="s">
        <v>1032</v>
      </c>
      <c r="Z353" s="2322"/>
      <c r="AA353" s="2322"/>
      <c r="AB353" s="120" t="s">
        <v>40</v>
      </c>
      <c r="AC353" s="2261"/>
      <c r="AD353" s="2261"/>
      <c r="AE353" s="2261"/>
      <c r="AF353" s="120" t="s">
        <v>40</v>
      </c>
      <c r="AG353" s="2261"/>
      <c r="AH353" s="2261"/>
      <c r="AI353" s="2261"/>
      <c r="AJ353" s="2209">
        <f t="shared" ref="AJ353" si="100">ROUNDDOWN(SUM(Q353:AI353),-1)</f>
        <v>1890</v>
      </c>
      <c r="AK353" s="2210"/>
      <c r="AL353" s="2211"/>
      <c r="AM353" s="2232">
        <v>1</v>
      </c>
      <c r="AN353" s="2233"/>
      <c r="AO353" s="2234"/>
      <c r="AP353" s="2209">
        <f t="shared" ref="AP353" si="101">INT(AJ353*AM353)</f>
        <v>1890</v>
      </c>
      <c r="AQ353" s="2210"/>
      <c r="AR353" s="2211"/>
      <c r="AS353" s="2203">
        <f>SUMIF(基礎・屋根・外壁!B$207:AE$207,H353,基礎・屋根・外壁!B$211:AE$211)+SUMIF(基礎・屋根・外壁!B$208:AE$208,H353,基礎・屋根・外壁!B$211:AE$211)+
SUMIF(基礎・屋根・外壁!B$243:AE$243,H353,基礎・屋根・外壁!B$247:AE$247)+SUMIF(基礎・屋根・外壁!B$244:AE$244,H353,基礎・屋根・外壁!B$247:AE$247)+
SUMIF(見積拾!D$70:D$74,H353,見積拾!T$70:T$74)</f>
        <v>0</v>
      </c>
      <c r="AT353" s="2204"/>
      <c r="AU353" s="2204"/>
      <c r="AV353" s="2205"/>
      <c r="AW353" s="2238">
        <f t="shared" ref="AW353" si="102">INT(AP353*AS353)</f>
        <v>0</v>
      </c>
      <c r="AX353" s="2239"/>
      <c r="AY353" s="2239"/>
      <c r="AZ353" s="2240"/>
      <c r="BA353" s="2200"/>
      <c r="BB353" s="956" t="b">
        <f t="shared" ref="BB353" si="103">AW353&lt;&gt;0</f>
        <v>0</v>
      </c>
    </row>
    <row r="354" spans="2:54" ht="13.5" customHeight="1">
      <c r="B354" s="2445"/>
      <c r="C354" s="2521"/>
      <c r="D354" s="2500"/>
      <c r="E354" s="2338"/>
      <c r="F354" s="2431"/>
      <c r="G354" s="124" t="s">
        <v>777</v>
      </c>
      <c r="H354" s="2210" t="s">
        <v>5606</v>
      </c>
      <c r="I354" s="2210"/>
      <c r="J354" s="2210"/>
      <c r="K354" s="2210"/>
      <c r="L354" s="2210"/>
      <c r="M354" s="2210"/>
      <c r="N354" s="2210"/>
      <c r="O354" s="2210"/>
      <c r="P354" s="2211"/>
      <c r="Q354" s="2328">
        <v>910</v>
      </c>
      <c r="R354" s="2261"/>
      <c r="S354" s="2261"/>
      <c r="T354" s="120" t="s">
        <v>40</v>
      </c>
      <c r="U354" s="2322" t="s">
        <v>1031</v>
      </c>
      <c r="V354" s="2322"/>
      <c r="W354" s="2322"/>
      <c r="X354" s="120" t="s">
        <v>40</v>
      </c>
      <c r="Y354" s="2322" t="s">
        <v>1032</v>
      </c>
      <c r="Z354" s="2322"/>
      <c r="AA354" s="2322"/>
      <c r="AB354" s="120" t="s">
        <v>40</v>
      </c>
      <c r="AC354" s="2261"/>
      <c r="AD354" s="2261"/>
      <c r="AE354" s="2261"/>
      <c r="AF354" s="120" t="s">
        <v>40</v>
      </c>
      <c r="AG354" s="2261"/>
      <c r="AH354" s="2261"/>
      <c r="AI354" s="2261"/>
      <c r="AJ354" s="2209">
        <f t="shared" ref="AJ354" si="104">ROUNDDOWN(SUM(Q354:AI354),-1)</f>
        <v>910</v>
      </c>
      <c r="AK354" s="2210"/>
      <c r="AL354" s="2211"/>
      <c r="AM354" s="2232">
        <v>1</v>
      </c>
      <c r="AN354" s="2233"/>
      <c r="AO354" s="2234"/>
      <c r="AP354" s="2209">
        <f t="shared" ref="AP354" si="105">INT(AJ354*AM354)</f>
        <v>910</v>
      </c>
      <c r="AQ354" s="2210"/>
      <c r="AR354" s="2211"/>
      <c r="AS354" s="2203">
        <f>SUMIF(基礎・屋根・外壁!B$207:AE$207,H354,基礎・屋根・外壁!B$211:AE$211)+SUMIF(基礎・屋根・外壁!B$208:AE$208,H354,基礎・屋根・外壁!B$211:AE$211)+
SUMIF(基礎・屋根・外壁!B$243:AE$243,H354,基礎・屋根・外壁!B$247:AE$247)+SUMIF(基礎・屋根・外壁!B$244:AE$244,H354,基礎・屋根・外壁!B$247:AE$247)+
SUMIF(見積拾!D$70:D$74,H354,見積拾!T$70:T$74)</f>
        <v>0</v>
      </c>
      <c r="AT354" s="2204"/>
      <c r="AU354" s="2204"/>
      <c r="AV354" s="2205"/>
      <c r="AW354" s="2238">
        <f t="shared" ref="AW354" si="106">INT(AP354*AS354)</f>
        <v>0</v>
      </c>
      <c r="AX354" s="2239"/>
      <c r="AY354" s="2239"/>
      <c r="AZ354" s="2240"/>
      <c r="BA354" s="2200"/>
      <c r="BB354" s="956" t="b">
        <f t="shared" ref="BB354" si="107">AW354&lt;&gt;0</f>
        <v>0</v>
      </c>
    </row>
    <row r="355" spans="2:54" ht="13.5" customHeight="1">
      <c r="B355" s="2445"/>
      <c r="C355" s="2521"/>
      <c r="D355" s="2500"/>
      <c r="E355" s="2338"/>
      <c r="F355" s="2337"/>
      <c r="G355" s="124" t="s">
        <v>777</v>
      </c>
      <c r="H355" s="2210" t="s">
        <v>1503</v>
      </c>
      <c r="I355" s="2210"/>
      <c r="J355" s="2210"/>
      <c r="K355" s="2210"/>
      <c r="L355" s="2210"/>
      <c r="M355" s="2210"/>
      <c r="N355" s="2210"/>
      <c r="O355" s="2210"/>
      <c r="P355" s="2211"/>
      <c r="Q355" s="2328">
        <v>837</v>
      </c>
      <c r="R355" s="2261"/>
      <c r="S355" s="2261"/>
      <c r="T355" s="120" t="s">
        <v>40</v>
      </c>
      <c r="U355" s="2322" t="s">
        <v>1031</v>
      </c>
      <c r="V355" s="2322"/>
      <c r="W355" s="2322"/>
      <c r="X355" s="120" t="s">
        <v>40</v>
      </c>
      <c r="Y355" s="2322" t="s">
        <v>1032</v>
      </c>
      <c r="Z355" s="2322"/>
      <c r="AA355" s="2322"/>
      <c r="AB355" s="120" t="s">
        <v>40</v>
      </c>
      <c r="AC355" s="2261"/>
      <c r="AD355" s="2261"/>
      <c r="AE355" s="2261"/>
      <c r="AF355" s="120" t="s">
        <v>40</v>
      </c>
      <c r="AG355" s="2261"/>
      <c r="AH355" s="2261"/>
      <c r="AI355" s="2261"/>
      <c r="AJ355" s="2209">
        <f t="shared" si="88"/>
        <v>830</v>
      </c>
      <c r="AK355" s="2210"/>
      <c r="AL355" s="2211"/>
      <c r="AM355" s="2232">
        <v>1</v>
      </c>
      <c r="AN355" s="2233"/>
      <c r="AO355" s="2234"/>
      <c r="AP355" s="2209">
        <f t="shared" si="89"/>
        <v>830</v>
      </c>
      <c r="AQ355" s="2210"/>
      <c r="AR355" s="2211"/>
      <c r="AS355" s="2203">
        <f>SUMIF(基礎・屋根・外壁!B$207:AE$207,H355,基礎・屋根・外壁!B$211:AE$211)+SUMIF(基礎・屋根・外壁!B$208:AE$208,H355,基礎・屋根・外壁!B$211:AE$211)+
SUMIF(基礎・屋根・外壁!B$243:AE$243,H355,基礎・屋根・外壁!B$247:AE$247)+SUMIF(基礎・屋根・外壁!B$244:AE$244,H355,基礎・屋根・外壁!B$247:AE$247)+
SUMIF(見積拾!D$70:D$74,H355,見積拾!T$70:T$74)</f>
        <v>0</v>
      </c>
      <c r="AT355" s="2204"/>
      <c r="AU355" s="2204"/>
      <c r="AV355" s="2205"/>
      <c r="AW355" s="2238">
        <f t="shared" si="90"/>
        <v>0</v>
      </c>
      <c r="AX355" s="2239"/>
      <c r="AY355" s="2239"/>
      <c r="AZ355" s="2240"/>
      <c r="BA355" s="2200"/>
      <c r="BB355" s="956" t="b">
        <f t="shared" si="91"/>
        <v>0</v>
      </c>
    </row>
    <row r="356" spans="2:54" ht="13.5" customHeight="1" thickBot="1">
      <c r="B356" s="2445"/>
      <c r="C356" s="2521"/>
      <c r="D356" s="2500"/>
      <c r="E356" s="2338"/>
      <c r="F356" s="2337"/>
      <c r="G356" s="125" t="s">
        <v>41</v>
      </c>
      <c r="H356" s="2230" t="s">
        <v>822</v>
      </c>
      <c r="I356" s="2230"/>
      <c r="J356" s="2230"/>
      <c r="K356" s="2230"/>
      <c r="L356" s="2230"/>
      <c r="M356" s="2230"/>
      <c r="N356" s="2230"/>
      <c r="O356" s="2230"/>
      <c r="P356" s="2231"/>
      <c r="Q356" s="2432"/>
      <c r="R356" s="2325"/>
      <c r="S356" s="2325"/>
      <c r="T356" s="121"/>
      <c r="U356" s="2325"/>
      <c r="V356" s="2325"/>
      <c r="W356" s="2325"/>
      <c r="X356" s="121"/>
      <c r="Y356" s="2325"/>
      <c r="Z356" s="2325"/>
      <c r="AA356" s="2325"/>
      <c r="AB356" s="121"/>
      <c r="AC356" s="2325"/>
      <c r="AD356" s="2325"/>
      <c r="AE356" s="2325"/>
      <c r="AF356" s="121"/>
      <c r="AG356" s="2325"/>
      <c r="AH356" s="2325"/>
      <c r="AI356" s="2325"/>
      <c r="AJ356" s="2229">
        <f t="shared" si="88"/>
        <v>0</v>
      </c>
      <c r="AK356" s="2230"/>
      <c r="AL356" s="2231"/>
      <c r="AM356" s="2262">
        <v>1</v>
      </c>
      <c r="AN356" s="2263"/>
      <c r="AO356" s="2264"/>
      <c r="AP356" s="2229">
        <f t="shared" si="89"/>
        <v>0</v>
      </c>
      <c r="AQ356" s="2230"/>
      <c r="AR356" s="2231"/>
      <c r="AS356" s="2268"/>
      <c r="AT356" s="2269"/>
      <c r="AU356" s="2269"/>
      <c r="AV356" s="2270"/>
      <c r="AW356" s="2248">
        <f t="shared" si="90"/>
        <v>0</v>
      </c>
      <c r="AX356" s="2249"/>
      <c r="AY356" s="2249"/>
      <c r="AZ356" s="2250"/>
      <c r="BA356" s="2200"/>
      <c r="BB356" s="956" t="b">
        <f t="shared" si="91"/>
        <v>0</v>
      </c>
    </row>
    <row r="357" spans="2:54" ht="13.5" customHeight="1" thickBot="1">
      <c r="B357" s="2581"/>
      <c r="C357" s="2582"/>
      <c r="D357" s="2502"/>
      <c r="E357" s="1660"/>
      <c r="F357" s="1658"/>
      <c r="G357" s="1658"/>
      <c r="H357" s="1658"/>
      <c r="I357" s="1658"/>
      <c r="J357" s="1658"/>
      <c r="K357" s="1658"/>
      <c r="L357" s="1658"/>
      <c r="M357" s="1658"/>
      <c r="N357" s="1658"/>
      <c r="O357" s="1658"/>
      <c r="P357" s="1658"/>
      <c r="Q357" s="1660"/>
      <c r="R357" s="1658"/>
      <c r="S357" s="1658"/>
      <c r="T357" s="1658"/>
      <c r="U357" s="1658"/>
      <c r="V357" s="1658"/>
      <c r="W357" s="1658"/>
      <c r="X357" s="1658"/>
      <c r="Y357" s="1658"/>
      <c r="Z357" s="1658"/>
      <c r="AA357" s="1658"/>
      <c r="AB357" s="1658"/>
      <c r="AC357" s="1658"/>
      <c r="AD357" s="1658"/>
      <c r="AE357" s="1658"/>
      <c r="AF357" s="1658"/>
      <c r="AG357" s="1658"/>
      <c r="AH357" s="1658"/>
      <c r="AI357" s="1661"/>
      <c r="AJ357" s="2221" t="str">
        <f ca="1">IF(AS357=基礎・屋根・外壁!AF211+見積拾!T75,"面積合計及び部分別評点数","補助票と面積が違います！")</f>
        <v>面積合計及び部分別評点数</v>
      </c>
      <c r="AK357" s="2222"/>
      <c r="AL357" s="2222"/>
      <c r="AM357" s="2222"/>
      <c r="AN357" s="2222"/>
      <c r="AO357" s="2222"/>
      <c r="AP357" s="2222"/>
      <c r="AQ357" s="2222"/>
      <c r="AR357" s="2223"/>
      <c r="AS357" s="2254">
        <f ca="1">SUM(AS311:AV349)</f>
        <v>0</v>
      </c>
      <c r="AT357" s="2255"/>
      <c r="AU357" s="2255"/>
      <c r="AV357" s="2256"/>
      <c r="AW357" s="2246">
        <f ca="1">SUM(AW310:AZ356)</f>
        <v>0</v>
      </c>
      <c r="AX357" s="2246"/>
      <c r="AY357" s="2246"/>
      <c r="AZ357" s="2247"/>
      <c r="BA357" s="2200"/>
      <c r="BB357" s="956" t="b">
        <v>1</v>
      </c>
    </row>
    <row r="358" spans="2:54" ht="13.5" customHeight="1">
      <c r="BA358" s="2200"/>
      <c r="BB358" s="956" t="b">
        <v>0</v>
      </c>
    </row>
    <row r="359" spans="2:54" ht="13.5" customHeight="1">
      <c r="BA359" s="2200"/>
      <c r="BB359" s="956" t="b">
        <v>0</v>
      </c>
    </row>
    <row r="360" spans="2:54" ht="13.5" customHeight="1">
      <c r="B360" s="1523"/>
      <c r="C360" s="2089" t="s">
        <v>5312</v>
      </c>
      <c r="D360" s="2090"/>
      <c r="E360" s="2090"/>
      <c r="F360" s="2090"/>
      <c r="G360" s="2090"/>
      <c r="H360" s="2090"/>
      <c r="I360" s="2090"/>
      <c r="J360" s="2090"/>
      <c r="BA360" s="2200"/>
      <c r="BB360" s="956" t="b">
        <v>0</v>
      </c>
    </row>
    <row r="361" spans="2:54" ht="13.5" customHeight="1">
      <c r="BA361" s="2200"/>
      <c r="BB361" s="956" t="b">
        <v>0</v>
      </c>
    </row>
    <row r="362" spans="2:54" ht="13.5" customHeight="1">
      <c r="B362" s="1578"/>
      <c r="C362" s="1579"/>
      <c r="D362" s="1580"/>
      <c r="E362" s="1654" t="s">
        <v>663</v>
      </c>
      <c r="F362" s="1591"/>
      <c r="G362" s="1591"/>
      <c r="H362" s="1591"/>
      <c r="I362" s="1591"/>
      <c r="J362" s="1591"/>
      <c r="K362" s="1591"/>
      <c r="L362" s="1591"/>
      <c r="M362" s="1591"/>
      <c r="N362" s="1591"/>
      <c r="O362" s="1591"/>
      <c r="P362" s="1592"/>
      <c r="Q362" s="1591" t="s">
        <v>769</v>
      </c>
      <c r="R362" s="1591"/>
      <c r="S362" s="1591"/>
      <c r="T362" s="1658"/>
      <c r="U362" s="1591" t="s">
        <v>770</v>
      </c>
      <c r="V362" s="1591"/>
      <c r="W362" s="1591"/>
      <c r="X362" s="1658"/>
      <c r="Y362" s="1591" t="s">
        <v>771</v>
      </c>
      <c r="Z362" s="1591"/>
      <c r="AA362" s="1591"/>
      <c r="AB362" s="1658"/>
      <c r="AC362" s="1591" t="s">
        <v>772</v>
      </c>
      <c r="AD362" s="1591"/>
      <c r="AE362" s="1591"/>
      <c r="AF362" s="1591" t="s">
        <v>772</v>
      </c>
      <c r="AG362" s="1591"/>
      <c r="AH362" s="1592"/>
      <c r="AI362" s="1592"/>
      <c r="AJ362" s="1654" t="s">
        <v>773</v>
      </c>
      <c r="AK362" s="1591"/>
      <c r="AL362" s="1592"/>
      <c r="AM362" s="1654" t="s">
        <v>669</v>
      </c>
      <c r="AN362" s="1591"/>
      <c r="AO362" s="1592"/>
      <c r="AP362" s="1654" t="s">
        <v>774</v>
      </c>
      <c r="AQ362" s="1591"/>
      <c r="AR362" s="1592"/>
      <c r="AS362" s="1655" t="s">
        <v>775</v>
      </c>
      <c r="AT362" s="1654"/>
      <c r="AU362" s="1654"/>
      <c r="AV362" s="1654"/>
      <c r="AW362" s="2241" t="s">
        <v>666</v>
      </c>
      <c r="AX362" s="2242"/>
      <c r="AY362" s="2242"/>
      <c r="AZ362" s="2242"/>
      <c r="BA362" s="2200"/>
      <c r="BB362" s="956" t="b">
        <v>0</v>
      </c>
    </row>
    <row r="363" spans="2:54" ht="13.5" customHeight="1">
      <c r="B363" s="2578" t="s">
        <v>5311</v>
      </c>
      <c r="C363" s="2579"/>
      <c r="D363" s="2580"/>
      <c r="E363" s="122" t="s">
        <v>777</v>
      </c>
      <c r="F363" s="2275" t="s">
        <v>809</v>
      </c>
      <c r="G363" s="2275"/>
      <c r="H363" s="2275"/>
      <c r="I363" s="2275"/>
      <c r="J363" s="2275"/>
      <c r="K363" s="2275"/>
      <c r="L363" s="2275"/>
      <c r="M363" s="2275"/>
      <c r="N363" s="2275"/>
      <c r="O363" s="2275"/>
      <c r="P363" s="2319"/>
      <c r="Q363" s="2320"/>
      <c r="R363" s="2275"/>
      <c r="S363" s="2275"/>
      <c r="T363" s="505"/>
      <c r="U363" s="2275"/>
      <c r="V363" s="2275"/>
      <c r="W363" s="2275"/>
      <c r="X363" s="505"/>
      <c r="Y363" s="2275"/>
      <c r="Z363" s="2275"/>
      <c r="AA363" s="2275"/>
      <c r="AB363" s="505"/>
      <c r="AC363" s="2275"/>
      <c r="AD363" s="2275"/>
      <c r="AE363" s="2275"/>
      <c r="AF363" s="505"/>
      <c r="AG363" s="2275"/>
      <c r="AH363" s="2275"/>
      <c r="AI363" s="2319"/>
      <c r="AJ363" s="2251">
        <f t="shared" ref="AJ363:AJ396" si="108">ROUNDDOWN(SUM(Q363:AI363),-1)</f>
        <v>0</v>
      </c>
      <c r="AK363" s="2252"/>
      <c r="AL363" s="2253"/>
      <c r="AM363" s="2265">
        <v>1</v>
      </c>
      <c r="AN363" s="2266"/>
      <c r="AO363" s="2267"/>
      <c r="AP363" s="2251">
        <f t="shared" ref="AP363:AP396" si="109">INT(AJ363*AM363)</f>
        <v>0</v>
      </c>
      <c r="AQ363" s="2252"/>
      <c r="AR363" s="2253"/>
      <c r="AS363" s="2218"/>
      <c r="AT363" s="2219"/>
      <c r="AU363" s="2219"/>
      <c r="AV363" s="2220"/>
      <c r="AW363" s="2235">
        <f t="shared" ref="AW363:AW396" si="110">INT(AP363*AS363)</f>
        <v>0</v>
      </c>
      <c r="AX363" s="2236"/>
      <c r="AY363" s="2236"/>
      <c r="AZ363" s="2237"/>
      <c r="BA363" s="2200"/>
      <c r="BB363" s="956" t="b">
        <f ca="1">AW421=0</f>
        <v>1</v>
      </c>
    </row>
    <row r="364" spans="2:54" ht="13.5" customHeight="1">
      <c r="B364" s="2445"/>
      <c r="C364" s="2521"/>
      <c r="D364" s="2500"/>
      <c r="E364" s="124" t="s">
        <v>777</v>
      </c>
      <c r="F364" s="2210" t="s">
        <v>1319</v>
      </c>
      <c r="G364" s="2210"/>
      <c r="H364" s="2210"/>
      <c r="I364" s="2210"/>
      <c r="J364" s="2210"/>
      <c r="K364" s="2210"/>
      <c r="L364" s="2210"/>
      <c r="M364" s="2210"/>
      <c r="N364" s="2210"/>
      <c r="O364" s="2210"/>
      <c r="P364" s="2211"/>
      <c r="Q364" s="2257">
        <v>28235</v>
      </c>
      <c r="R364" s="2224"/>
      <c r="S364" s="2224"/>
      <c r="T364" s="508" t="s">
        <v>1292</v>
      </c>
      <c r="U364" s="2224">
        <v>15699</v>
      </c>
      <c r="V364" s="2224"/>
      <c r="W364" s="2224"/>
      <c r="X364" s="508" t="s">
        <v>779</v>
      </c>
      <c r="Y364" s="2224">
        <v>274</v>
      </c>
      <c r="Z364" s="2224"/>
      <c r="AA364" s="2224"/>
      <c r="AB364" s="508" t="s">
        <v>806</v>
      </c>
      <c r="AC364" s="2224"/>
      <c r="AD364" s="2224"/>
      <c r="AE364" s="2224"/>
      <c r="AF364" s="508" t="s">
        <v>806</v>
      </c>
      <c r="AG364" s="2224"/>
      <c r="AH364" s="2224"/>
      <c r="AI364" s="2226"/>
      <c r="AJ364" s="2209">
        <f>ROUNDDOWN(SUM(Q364:AI364),-1)</f>
        <v>44200</v>
      </c>
      <c r="AK364" s="2210"/>
      <c r="AL364" s="2211"/>
      <c r="AM364" s="2232">
        <v>1</v>
      </c>
      <c r="AN364" s="2233"/>
      <c r="AO364" s="2234"/>
      <c r="AP364" s="2209">
        <f>INT(AJ364*AM364)</f>
        <v>44200</v>
      </c>
      <c r="AQ364" s="2210"/>
      <c r="AR364" s="2211"/>
      <c r="AS364" s="2203">
        <f ca="1">SUMIF(見積拾!C$78:D$86,F364,見積拾!T$78:T$86)+
SUMIF(内壁・間仕切!A$85:AA$85,F364,内壁・間仕切!A$99:AA$99)+
SUMIF(内壁・間仕切!A$121:AA$121,F364,内壁・間仕切!A$135:AA$135)+
SUMIF(内壁・間仕切!A$157:AA$157,F364,内壁・間仕切!A$171:AA$171)+
SUMIF(内壁・間仕切!A$193:AA$193,F364,内壁・間仕切!A$207:AA$207)</f>
        <v>0</v>
      </c>
      <c r="AT364" s="2204"/>
      <c r="AU364" s="2204"/>
      <c r="AV364" s="2205"/>
      <c r="AW364" s="2238">
        <f ca="1">INT(AP364*AS364)</f>
        <v>0</v>
      </c>
      <c r="AX364" s="2239"/>
      <c r="AY364" s="2239"/>
      <c r="AZ364" s="2240"/>
      <c r="BA364" s="2200"/>
      <c r="BB364" s="956" t="b">
        <f ca="1">AW364&lt;&gt;0</f>
        <v>0</v>
      </c>
    </row>
    <row r="365" spans="2:54" ht="13.5" customHeight="1">
      <c r="B365" s="2445"/>
      <c r="C365" s="2521"/>
      <c r="D365" s="2500"/>
      <c r="E365" s="957" t="s">
        <v>777</v>
      </c>
      <c r="F365" s="2210" t="s">
        <v>1320</v>
      </c>
      <c r="G365" s="2210"/>
      <c r="H365" s="2210"/>
      <c r="I365" s="2210"/>
      <c r="J365" s="2210"/>
      <c r="K365" s="2210"/>
      <c r="L365" s="2210"/>
      <c r="M365" s="2210"/>
      <c r="N365" s="2210"/>
      <c r="O365" s="2210"/>
      <c r="P365" s="2211"/>
      <c r="Q365" s="2257">
        <v>18197</v>
      </c>
      <c r="R365" s="2224"/>
      <c r="S365" s="2224"/>
      <c r="T365" s="508" t="s">
        <v>1292</v>
      </c>
      <c r="U365" s="2224">
        <v>12129</v>
      </c>
      <c r="V365" s="2224"/>
      <c r="W365" s="2224"/>
      <c r="X365" s="508" t="s">
        <v>779</v>
      </c>
      <c r="Y365" s="2224">
        <v>870</v>
      </c>
      <c r="Z365" s="2224"/>
      <c r="AA365" s="2224"/>
      <c r="AB365" s="508" t="s">
        <v>806</v>
      </c>
      <c r="AC365" s="2224"/>
      <c r="AD365" s="2224"/>
      <c r="AE365" s="2224"/>
      <c r="AF365" s="508" t="s">
        <v>806</v>
      </c>
      <c r="AG365" s="2224"/>
      <c r="AH365" s="2224"/>
      <c r="AI365" s="2226"/>
      <c r="AJ365" s="2212">
        <f t="shared" si="108"/>
        <v>31190</v>
      </c>
      <c r="AK365" s="2213"/>
      <c r="AL365" s="2214"/>
      <c r="AM365" s="2215">
        <v>1</v>
      </c>
      <c r="AN365" s="2216"/>
      <c r="AO365" s="2217"/>
      <c r="AP365" s="2212">
        <f t="shared" si="109"/>
        <v>31190</v>
      </c>
      <c r="AQ365" s="2213"/>
      <c r="AR365" s="2214"/>
      <c r="AS365" s="2203">
        <f ca="1">SUMIF(見積拾!C$78:D$86,F365,見積拾!T$78:T$86)+
SUMIF(内壁・間仕切!A$85:AA$85,F365,内壁・間仕切!A$99:AA$99)+
SUMIF(内壁・間仕切!A$121:AA$121,F365,内壁・間仕切!A$135:AA$135)+
SUMIF(内壁・間仕切!A$157:AA$157,F365,内壁・間仕切!A$171:AA$171)+
SUMIF(内壁・間仕切!A$193:AA$193,F365,内壁・間仕切!A$207:AA$207)</f>
        <v>0</v>
      </c>
      <c r="AT365" s="2204"/>
      <c r="AU365" s="2204"/>
      <c r="AV365" s="2205"/>
      <c r="AW365" s="2206">
        <f t="shared" ca="1" si="110"/>
        <v>0</v>
      </c>
      <c r="AX365" s="2207"/>
      <c r="AY365" s="2207"/>
      <c r="AZ365" s="2208"/>
      <c r="BA365" s="2200"/>
      <c r="BB365" s="956" t="b">
        <f t="shared" ref="BB365:BB396" ca="1" si="111">AW365&lt;&gt;0</f>
        <v>0</v>
      </c>
    </row>
    <row r="366" spans="2:54" ht="13.5" customHeight="1">
      <c r="B366" s="2445"/>
      <c r="C366" s="2521"/>
      <c r="D366" s="2500"/>
      <c r="E366" s="124" t="s">
        <v>777</v>
      </c>
      <c r="F366" s="2210" t="s">
        <v>1321</v>
      </c>
      <c r="G366" s="2210"/>
      <c r="H366" s="2210"/>
      <c r="I366" s="2210"/>
      <c r="J366" s="2210"/>
      <c r="K366" s="2210"/>
      <c r="L366" s="2210"/>
      <c r="M366" s="2210"/>
      <c r="N366" s="2210"/>
      <c r="O366" s="2210"/>
      <c r="P366" s="2211"/>
      <c r="Q366" s="2257">
        <v>8829</v>
      </c>
      <c r="R366" s="2224"/>
      <c r="S366" s="2224"/>
      <c r="T366" s="508" t="s">
        <v>1292</v>
      </c>
      <c r="U366" s="2224">
        <v>12129</v>
      </c>
      <c r="V366" s="2224"/>
      <c r="W366" s="2224"/>
      <c r="X366" s="508" t="s">
        <v>779</v>
      </c>
      <c r="Y366" s="2224">
        <v>870</v>
      </c>
      <c r="Z366" s="2224"/>
      <c r="AA366" s="2224"/>
      <c r="AB366" s="508" t="s">
        <v>806</v>
      </c>
      <c r="AC366" s="2224"/>
      <c r="AD366" s="2224"/>
      <c r="AE366" s="2224"/>
      <c r="AF366" s="508" t="s">
        <v>806</v>
      </c>
      <c r="AG366" s="2224"/>
      <c r="AH366" s="2224"/>
      <c r="AI366" s="2226"/>
      <c r="AJ366" s="2212">
        <f t="shared" si="108"/>
        <v>21820</v>
      </c>
      <c r="AK366" s="2213"/>
      <c r="AL366" s="2214"/>
      <c r="AM366" s="2215">
        <v>1</v>
      </c>
      <c r="AN366" s="2216"/>
      <c r="AO366" s="2217"/>
      <c r="AP366" s="2212">
        <f t="shared" si="109"/>
        <v>21820</v>
      </c>
      <c r="AQ366" s="2213"/>
      <c r="AR366" s="2214"/>
      <c r="AS366" s="2203">
        <f ca="1">SUMIF(見積拾!C$78:D$86,F366,見積拾!T$78:T$86)+
SUMIF(内壁・間仕切!A$85:AA$85,F366,内壁・間仕切!A$99:AA$99)+
SUMIF(内壁・間仕切!A$121:AA$121,F366,内壁・間仕切!A$135:AA$135)+
SUMIF(内壁・間仕切!A$157:AA$157,F366,内壁・間仕切!A$171:AA$171)+
SUMIF(内壁・間仕切!A$193:AA$193,F366,内壁・間仕切!A$207:AA$207)</f>
        <v>0</v>
      </c>
      <c r="AT366" s="2204"/>
      <c r="AU366" s="2204"/>
      <c r="AV366" s="2205"/>
      <c r="AW366" s="2206">
        <f t="shared" ca="1" si="110"/>
        <v>0</v>
      </c>
      <c r="AX366" s="2207"/>
      <c r="AY366" s="2207"/>
      <c r="AZ366" s="2208"/>
      <c r="BA366" s="2200"/>
      <c r="BB366" s="956" t="b">
        <f t="shared" ca="1" si="111"/>
        <v>0</v>
      </c>
    </row>
    <row r="367" spans="2:54" ht="13.5" customHeight="1">
      <c r="B367" s="2445"/>
      <c r="C367" s="2521"/>
      <c r="D367" s="2500"/>
      <c r="E367" s="957" t="s">
        <v>777</v>
      </c>
      <c r="F367" s="2210" t="s">
        <v>1322</v>
      </c>
      <c r="G367" s="2210"/>
      <c r="H367" s="2210"/>
      <c r="I367" s="2210"/>
      <c r="J367" s="2210"/>
      <c r="K367" s="2210"/>
      <c r="L367" s="2210"/>
      <c r="M367" s="2210"/>
      <c r="N367" s="2210"/>
      <c r="O367" s="2210"/>
      <c r="P367" s="2211"/>
      <c r="Q367" s="2257">
        <v>2806</v>
      </c>
      <c r="R367" s="2224"/>
      <c r="S367" s="2224"/>
      <c r="T367" s="508" t="s">
        <v>1292</v>
      </c>
      <c r="U367" s="2224">
        <v>12129</v>
      </c>
      <c r="V367" s="2224"/>
      <c r="W367" s="2224"/>
      <c r="X367" s="508" t="s">
        <v>779</v>
      </c>
      <c r="Y367" s="2224">
        <v>870</v>
      </c>
      <c r="Z367" s="2224"/>
      <c r="AA367" s="2224"/>
      <c r="AB367" s="508" t="s">
        <v>806</v>
      </c>
      <c r="AC367" s="2224"/>
      <c r="AD367" s="2224"/>
      <c r="AE367" s="2224"/>
      <c r="AF367" s="508" t="s">
        <v>806</v>
      </c>
      <c r="AG367" s="2224"/>
      <c r="AH367" s="2224"/>
      <c r="AI367" s="2226"/>
      <c r="AJ367" s="2212">
        <f t="shared" si="108"/>
        <v>15800</v>
      </c>
      <c r="AK367" s="2213"/>
      <c r="AL367" s="2214"/>
      <c r="AM367" s="2215">
        <v>1</v>
      </c>
      <c r="AN367" s="2216"/>
      <c r="AO367" s="2217"/>
      <c r="AP367" s="2209">
        <f t="shared" si="109"/>
        <v>15800</v>
      </c>
      <c r="AQ367" s="2210"/>
      <c r="AR367" s="2211"/>
      <c r="AS367" s="2203">
        <f ca="1">SUMIF(見積拾!C$78:D$86,F367,見積拾!T$78:T$86)+
SUMIF(内壁・間仕切!A$85:AA$85,F367,内壁・間仕切!A$99:AA$99)+
SUMIF(内壁・間仕切!A$121:AA$121,F367,内壁・間仕切!A$135:AA$135)+
SUMIF(内壁・間仕切!A$157:AA$157,F367,内壁・間仕切!A$171:AA$171)+
SUMIF(内壁・間仕切!A$193:AA$193,F367,内壁・間仕切!A$207:AA$207)</f>
        <v>0</v>
      </c>
      <c r="AT367" s="2204"/>
      <c r="AU367" s="2204"/>
      <c r="AV367" s="2205"/>
      <c r="AW367" s="2206">
        <f t="shared" ca="1" si="110"/>
        <v>0</v>
      </c>
      <c r="AX367" s="2207"/>
      <c r="AY367" s="2207"/>
      <c r="AZ367" s="2208"/>
      <c r="BA367" s="2200"/>
      <c r="BB367" s="956" t="b">
        <f t="shared" ca="1" si="111"/>
        <v>0</v>
      </c>
    </row>
    <row r="368" spans="2:54" ht="13.5" customHeight="1">
      <c r="B368" s="2445"/>
      <c r="C368" s="2521"/>
      <c r="D368" s="2500"/>
      <c r="E368" s="957" t="s">
        <v>777</v>
      </c>
      <c r="F368" s="2210" t="s">
        <v>1108</v>
      </c>
      <c r="G368" s="2210"/>
      <c r="H368" s="2210"/>
      <c r="I368" s="2210"/>
      <c r="J368" s="2210"/>
      <c r="K368" s="2210"/>
      <c r="L368" s="2210"/>
      <c r="M368" s="2210"/>
      <c r="N368" s="2210"/>
      <c r="O368" s="2210"/>
      <c r="P368" s="2211"/>
      <c r="Q368" s="2257">
        <v>3600</v>
      </c>
      <c r="R368" s="2224"/>
      <c r="S368" s="2224"/>
      <c r="T368" s="508" t="s">
        <v>1292</v>
      </c>
      <c r="U368" s="2225" t="s">
        <v>1031</v>
      </c>
      <c r="V368" s="2225"/>
      <c r="W368" s="2225"/>
      <c r="X368" s="508" t="s">
        <v>779</v>
      </c>
      <c r="Y368" s="2225" t="s">
        <v>1032</v>
      </c>
      <c r="Z368" s="2225"/>
      <c r="AA368" s="2225"/>
      <c r="AB368" s="508" t="s">
        <v>40</v>
      </c>
      <c r="AC368" s="2224"/>
      <c r="AD368" s="2224"/>
      <c r="AE368" s="2224"/>
      <c r="AF368" s="508" t="s">
        <v>40</v>
      </c>
      <c r="AG368" s="2224"/>
      <c r="AH368" s="2224"/>
      <c r="AI368" s="2226"/>
      <c r="AJ368" s="2212">
        <f t="shared" si="108"/>
        <v>3600</v>
      </c>
      <c r="AK368" s="2213"/>
      <c r="AL368" s="2214"/>
      <c r="AM368" s="2215">
        <v>1</v>
      </c>
      <c r="AN368" s="2216"/>
      <c r="AO368" s="2217"/>
      <c r="AP368" s="2209">
        <f t="shared" si="109"/>
        <v>3600</v>
      </c>
      <c r="AQ368" s="2210"/>
      <c r="AR368" s="2211"/>
      <c r="AS368" s="2203">
        <f ca="1">SUMIF(見積拾!C$78:D$86,F368,見積拾!T$78:T$86)+
SUMIF(内壁・間仕切!A$85:AA$85,F368,内壁・間仕切!A$99:AA$99)+
SUMIF(内壁・間仕切!A$121:AA$121,F368,内壁・間仕切!A$135:AA$135)+
SUMIF(内壁・間仕切!A$157:AA$157,F368,内壁・間仕切!A$171:AA$171)+
SUMIF(内壁・間仕切!A$193:AA$193,F368,内壁・間仕切!A$207:AA$207)</f>
        <v>0</v>
      </c>
      <c r="AT368" s="2204"/>
      <c r="AU368" s="2204"/>
      <c r="AV368" s="2205"/>
      <c r="AW368" s="2206">
        <f t="shared" ca="1" si="110"/>
        <v>0</v>
      </c>
      <c r="AX368" s="2207"/>
      <c r="AY368" s="2207"/>
      <c r="AZ368" s="2208"/>
      <c r="BA368" s="2200"/>
      <c r="BB368" s="956" t="b">
        <f t="shared" ca="1" si="111"/>
        <v>0</v>
      </c>
    </row>
    <row r="369" spans="2:54" ht="13.5" customHeight="1">
      <c r="B369" s="2445"/>
      <c r="C369" s="2521"/>
      <c r="D369" s="2500"/>
      <c r="E369" s="957" t="s">
        <v>777</v>
      </c>
      <c r="F369" s="2210" t="s">
        <v>1348</v>
      </c>
      <c r="G369" s="2210"/>
      <c r="H369" s="2210"/>
      <c r="I369" s="2210"/>
      <c r="J369" s="2210"/>
      <c r="K369" s="2210"/>
      <c r="L369" s="2210"/>
      <c r="M369" s="2210"/>
      <c r="N369" s="2210"/>
      <c r="O369" s="2210"/>
      <c r="P369" s="2211"/>
      <c r="Q369" s="2257">
        <v>5477</v>
      </c>
      <c r="R369" s="2224"/>
      <c r="S369" s="2224"/>
      <c r="T369" s="508" t="s">
        <v>1292</v>
      </c>
      <c r="U369" s="2225" t="s">
        <v>1031</v>
      </c>
      <c r="V369" s="2225"/>
      <c r="W369" s="2225"/>
      <c r="X369" s="508" t="s">
        <v>779</v>
      </c>
      <c r="Y369" s="2225" t="s">
        <v>1032</v>
      </c>
      <c r="Z369" s="2225"/>
      <c r="AA369" s="2225"/>
      <c r="AB369" s="508" t="s">
        <v>40</v>
      </c>
      <c r="AC369" s="2224"/>
      <c r="AD369" s="2224"/>
      <c r="AE369" s="2224"/>
      <c r="AF369" s="508" t="s">
        <v>40</v>
      </c>
      <c r="AG369" s="2224"/>
      <c r="AH369" s="2224"/>
      <c r="AI369" s="2226"/>
      <c r="AJ369" s="2212">
        <f t="shared" si="108"/>
        <v>5470</v>
      </c>
      <c r="AK369" s="2213"/>
      <c r="AL369" s="2214"/>
      <c r="AM369" s="2215">
        <v>1</v>
      </c>
      <c r="AN369" s="2216"/>
      <c r="AO369" s="2217"/>
      <c r="AP369" s="2209">
        <f t="shared" si="109"/>
        <v>5470</v>
      </c>
      <c r="AQ369" s="2210"/>
      <c r="AR369" s="2211"/>
      <c r="AS369" s="2203">
        <f ca="1">SUMIF(見積拾!C$78:D$86,F369,見積拾!T$78:T$86)+
SUMIF(内壁・間仕切!A$85:AA$85,F369,内壁・間仕切!A$99:AA$99)+
SUMIF(内壁・間仕切!A$121:AA$121,F369,内壁・間仕切!A$135:AA$135)+
SUMIF(内壁・間仕切!A$157:AA$157,F369,内壁・間仕切!A$171:AA$171)+
SUMIF(内壁・間仕切!A$193:AA$193,F369,内壁・間仕切!A$207:AA$207)</f>
        <v>0</v>
      </c>
      <c r="AT369" s="2204"/>
      <c r="AU369" s="2204"/>
      <c r="AV369" s="2205"/>
      <c r="AW369" s="2206">
        <f t="shared" ca="1" si="110"/>
        <v>0</v>
      </c>
      <c r="AX369" s="2207"/>
      <c r="AY369" s="2207"/>
      <c r="AZ369" s="2208"/>
      <c r="BA369" s="2200"/>
      <c r="BB369" s="956" t="b">
        <f t="shared" ca="1" si="111"/>
        <v>0</v>
      </c>
    </row>
    <row r="370" spans="2:54" ht="13.5" customHeight="1">
      <c r="B370" s="2445"/>
      <c r="C370" s="2521"/>
      <c r="D370" s="2500"/>
      <c r="E370" s="957" t="s">
        <v>777</v>
      </c>
      <c r="F370" s="2210" t="s">
        <v>1323</v>
      </c>
      <c r="G370" s="2210"/>
      <c r="H370" s="2210"/>
      <c r="I370" s="2210"/>
      <c r="J370" s="2210"/>
      <c r="K370" s="2210"/>
      <c r="L370" s="2210"/>
      <c r="M370" s="2210"/>
      <c r="N370" s="2210"/>
      <c r="O370" s="2210"/>
      <c r="P370" s="2211"/>
      <c r="Q370" s="2315" t="s">
        <v>5686</v>
      </c>
      <c r="R370" s="2225"/>
      <c r="S370" s="2225"/>
      <c r="T370" s="508" t="s">
        <v>1292</v>
      </c>
      <c r="U370" s="2224">
        <v>4798</v>
      </c>
      <c r="V370" s="2224"/>
      <c r="W370" s="2224"/>
      <c r="X370" s="508" t="s">
        <v>779</v>
      </c>
      <c r="Y370" s="2224">
        <v>389</v>
      </c>
      <c r="Z370" s="2224"/>
      <c r="AA370" s="2224"/>
      <c r="AB370" s="508" t="s">
        <v>40</v>
      </c>
      <c r="AC370" s="2224"/>
      <c r="AD370" s="2224"/>
      <c r="AE370" s="2224"/>
      <c r="AF370" s="508" t="s">
        <v>40</v>
      </c>
      <c r="AG370" s="2224"/>
      <c r="AH370" s="2224"/>
      <c r="AI370" s="2226"/>
      <c r="AJ370" s="2212">
        <f t="shared" si="108"/>
        <v>5180</v>
      </c>
      <c r="AK370" s="2213"/>
      <c r="AL370" s="2214"/>
      <c r="AM370" s="2215">
        <v>1</v>
      </c>
      <c r="AN370" s="2216"/>
      <c r="AO370" s="2217"/>
      <c r="AP370" s="2209">
        <f t="shared" si="109"/>
        <v>5180</v>
      </c>
      <c r="AQ370" s="2210"/>
      <c r="AR370" s="2211"/>
      <c r="AS370" s="2203">
        <f ca="1">SUMIF(見積拾!C$78:D$86,F370,見積拾!T$78:T$86)+
SUMIF(内壁・間仕切!A$85:AA$85,F370,内壁・間仕切!A$99:AA$99)+
SUMIF(内壁・間仕切!A$121:AA$121,F370,内壁・間仕切!A$135:AA$135)+
SUMIF(内壁・間仕切!A$157:AA$157,F370,内壁・間仕切!A$171:AA$171)+
SUMIF(内壁・間仕切!A$193:AA$193,F370,内壁・間仕切!A$207:AA$207)</f>
        <v>0</v>
      </c>
      <c r="AT370" s="2204"/>
      <c r="AU370" s="2204"/>
      <c r="AV370" s="2205"/>
      <c r="AW370" s="2206">
        <f t="shared" ca="1" si="110"/>
        <v>0</v>
      </c>
      <c r="AX370" s="2207"/>
      <c r="AY370" s="2207"/>
      <c r="AZ370" s="2208"/>
      <c r="BA370" s="2200"/>
      <c r="BB370" s="956" t="b">
        <f t="shared" ca="1" si="111"/>
        <v>0</v>
      </c>
    </row>
    <row r="371" spans="2:54" ht="13.5" customHeight="1">
      <c r="B371" s="2445"/>
      <c r="C371" s="2521"/>
      <c r="D371" s="2500"/>
      <c r="E371" s="957" t="s">
        <v>777</v>
      </c>
      <c r="F371" s="2210" t="s">
        <v>1324</v>
      </c>
      <c r="G371" s="2210"/>
      <c r="H371" s="2210"/>
      <c r="I371" s="2210"/>
      <c r="J371" s="2210"/>
      <c r="K371" s="2210"/>
      <c r="L371" s="2210"/>
      <c r="M371" s="2210"/>
      <c r="N371" s="2210"/>
      <c r="O371" s="2210"/>
      <c r="P371" s="2211"/>
      <c r="Q371" s="2315" t="s">
        <v>5686</v>
      </c>
      <c r="R371" s="2225"/>
      <c r="S371" s="2225"/>
      <c r="T371" s="508" t="s">
        <v>1292</v>
      </c>
      <c r="U371" s="2224">
        <v>3890</v>
      </c>
      <c r="V371" s="2224"/>
      <c r="W371" s="2224"/>
      <c r="X371" s="508" t="s">
        <v>779</v>
      </c>
      <c r="Y371" s="2224">
        <v>339</v>
      </c>
      <c r="Z371" s="2224"/>
      <c r="AA371" s="2224"/>
      <c r="AB371" s="508" t="s">
        <v>40</v>
      </c>
      <c r="AC371" s="2224"/>
      <c r="AD371" s="2224"/>
      <c r="AE371" s="2224"/>
      <c r="AF371" s="508" t="s">
        <v>40</v>
      </c>
      <c r="AG371" s="2224"/>
      <c r="AH371" s="2224"/>
      <c r="AI371" s="2226"/>
      <c r="AJ371" s="2212">
        <f t="shared" si="108"/>
        <v>4220</v>
      </c>
      <c r="AK371" s="2213"/>
      <c r="AL371" s="2214"/>
      <c r="AM371" s="2215">
        <v>1</v>
      </c>
      <c r="AN371" s="2216"/>
      <c r="AO371" s="2217"/>
      <c r="AP371" s="2209">
        <f t="shared" si="109"/>
        <v>4220</v>
      </c>
      <c r="AQ371" s="2210"/>
      <c r="AR371" s="2211"/>
      <c r="AS371" s="2203">
        <f ca="1">SUMIF(見積拾!C$78:D$86,F371,見積拾!T$78:T$86)+
SUMIF(内壁・間仕切!A$85:AA$85,F371,内壁・間仕切!A$99:AA$99)+
SUMIF(内壁・間仕切!A$121:AA$121,F371,内壁・間仕切!A$135:AA$135)+
SUMIF(内壁・間仕切!A$157:AA$157,F371,内壁・間仕切!A$171:AA$171)+
SUMIF(内壁・間仕切!A$193:AA$193,F371,内壁・間仕切!A$207:AA$207)</f>
        <v>0</v>
      </c>
      <c r="AT371" s="2204"/>
      <c r="AU371" s="2204"/>
      <c r="AV371" s="2205"/>
      <c r="AW371" s="2206">
        <f t="shared" ca="1" si="110"/>
        <v>0</v>
      </c>
      <c r="AX371" s="2207"/>
      <c r="AY371" s="2207"/>
      <c r="AZ371" s="2208"/>
      <c r="BA371" s="2200"/>
      <c r="BB371" s="956" t="b">
        <f t="shared" ca="1" si="111"/>
        <v>0</v>
      </c>
    </row>
    <row r="372" spans="2:54" ht="13.5" customHeight="1">
      <c r="B372" s="2445"/>
      <c r="C372" s="2521"/>
      <c r="D372" s="2500"/>
      <c r="E372" s="957" t="s">
        <v>777</v>
      </c>
      <c r="F372" s="2210" t="s">
        <v>1349</v>
      </c>
      <c r="G372" s="2210"/>
      <c r="H372" s="2210"/>
      <c r="I372" s="2210"/>
      <c r="J372" s="2210"/>
      <c r="K372" s="2210"/>
      <c r="L372" s="2210"/>
      <c r="M372" s="2210"/>
      <c r="N372" s="2210"/>
      <c r="O372" s="2210"/>
      <c r="P372" s="2211"/>
      <c r="Q372" s="2257">
        <v>7170</v>
      </c>
      <c r="R372" s="2224"/>
      <c r="S372" s="2224"/>
      <c r="T372" s="508" t="s">
        <v>1292</v>
      </c>
      <c r="U372" s="2225" t="s">
        <v>1031</v>
      </c>
      <c r="V372" s="2225"/>
      <c r="W372" s="2225"/>
      <c r="X372" s="508" t="s">
        <v>779</v>
      </c>
      <c r="Y372" s="2224">
        <v>472</v>
      </c>
      <c r="Z372" s="2224"/>
      <c r="AA372" s="2224"/>
      <c r="AB372" s="508" t="s">
        <v>40</v>
      </c>
      <c r="AC372" s="2224"/>
      <c r="AD372" s="2224"/>
      <c r="AE372" s="2224"/>
      <c r="AF372" s="508" t="s">
        <v>40</v>
      </c>
      <c r="AG372" s="2224"/>
      <c r="AH372" s="2224"/>
      <c r="AI372" s="2226"/>
      <c r="AJ372" s="2212">
        <f t="shared" si="108"/>
        <v>7640</v>
      </c>
      <c r="AK372" s="2213"/>
      <c r="AL372" s="2214"/>
      <c r="AM372" s="2215">
        <v>1</v>
      </c>
      <c r="AN372" s="2216"/>
      <c r="AO372" s="2217"/>
      <c r="AP372" s="2209">
        <f t="shared" si="109"/>
        <v>7640</v>
      </c>
      <c r="AQ372" s="2210"/>
      <c r="AR372" s="2211"/>
      <c r="AS372" s="2203">
        <f ca="1">SUMIF(見積拾!C$78:D$86,F372,見積拾!T$78:T$86)+
SUMIF(内壁・間仕切!A$85:AA$85,F372,内壁・間仕切!A$99:AA$99)+
SUMIF(内壁・間仕切!A$121:AA$121,F372,内壁・間仕切!A$135:AA$135)+
SUMIF(内壁・間仕切!A$157:AA$157,F372,内壁・間仕切!A$171:AA$171)+
SUMIF(内壁・間仕切!A$193:AA$193,F372,内壁・間仕切!A$207:AA$207)</f>
        <v>0</v>
      </c>
      <c r="AT372" s="2204"/>
      <c r="AU372" s="2204"/>
      <c r="AV372" s="2205"/>
      <c r="AW372" s="2206">
        <f t="shared" ca="1" si="110"/>
        <v>0</v>
      </c>
      <c r="AX372" s="2207"/>
      <c r="AY372" s="2207"/>
      <c r="AZ372" s="2208"/>
      <c r="BA372" s="2200"/>
      <c r="BB372" s="956" t="b">
        <f t="shared" ca="1" si="111"/>
        <v>0</v>
      </c>
    </row>
    <row r="373" spans="2:54" ht="13.5" customHeight="1">
      <c r="B373" s="2445"/>
      <c r="C373" s="2521"/>
      <c r="D373" s="2500"/>
      <c r="E373" s="957" t="s">
        <v>777</v>
      </c>
      <c r="F373" s="2210" t="s">
        <v>1350</v>
      </c>
      <c r="G373" s="2210"/>
      <c r="H373" s="2210"/>
      <c r="I373" s="2210"/>
      <c r="J373" s="2210"/>
      <c r="K373" s="2210"/>
      <c r="L373" s="2210"/>
      <c r="M373" s="2210"/>
      <c r="N373" s="2210"/>
      <c r="O373" s="2210"/>
      <c r="P373" s="2211"/>
      <c r="Q373" s="2257">
        <v>5540</v>
      </c>
      <c r="R373" s="2224"/>
      <c r="S373" s="2224"/>
      <c r="T373" s="508" t="s">
        <v>1292</v>
      </c>
      <c r="U373" s="2225" t="s">
        <v>1031</v>
      </c>
      <c r="V373" s="2225"/>
      <c r="W373" s="2225"/>
      <c r="X373" s="508" t="s">
        <v>779</v>
      </c>
      <c r="Y373" s="2224">
        <v>472</v>
      </c>
      <c r="Z373" s="2224"/>
      <c r="AA373" s="2224"/>
      <c r="AB373" s="508" t="s">
        <v>785</v>
      </c>
      <c r="AC373" s="2224"/>
      <c r="AD373" s="2224"/>
      <c r="AE373" s="2224"/>
      <c r="AF373" s="508" t="s">
        <v>785</v>
      </c>
      <c r="AG373" s="2224"/>
      <c r="AH373" s="2224"/>
      <c r="AI373" s="2226"/>
      <c r="AJ373" s="2212">
        <f t="shared" si="108"/>
        <v>6010</v>
      </c>
      <c r="AK373" s="2213"/>
      <c r="AL373" s="2214"/>
      <c r="AM373" s="2215">
        <v>1</v>
      </c>
      <c r="AN373" s="2216"/>
      <c r="AO373" s="2217"/>
      <c r="AP373" s="2209">
        <f t="shared" si="109"/>
        <v>6010</v>
      </c>
      <c r="AQ373" s="2210"/>
      <c r="AR373" s="2211"/>
      <c r="AS373" s="2203">
        <f ca="1">SUMIF(見積拾!C$78:D$86,F373,見積拾!T$78:T$86)+
SUMIF(内壁・間仕切!A$85:AA$85,F373,内壁・間仕切!A$99:AA$99)+
SUMIF(内壁・間仕切!A$121:AA$121,F373,内壁・間仕切!A$135:AA$135)+
SUMIF(内壁・間仕切!A$157:AA$157,F373,内壁・間仕切!A$171:AA$171)+
SUMIF(内壁・間仕切!A$193:AA$193,F373,内壁・間仕切!A$207:AA$207)</f>
        <v>0</v>
      </c>
      <c r="AT373" s="2204"/>
      <c r="AU373" s="2204"/>
      <c r="AV373" s="2205"/>
      <c r="AW373" s="2206">
        <f t="shared" ca="1" si="110"/>
        <v>0</v>
      </c>
      <c r="AX373" s="2207"/>
      <c r="AY373" s="2207"/>
      <c r="AZ373" s="2208"/>
      <c r="BA373" s="2200"/>
      <c r="BB373" s="956" t="b">
        <f t="shared" ca="1" si="111"/>
        <v>0</v>
      </c>
    </row>
    <row r="374" spans="2:54" ht="13.5" customHeight="1">
      <c r="B374" s="2445"/>
      <c r="C374" s="2521"/>
      <c r="D374" s="2500"/>
      <c r="E374" s="957" t="s">
        <v>777</v>
      </c>
      <c r="F374" s="2210" t="s">
        <v>1539</v>
      </c>
      <c r="G374" s="2210"/>
      <c r="H374" s="2210"/>
      <c r="I374" s="2210"/>
      <c r="J374" s="2210"/>
      <c r="K374" s="2210"/>
      <c r="L374" s="2210"/>
      <c r="M374" s="2210"/>
      <c r="N374" s="2210"/>
      <c r="O374" s="2210"/>
      <c r="P374" s="2211"/>
      <c r="Q374" s="2257">
        <v>550</v>
      </c>
      <c r="R374" s="2224"/>
      <c r="S374" s="2224"/>
      <c r="T374" s="508" t="s">
        <v>1292</v>
      </c>
      <c r="U374" s="2224">
        <v>3492</v>
      </c>
      <c r="V374" s="2224"/>
      <c r="W374" s="2224"/>
      <c r="X374" s="508" t="s">
        <v>779</v>
      </c>
      <c r="Y374" s="2224">
        <v>1104</v>
      </c>
      <c r="Z374" s="2224"/>
      <c r="AA374" s="2224"/>
      <c r="AB374" s="508" t="s">
        <v>785</v>
      </c>
      <c r="AC374" s="2224"/>
      <c r="AD374" s="2224"/>
      <c r="AE374" s="2224"/>
      <c r="AF374" s="508" t="s">
        <v>785</v>
      </c>
      <c r="AG374" s="2224"/>
      <c r="AH374" s="2224"/>
      <c r="AI374" s="2226"/>
      <c r="AJ374" s="2212">
        <f t="shared" si="108"/>
        <v>5140</v>
      </c>
      <c r="AK374" s="2213"/>
      <c r="AL374" s="2214"/>
      <c r="AM374" s="2215">
        <v>1</v>
      </c>
      <c r="AN374" s="2216"/>
      <c r="AO374" s="2217"/>
      <c r="AP374" s="2209">
        <f t="shared" si="109"/>
        <v>5140</v>
      </c>
      <c r="AQ374" s="2210"/>
      <c r="AR374" s="2211"/>
      <c r="AS374" s="2203">
        <f ca="1">SUMIF(見積拾!C$78:D$86,F374,見積拾!T$78:T$86)+
SUMIF(内壁・間仕切!A$85:AA$85,F374,内壁・間仕切!A$99:AA$99)+
SUMIF(内壁・間仕切!A$121:AA$121,F374,内壁・間仕切!A$135:AA$135)+
SUMIF(内壁・間仕切!A$157:AA$157,F374,内壁・間仕切!A$171:AA$171)+
SUMIF(内壁・間仕切!A$193:AA$193,F374,内壁・間仕切!A$207:AA$207)</f>
        <v>0</v>
      </c>
      <c r="AT374" s="2204"/>
      <c r="AU374" s="2204"/>
      <c r="AV374" s="2205"/>
      <c r="AW374" s="2206">
        <f t="shared" ca="1" si="110"/>
        <v>0</v>
      </c>
      <c r="AX374" s="2207"/>
      <c r="AY374" s="2207"/>
      <c r="AZ374" s="2208"/>
      <c r="BA374" s="2200"/>
      <c r="BB374" s="956" t="b">
        <f t="shared" ca="1" si="111"/>
        <v>0</v>
      </c>
    </row>
    <row r="375" spans="2:54" ht="13.5" customHeight="1">
      <c r="B375" s="2445"/>
      <c r="C375" s="2521"/>
      <c r="D375" s="2500"/>
      <c r="E375" s="957" t="s">
        <v>777</v>
      </c>
      <c r="F375" s="2210" t="s">
        <v>1545</v>
      </c>
      <c r="G375" s="2210"/>
      <c r="H375" s="2210"/>
      <c r="I375" s="2210"/>
      <c r="J375" s="2210"/>
      <c r="K375" s="2210"/>
      <c r="L375" s="2210"/>
      <c r="M375" s="2210"/>
      <c r="N375" s="2210"/>
      <c r="O375" s="2210"/>
      <c r="P375" s="2211"/>
      <c r="Q375" s="2257">
        <v>860</v>
      </c>
      <c r="R375" s="2224"/>
      <c r="S375" s="2224"/>
      <c r="T375" s="508" t="s">
        <v>1292</v>
      </c>
      <c r="U375" s="2224">
        <v>3492</v>
      </c>
      <c r="V375" s="2224"/>
      <c r="W375" s="2224"/>
      <c r="X375" s="508" t="s">
        <v>779</v>
      </c>
      <c r="Y375" s="2224">
        <v>1104</v>
      </c>
      <c r="Z375" s="2224"/>
      <c r="AA375" s="2224"/>
      <c r="AB375" s="508" t="s">
        <v>785</v>
      </c>
      <c r="AC375" s="2224"/>
      <c r="AD375" s="2224"/>
      <c r="AE375" s="2224"/>
      <c r="AF375" s="508" t="s">
        <v>785</v>
      </c>
      <c r="AG375" s="2224"/>
      <c r="AH375" s="2224"/>
      <c r="AI375" s="2226"/>
      <c r="AJ375" s="2212">
        <f t="shared" si="108"/>
        <v>5450</v>
      </c>
      <c r="AK375" s="2213"/>
      <c r="AL375" s="2214"/>
      <c r="AM375" s="2215">
        <v>1</v>
      </c>
      <c r="AN375" s="2216"/>
      <c r="AO375" s="2217"/>
      <c r="AP375" s="2209">
        <f t="shared" si="109"/>
        <v>5450</v>
      </c>
      <c r="AQ375" s="2210"/>
      <c r="AR375" s="2211"/>
      <c r="AS375" s="2203">
        <f ca="1">SUMIF(見積拾!C$78:D$86,F375,見積拾!T$78:T$86)+
SUMIF(内壁・間仕切!A$85:AA$85,F375,内壁・間仕切!A$99:AA$99)+
SUMIF(内壁・間仕切!A$121:AA$121,F375,内壁・間仕切!A$135:AA$135)+
SUMIF(内壁・間仕切!A$157:AA$157,F375,内壁・間仕切!A$171:AA$171)+
SUMIF(内壁・間仕切!A$193:AA$193,F375,内壁・間仕切!A$207:AA$207)</f>
        <v>0</v>
      </c>
      <c r="AT375" s="2204"/>
      <c r="AU375" s="2204"/>
      <c r="AV375" s="2205"/>
      <c r="AW375" s="2206">
        <f t="shared" ca="1" si="110"/>
        <v>0</v>
      </c>
      <c r="AX375" s="2207"/>
      <c r="AY375" s="2207"/>
      <c r="AZ375" s="2208"/>
      <c r="BA375" s="2200"/>
      <c r="BB375" s="956" t="b">
        <f t="shared" ca="1" si="111"/>
        <v>0</v>
      </c>
    </row>
    <row r="376" spans="2:54" ht="13.5" customHeight="1">
      <c r="B376" s="2445"/>
      <c r="C376" s="2521"/>
      <c r="D376" s="2500"/>
      <c r="E376" s="957" t="s">
        <v>777</v>
      </c>
      <c r="F376" s="2210" t="s">
        <v>1546</v>
      </c>
      <c r="G376" s="2210"/>
      <c r="H376" s="2210"/>
      <c r="I376" s="2210"/>
      <c r="J376" s="2210"/>
      <c r="K376" s="2210"/>
      <c r="L376" s="2210"/>
      <c r="M376" s="2210"/>
      <c r="N376" s="2210"/>
      <c r="O376" s="2210"/>
      <c r="P376" s="2211"/>
      <c r="Q376" s="2257">
        <v>22500</v>
      </c>
      <c r="R376" s="2224"/>
      <c r="S376" s="2224"/>
      <c r="T376" s="508" t="s">
        <v>1292</v>
      </c>
      <c r="U376" s="2224">
        <v>9021</v>
      </c>
      <c r="V376" s="2224"/>
      <c r="W376" s="2224"/>
      <c r="X376" s="508" t="s">
        <v>779</v>
      </c>
      <c r="Y376" s="2224">
        <v>1104</v>
      </c>
      <c r="Z376" s="2224"/>
      <c r="AA376" s="2224"/>
      <c r="AB376" s="508" t="s">
        <v>785</v>
      </c>
      <c r="AC376" s="2224"/>
      <c r="AD376" s="2224"/>
      <c r="AE376" s="2224"/>
      <c r="AF376" s="508" t="s">
        <v>785</v>
      </c>
      <c r="AG376" s="2224"/>
      <c r="AH376" s="2224"/>
      <c r="AI376" s="2226"/>
      <c r="AJ376" s="2212">
        <f t="shared" si="108"/>
        <v>32620</v>
      </c>
      <c r="AK376" s="2213"/>
      <c r="AL376" s="2214"/>
      <c r="AM376" s="2215">
        <v>1</v>
      </c>
      <c r="AN376" s="2216"/>
      <c r="AO376" s="2217"/>
      <c r="AP376" s="2209">
        <f t="shared" si="109"/>
        <v>32620</v>
      </c>
      <c r="AQ376" s="2210"/>
      <c r="AR376" s="2211"/>
      <c r="AS376" s="2203">
        <f ca="1">SUMIF(見積拾!C$78:D$86,F376,見積拾!T$78:T$86)+
SUMIF(内壁・間仕切!A$85:AA$85,F376,内壁・間仕切!A$99:AA$99)+
SUMIF(内壁・間仕切!A$121:AA$121,F376,内壁・間仕切!A$135:AA$135)+
SUMIF(内壁・間仕切!A$157:AA$157,F376,内壁・間仕切!A$171:AA$171)+
SUMIF(内壁・間仕切!A$193:AA$193,F376,内壁・間仕切!A$207:AA$207)</f>
        <v>0</v>
      </c>
      <c r="AT376" s="2204"/>
      <c r="AU376" s="2204"/>
      <c r="AV376" s="2205"/>
      <c r="AW376" s="2206">
        <f t="shared" ca="1" si="110"/>
        <v>0</v>
      </c>
      <c r="AX376" s="2207"/>
      <c r="AY376" s="2207"/>
      <c r="AZ376" s="2208"/>
      <c r="BA376" s="2200"/>
      <c r="BB376" s="956" t="b">
        <f t="shared" ca="1" si="111"/>
        <v>0</v>
      </c>
    </row>
    <row r="377" spans="2:54" ht="13.5" customHeight="1">
      <c r="B377" s="2445"/>
      <c r="C377" s="2521"/>
      <c r="D377" s="2500"/>
      <c r="E377" s="957" t="s">
        <v>777</v>
      </c>
      <c r="F377" s="2210" t="s">
        <v>1543</v>
      </c>
      <c r="G377" s="2210"/>
      <c r="H377" s="2210"/>
      <c r="I377" s="2210"/>
      <c r="J377" s="2210"/>
      <c r="K377" s="2210"/>
      <c r="L377" s="2210"/>
      <c r="M377" s="2210"/>
      <c r="N377" s="2210"/>
      <c r="O377" s="2210"/>
      <c r="P377" s="2211"/>
      <c r="Q377" s="2257">
        <v>2534</v>
      </c>
      <c r="R377" s="2224"/>
      <c r="S377" s="2224"/>
      <c r="T377" s="508" t="s">
        <v>1292</v>
      </c>
      <c r="U377" s="2224">
        <v>7275</v>
      </c>
      <c r="V377" s="2224"/>
      <c r="W377" s="2224"/>
      <c r="X377" s="508" t="s">
        <v>779</v>
      </c>
      <c r="Y377" s="2224">
        <v>1104</v>
      </c>
      <c r="Z377" s="2224"/>
      <c r="AA377" s="2224"/>
      <c r="AB377" s="508" t="s">
        <v>785</v>
      </c>
      <c r="AC377" s="2224"/>
      <c r="AD377" s="2224"/>
      <c r="AE377" s="2224"/>
      <c r="AF377" s="508" t="s">
        <v>785</v>
      </c>
      <c r="AG377" s="2224"/>
      <c r="AH377" s="2224"/>
      <c r="AI377" s="2226"/>
      <c r="AJ377" s="2212">
        <f t="shared" si="108"/>
        <v>10910</v>
      </c>
      <c r="AK377" s="2213"/>
      <c r="AL377" s="2214"/>
      <c r="AM377" s="2215">
        <v>1</v>
      </c>
      <c r="AN377" s="2216"/>
      <c r="AO377" s="2217"/>
      <c r="AP377" s="2209">
        <f t="shared" si="109"/>
        <v>10910</v>
      </c>
      <c r="AQ377" s="2210"/>
      <c r="AR377" s="2211"/>
      <c r="AS377" s="2203">
        <f ca="1">SUMIF(見積拾!C$78:D$86,F377,見積拾!T$78:T$86)+
SUMIF(内壁・間仕切!A$85:AA$85,F377,内壁・間仕切!A$99:AA$99)+
SUMIF(内壁・間仕切!A$121:AA$121,F377,内壁・間仕切!A$135:AA$135)+
SUMIF(内壁・間仕切!A$157:AA$157,F377,内壁・間仕切!A$171:AA$171)+
SUMIF(内壁・間仕切!A$193:AA$193,F377,内壁・間仕切!A$207:AA$207)</f>
        <v>0</v>
      </c>
      <c r="AT377" s="2204"/>
      <c r="AU377" s="2204"/>
      <c r="AV377" s="2205"/>
      <c r="AW377" s="2206">
        <f t="shared" ca="1" si="110"/>
        <v>0</v>
      </c>
      <c r="AX377" s="2207"/>
      <c r="AY377" s="2207"/>
      <c r="AZ377" s="2208"/>
      <c r="BA377" s="2200"/>
      <c r="BB377" s="956" t="b">
        <f t="shared" ca="1" si="111"/>
        <v>0</v>
      </c>
    </row>
    <row r="378" spans="2:54" ht="13.5" customHeight="1">
      <c r="B378" s="2445"/>
      <c r="C378" s="2521"/>
      <c r="D378" s="2500"/>
      <c r="E378" s="957" t="s">
        <v>777</v>
      </c>
      <c r="F378" s="2210" t="s">
        <v>1544</v>
      </c>
      <c r="G378" s="2210"/>
      <c r="H378" s="2210"/>
      <c r="I378" s="2210"/>
      <c r="J378" s="2210"/>
      <c r="K378" s="2210"/>
      <c r="L378" s="2210"/>
      <c r="M378" s="2210"/>
      <c r="N378" s="2210"/>
      <c r="O378" s="2210"/>
      <c r="P378" s="2211"/>
      <c r="Q378" s="2257">
        <v>580</v>
      </c>
      <c r="R378" s="2224"/>
      <c r="S378" s="2224"/>
      <c r="T378" s="508" t="s">
        <v>1292</v>
      </c>
      <c r="U378" s="2224">
        <v>7275</v>
      </c>
      <c r="V378" s="2224"/>
      <c r="W378" s="2224"/>
      <c r="X378" s="508" t="s">
        <v>779</v>
      </c>
      <c r="Y378" s="2224">
        <v>1104</v>
      </c>
      <c r="Z378" s="2224"/>
      <c r="AA378" s="2224"/>
      <c r="AB378" s="508" t="s">
        <v>785</v>
      </c>
      <c r="AC378" s="2224"/>
      <c r="AD378" s="2224"/>
      <c r="AE378" s="2224"/>
      <c r="AF378" s="508" t="s">
        <v>785</v>
      </c>
      <c r="AG378" s="2224"/>
      <c r="AH378" s="2224"/>
      <c r="AI378" s="2226"/>
      <c r="AJ378" s="2212">
        <f t="shared" si="108"/>
        <v>8950</v>
      </c>
      <c r="AK378" s="2213"/>
      <c r="AL378" s="2214"/>
      <c r="AM378" s="2215">
        <v>1</v>
      </c>
      <c r="AN378" s="2216"/>
      <c r="AO378" s="2217"/>
      <c r="AP378" s="2209">
        <f t="shared" si="109"/>
        <v>8950</v>
      </c>
      <c r="AQ378" s="2210"/>
      <c r="AR378" s="2211"/>
      <c r="AS378" s="2203">
        <f ca="1">SUMIF(見積拾!C$78:D$86,F378,見積拾!T$78:T$86)+
SUMIF(内壁・間仕切!A$85:AA$85,F378,内壁・間仕切!A$99:AA$99)+
SUMIF(内壁・間仕切!A$121:AA$121,F378,内壁・間仕切!A$135:AA$135)+
SUMIF(内壁・間仕切!A$157:AA$157,F378,内壁・間仕切!A$171:AA$171)+
SUMIF(内壁・間仕切!A$193:AA$193,F378,内壁・間仕切!A$207:AA$207)</f>
        <v>0</v>
      </c>
      <c r="AT378" s="2204"/>
      <c r="AU378" s="2204"/>
      <c r="AV378" s="2205"/>
      <c r="AW378" s="2206">
        <f t="shared" ca="1" si="110"/>
        <v>0</v>
      </c>
      <c r="AX378" s="2207"/>
      <c r="AY378" s="2207"/>
      <c r="AZ378" s="2208"/>
      <c r="BA378" s="2200"/>
      <c r="BB378" s="956" t="b">
        <f t="shared" ca="1" si="111"/>
        <v>0</v>
      </c>
    </row>
    <row r="379" spans="2:54" ht="13.5" customHeight="1">
      <c r="B379" s="2445"/>
      <c r="C379" s="2521"/>
      <c r="D379" s="2500"/>
      <c r="E379" s="957" t="s">
        <v>777</v>
      </c>
      <c r="F379" s="2210" t="s">
        <v>1331</v>
      </c>
      <c r="G379" s="2210"/>
      <c r="H379" s="2210"/>
      <c r="I379" s="2210"/>
      <c r="J379" s="2210"/>
      <c r="K379" s="2210"/>
      <c r="L379" s="2210"/>
      <c r="M379" s="2210"/>
      <c r="N379" s="2210"/>
      <c r="O379" s="2210"/>
      <c r="P379" s="2211"/>
      <c r="Q379" s="2257">
        <v>25291</v>
      </c>
      <c r="R379" s="2224"/>
      <c r="S379" s="2224"/>
      <c r="T379" s="508" t="s">
        <v>1292</v>
      </c>
      <c r="U379" s="2224">
        <v>9021</v>
      </c>
      <c r="V379" s="2224"/>
      <c r="W379" s="2224"/>
      <c r="X379" s="508" t="s">
        <v>779</v>
      </c>
      <c r="Y379" s="2224">
        <v>1104</v>
      </c>
      <c r="Z379" s="2224"/>
      <c r="AA379" s="2224"/>
      <c r="AB379" s="508" t="s">
        <v>785</v>
      </c>
      <c r="AC379" s="2224"/>
      <c r="AD379" s="2224"/>
      <c r="AE379" s="2224"/>
      <c r="AF379" s="508" t="s">
        <v>785</v>
      </c>
      <c r="AG379" s="2224"/>
      <c r="AH379" s="2224"/>
      <c r="AI379" s="2226"/>
      <c r="AJ379" s="2212">
        <f t="shared" si="108"/>
        <v>35410</v>
      </c>
      <c r="AK379" s="2213"/>
      <c r="AL379" s="2214"/>
      <c r="AM379" s="2215">
        <v>1</v>
      </c>
      <c r="AN379" s="2216"/>
      <c r="AO379" s="2217"/>
      <c r="AP379" s="2209">
        <f t="shared" si="109"/>
        <v>35410</v>
      </c>
      <c r="AQ379" s="2210"/>
      <c r="AR379" s="2211"/>
      <c r="AS379" s="2203">
        <f ca="1">SUMIF(見積拾!C$78:D$86,F379,見積拾!T$78:T$86)+
SUMIF(内壁・間仕切!A$85:AA$85,F379,内壁・間仕切!A$99:AA$99)+
SUMIF(内壁・間仕切!A$121:AA$121,F379,内壁・間仕切!A$135:AA$135)+
SUMIF(内壁・間仕切!A$157:AA$157,F379,内壁・間仕切!A$171:AA$171)+
SUMIF(内壁・間仕切!A$193:AA$193,F379,内壁・間仕切!A$207:AA$207)</f>
        <v>0</v>
      </c>
      <c r="AT379" s="2204"/>
      <c r="AU379" s="2204"/>
      <c r="AV379" s="2205"/>
      <c r="AW379" s="2206">
        <f t="shared" ca="1" si="110"/>
        <v>0</v>
      </c>
      <c r="AX379" s="2207"/>
      <c r="AY379" s="2207"/>
      <c r="AZ379" s="2208"/>
      <c r="BA379" s="2200"/>
      <c r="BB379" s="956" t="b">
        <f t="shared" ca="1" si="111"/>
        <v>0</v>
      </c>
    </row>
    <row r="380" spans="2:54" ht="13.5" customHeight="1">
      <c r="B380" s="2445"/>
      <c r="C380" s="2521"/>
      <c r="D380" s="2500"/>
      <c r="E380" s="957" t="s">
        <v>777</v>
      </c>
      <c r="F380" s="2210" t="s">
        <v>1352</v>
      </c>
      <c r="G380" s="2210"/>
      <c r="H380" s="2210"/>
      <c r="I380" s="2210"/>
      <c r="J380" s="2210"/>
      <c r="K380" s="2210"/>
      <c r="L380" s="2210"/>
      <c r="M380" s="2210"/>
      <c r="N380" s="2210"/>
      <c r="O380" s="2210"/>
      <c r="P380" s="2211"/>
      <c r="Q380" s="2257">
        <v>9350</v>
      </c>
      <c r="R380" s="2224"/>
      <c r="S380" s="2224"/>
      <c r="T380" s="508" t="s">
        <v>1292</v>
      </c>
      <c r="U380" s="2224">
        <v>7566</v>
      </c>
      <c r="V380" s="2224"/>
      <c r="W380" s="2224"/>
      <c r="X380" s="508" t="s">
        <v>779</v>
      </c>
      <c r="Y380" s="2224">
        <v>1104</v>
      </c>
      <c r="Z380" s="2224"/>
      <c r="AA380" s="2224"/>
      <c r="AB380" s="508" t="s">
        <v>785</v>
      </c>
      <c r="AC380" s="2224"/>
      <c r="AD380" s="2224"/>
      <c r="AE380" s="2224"/>
      <c r="AF380" s="508" t="s">
        <v>785</v>
      </c>
      <c r="AG380" s="2224"/>
      <c r="AH380" s="2224"/>
      <c r="AI380" s="2226"/>
      <c r="AJ380" s="2212">
        <f t="shared" si="108"/>
        <v>18020</v>
      </c>
      <c r="AK380" s="2213"/>
      <c r="AL380" s="2214"/>
      <c r="AM380" s="2215">
        <v>1</v>
      </c>
      <c r="AN380" s="2216"/>
      <c r="AO380" s="2217"/>
      <c r="AP380" s="2209">
        <f t="shared" si="109"/>
        <v>18020</v>
      </c>
      <c r="AQ380" s="2210"/>
      <c r="AR380" s="2211"/>
      <c r="AS380" s="2203">
        <f ca="1">SUMIF(見積拾!C$78:D$86,F380,見積拾!T$78:T$86)+
SUMIF(内壁・間仕切!A$85:AA$85,F380,内壁・間仕切!A$99:AA$99)+
SUMIF(内壁・間仕切!A$121:AA$121,F380,内壁・間仕切!A$135:AA$135)+
SUMIF(内壁・間仕切!A$157:AA$157,F380,内壁・間仕切!A$171:AA$171)+
SUMIF(内壁・間仕切!A$193:AA$193,F380,内壁・間仕切!A$207:AA$207)</f>
        <v>0</v>
      </c>
      <c r="AT380" s="2204"/>
      <c r="AU380" s="2204"/>
      <c r="AV380" s="2205"/>
      <c r="AW380" s="2206">
        <f t="shared" ca="1" si="110"/>
        <v>0</v>
      </c>
      <c r="AX380" s="2207"/>
      <c r="AY380" s="2207"/>
      <c r="AZ380" s="2208"/>
      <c r="BA380" s="2200"/>
      <c r="BB380" s="956" t="b">
        <f t="shared" ca="1" si="111"/>
        <v>0</v>
      </c>
    </row>
    <row r="381" spans="2:54" ht="13.5" customHeight="1">
      <c r="B381" s="2445"/>
      <c r="C381" s="2521"/>
      <c r="D381" s="2500"/>
      <c r="E381" s="957" t="s">
        <v>777</v>
      </c>
      <c r="F381" s="2210" t="s">
        <v>1353</v>
      </c>
      <c r="G381" s="2210"/>
      <c r="H381" s="2210"/>
      <c r="I381" s="2210"/>
      <c r="J381" s="2210"/>
      <c r="K381" s="2210"/>
      <c r="L381" s="2210"/>
      <c r="M381" s="2210"/>
      <c r="N381" s="2210"/>
      <c r="O381" s="2210"/>
      <c r="P381" s="2211"/>
      <c r="Q381" s="2257">
        <v>10030</v>
      </c>
      <c r="R381" s="2224"/>
      <c r="S381" s="2224"/>
      <c r="T381" s="508" t="s">
        <v>1292</v>
      </c>
      <c r="U381" s="2224">
        <v>2444</v>
      </c>
      <c r="V381" s="2224"/>
      <c r="W381" s="2224"/>
      <c r="X381" s="508" t="s">
        <v>779</v>
      </c>
      <c r="Y381" s="2224">
        <v>1104</v>
      </c>
      <c r="Z381" s="2224"/>
      <c r="AA381" s="2224"/>
      <c r="AB381" s="508" t="s">
        <v>785</v>
      </c>
      <c r="AC381" s="2224"/>
      <c r="AD381" s="2224"/>
      <c r="AE381" s="2224"/>
      <c r="AF381" s="508" t="s">
        <v>785</v>
      </c>
      <c r="AG381" s="2224"/>
      <c r="AH381" s="2224"/>
      <c r="AI381" s="2226"/>
      <c r="AJ381" s="2212">
        <f t="shared" si="108"/>
        <v>13570</v>
      </c>
      <c r="AK381" s="2213"/>
      <c r="AL381" s="2214"/>
      <c r="AM381" s="2215">
        <v>1</v>
      </c>
      <c r="AN381" s="2216"/>
      <c r="AO381" s="2217"/>
      <c r="AP381" s="2209">
        <f t="shared" si="109"/>
        <v>13570</v>
      </c>
      <c r="AQ381" s="2210"/>
      <c r="AR381" s="2211"/>
      <c r="AS381" s="2203">
        <f ca="1">SUMIF(見積拾!C$78:D$86,F381,見積拾!T$78:T$86)+
SUMIF(内壁・間仕切!A$85:AA$85,F381,内壁・間仕切!A$99:AA$99)+
SUMIF(内壁・間仕切!A$121:AA$121,F381,内壁・間仕切!A$135:AA$135)+
SUMIF(内壁・間仕切!A$157:AA$157,F381,内壁・間仕切!A$171:AA$171)+
SUMIF(内壁・間仕切!A$193:AA$193,F381,内壁・間仕切!A$207:AA$207)</f>
        <v>0</v>
      </c>
      <c r="AT381" s="2204"/>
      <c r="AU381" s="2204"/>
      <c r="AV381" s="2205"/>
      <c r="AW381" s="2206">
        <f t="shared" ca="1" si="110"/>
        <v>0</v>
      </c>
      <c r="AX381" s="2207"/>
      <c r="AY381" s="2207"/>
      <c r="AZ381" s="2208"/>
      <c r="BA381" s="2200"/>
      <c r="BB381" s="956" t="b">
        <f t="shared" ca="1" si="111"/>
        <v>0</v>
      </c>
    </row>
    <row r="382" spans="2:54" ht="13.5" customHeight="1">
      <c r="B382" s="2445"/>
      <c r="C382" s="2521"/>
      <c r="D382" s="2500"/>
      <c r="E382" s="957" t="s">
        <v>777</v>
      </c>
      <c r="F382" s="2210" t="s">
        <v>1333</v>
      </c>
      <c r="G382" s="2210"/>
      <c r="H382" s="2210"/>
      <c r="I382" s="2210"/>
      <c r="J382" s="2210"/>
      <c r="K382" s="2210"/>
      <c r="L382" s="2210"/>
      <c r="M382" s="2210"/>
      <c r="N382" s="2210"/>
      <c r="O382" s="2210"/>
      <c r="P382" s="2211"/>
      <c r="Q382" s="2257">
        <v>5330</v>
      </c>
      <c r="R382" s="2224"/>
      <c r="S382" s="2224"/>
      <c r="T382" s="508" t="s">
        <v>1292</v>
      </c>
      <c r="U382" s="2224">
        <v>2240</v>
      </c>
      <c r="V382" s="2224"/>
      <c r="W382" s="2224"/>
      <c r="X382" s="508" t="s">
        <v>779</v>
      </c>
      <c r="Y382" s="2224">
        <v>1104</v>
      </c>
      <c r="Z382" s="2224"/>
      <c r="AA382" s="2224"/>
      <c r="AB382" s="508" t="s">
        <v>785</v>
      </c>
      <c r="AC382" s="2224"/>
      <c r="AD382" s="2224"/>
      <c r="AE382" s="2224"/>
      <c r="AF382" s="508" t="s">
        <v>785</v>
      </c>
      <c r="AG382" s="2224"/>
      <c r="AH382" s="2224"/>
      <c r="AI382" s="2226"/>
      <c r="AJ382" s="2212">
        <f t="shared" si="108"/>
        <v>8670</v>
      </c>
      <c r="AK382" s="2213"/>
      <c r="AL382" s="2214"/>
      <c r="AM382" s="2215">
        <v>1</v>
      </c>
      <c r="AN382" s="2216"/>
      <c r="AO382" s="2217"/>
      <c r="AP382" s="2209">
        <f t="shared" si="109"/>
        <v>8670</v>
      </c>
      <c r="AQ382" s="2210"/>
      <c r="AR382" s="2211"/>
      <c r="AS382" s="2203">
        <f ca="1">SUMIF(見積拾!C$78:D$86,F382,見積拾!T$78:T$86)+
SUMIF(内壁・間仕切!A$85:AA$85,F382,内壁・間仕切!A$99:AA$99)+
SUMIF(内壁・間仕切!A$121:AA$121,F382,内壁・間仕切!A$135:AA$135)+
SUMIF(内壁・間仕切!A$157:AA$157,F382,内壁・間仕切!A$171:AA$171)+
SUMIF(内壁・間仕切!A$193:AA$193,F382,内壁・間仕切!A$207:AA$207)</f>
        <v>0</v>
      </c>
      <c r="AT382" s="2204"/>
      <c r="AU382" s="2204"/>
      <c r="AV382" s="2205"/>
      <c r="AW382" s="2206">
        <f t="shared" ca="1" si="110"/>
        <v>0</v>
      </c>
      <c r="AX382" s="2207"/>
      <c r="AY382" s="2207"/>
      <c r="AZ382" s="2208"/>
      <c r="BA382" s="2200"/>
      <c r="BB382" s="956" t="b">
        <f t="shared" ca="1" si="111"/>
        <v>0</v>
      </c>
    </row>
    <row r="383" spans="2:54" ht="13.5" customHeight="1">
      <c r="B383" s="2445"/>
      <c r="C383" s="2521"/>
      <c r="D383" s="2500"/>
      <c r="E383" s="957" t="s">
        <v>777</v>
      </c>
      <c r="F383" s="2210" t="s">
        <v>5536</v>
      </c>
      <c r="G383" s="2210"/>
      <c r="H383" s="2210"/>
      <c r="I383" s="2210"/>
      <c r="J383" s="2210"/>
      <c r="K383" s="2210"/>
      <c r="L383" s="2210"/>
      <c r="M383" s="2210"/>
      <c r="N383" s="2210"/>
      <c r="O383" s="2210"/>
      <c r="P383" s="2211"/>
      <c r="Q383" s="2257">
        <v>3460</v>
      </c>
      <c r="R383" s="2224"/>
      <c r="S383" s="2224"/>
      <c r="T383" s="508" t="s">
        <v>1292</v>
      </c>
      <c r="U383" s="2225" t="s">
        <v>1031</v>
      </c>
      <c r="V383" s="2225"/>
      <c r="W383" s="2225"/>
      <c r="X383" s="508" t="s">
        <v>779</v>
      </c>
      <c r="Y383" s="2224">
        <v>1104</v>
      </c>
      <c r="Z383" s="2224"/>
      <c r="AA383" s="2224"/>
      <c r="AB383" s="508" t="s">
        <v>812</v>
      </c>
      <c r="AC383" s="2224"/>
      <c r="AD383" s="2224"/>
      <c r="AE383" s="2224"/>
      <c r="AF383" s="508" t="s">
        <v>812</v>
      </c>
      <c r="AG383" s="2224"/>
      <c r="AH383" s="2224"/>
      <c r="AI383" s="2226"/>
      <c r="AJ383" s="2212">
        <f t="shared" si="108"/>
        <v>4560</v>
      </c>
      <c r="AK383" s="2213"/>
      <c r="AL383" s="2214"/>
      <c r="AM383" s="2215">
        <v>1</v>
      </c>
      <c r="AN383" s="2216"/>
      <c r="AO383" s="2217"/>
      <c r="AP383" s="2209">
        <f t="shared" si="109"/>
        <v>4560</v>
      </c>
      <c r="AQ383" s="2210"/>
      <c r="AR383" s="2211"/>
      <c r="AS383" s="2203">
        <f ca="1">SUMIF(見積拾!C$78:D$86,F383,見積拾!T$78:T$86)+
SUMIF(内壁・間仕切!A$85:AA$85,F383,内壁・間仕切!A$99:AA$99)+
SUMIF(内壁・間仕切!A$121:AA$121,F383,内壁・間仕切!A$135:AA$135)+
SUMIF(内壁・間仕切!A$157:AA$157,F383,内壁・間仕切!A$171:AA$171)+
SUMIF(内壁・間仕切!A$193:AA$193,F383,内壁・間仕切!A$207:AA$207)</f>
        <v>0</v>
      </c>
      <c r="AT383" s="2204"/>
      <c r="AU383" s="2204"/>
      <c r="AV383" s="2205"/>
      <c r="AW383" s="2206">
        <f t="shared" ca="1" si="110"/>
        <v>0</v>
      </c>
      <c r="AX383" s="2207"/>
      <c r="AY383" s="2207"/>
      <c r="AZ383" s="2208"/>
      <c r="BA383" s="2200"/>
      <c r="BB383" s="956" t="b">
        <f t="shared" ca="1" si="111"/>
        <v>0</v>
      </c>
    </row>
    <row r="384" spans="2:54" ht="13.5" customHeight="1">
      <c r="B384" s="2445"/>
      <c r="C384" s="2521"/>
      <c r="D384" s="2500"/>
      <c r="E384" s="957" t="s">
        <v>777</v>
      </c>
      <c r="F384" s="2210" t="s">
        <v>5537</v>
      </c>
      <c r="G384" s="2210"/>
      <c r="H384" s="2210"/>
      <c r="I384" s="2210"/>
      <c r="J384" s="2210"/>
      <c r="K384" s="2210"/>
      <c r="L384" s="2210"/>
      <c r="M384" s="2210"/>
      <c r="N384" s="2210"/>
      <c r="O384" s="2210"/>
      <c r="P384" s="2211"/>
      <c r="Q384" s="2257">
        <v>2340</v>
      </c>
      <c r="R384" s="2224"/>
      <c r="S384" s="2224"/>
      <c r="T384" s="508" t="s">
        <v>1292</v>
      </c>
      <c r="U384" s="2225" t="s">
        <v>1031</v>
      </c>
      <c r="V384" s="2225"/>
      <c r="W384" s="2225"/>
      <c r="X384" s="508" t="s">
        <v>779</v>
      </c>
      <c r="Y384" s="2224">
        <v>1104</v>
      </c>
      <c r="Z384" s="2224"/>
      <c r="AA384" s="2224"/>
      <c r="AB384" s="508" t="s">
        <v>812</v>
      </c>
      <c r="AC384" s="2224"/>
      <c r="AD384" s="2224"/>
      <c r="AE384" s="2224"/>
      <c r="AF384" s="508" t="s">
        <v>812</v>
      </c>
      <c r="AG384" s="2224"/>
      <c r="AH384" s="2224"/>
      <c r="AI384" s="2226"/>
      <c r="AJ384" s="2212">
        <f t="shared" si="108"/>
        <v>3440</v>
      </c>
      <c r="AK384" s="2213"/>
      <c r="AL384" s="2214"/>
      <c r="AM384" s="2215">
        <v>1</v>
      </c>
      <c r="AN384" s="2216"/>
      <c r="AO384" s="2217"/>
      <c r="AP384" s="2209">
        <f t="shared" si="109"/>
        <v>3440</v>
      </c>
      <c r="AQ384" s="2210"/>
      <c r="AR384" s="2211"/>
      <c r="AS384" s="2203">
        <f ca="1">SUMIF(見積拾!C$78:D$86,F384,見積拾!T$78:T$86)+
SUMIF(内壁・間仕切!A$85:AA$85,F384,内壁・間仕切!A$99:AA$99)+
SUMIF(内壁・間仕切!A$121:AA$121,F384,内壁・間仕切!A$135:AA$135)+
SUMIF(内壁・間仕切!A$157:AA$157,F384,内壁・間仕切!A$171:AA$171)+
SUMIF(内壁・間仕切!A$193:AA$193,F384,内壁・間仕切!A$207:AA$207)</f>
        <v>0</v>
      </c>
      <c r="AT384" s="2204"/>
      <c r="AU384" s="2204"/>
      <c r="AV384" s="2205"/>
      <c r="AW384" s="2206">
        <f t="shared" ca="1" si="110"/>
        <v>0</v>
      </c>
      <c r="AX384" s="2207"/>
      <c r="AY384" s="2207"/>
      <c r="AZ384" s="2208"/>
      <c r="BA384" s="2200"/>
      <c r="BB384" s="956" t="b">
        <f t="shared" ca="1" si="111"/>
        <v>0</v>
      </c>
    </row>
    <row r="385" spans="2:54" ht="13.5" customHeight="1">
      <c r="B385" s="2445"/>
      <c r="C385" s="2521"/>
      <c r="D385" s="2500"/>
      <c r="E385" s="957" t="s">
        <v>777</v>
      </c>
      <c r="F385" s="2210" t="s">
        <v>5538</v>
      </c>
      <c r="G385" s="2210"/>
      <c r="H385" s="2210"/>
      <c r="I385" s="2210"/>
      <c r="J385" s="2210"/>
      <c r="K385" s="2210"/>
      <c r="L385" s="2210"/>
      <c r="M385" s="2210"/>
      <c r="N385" s="2210"/>
      <c r="O385" s="2210"/>
      <c r="P385" s="2211"/>
      <c r="Q385" s="2257">
        <v>2025</v>
      </c>
      <c r="R385" s="2224"/>
      <c r="S385" s="2224"/>
      <c r="T385" s="508" t="s">
        <v>1292</v>
      </c>
      <c r="U385" s="2224">
        <v>1960</v>
      </c>
      <c r="V385" s="2224"/>
      <c r="W385" s="2224"/>
      <c r="X385" s="508" t="s">
        <v>779</v>
      </c>
      <c r="Y385" s="2224">
        <v>1104</v>
      </c>
      <c r="Z385" s="2224"/>
      <c r="AA385" s="2224"/>
      <c r="AB385" s="508" t="s">
        <v>812</v>
      </c>
      <c r="AC385" s="2224"/>
      <c r="AD385" s="2224"/>
      <c r="AE385" s="2224"/>
      <c r="AF385" s="508" t="s">
        <v>812</v>
      </c>
      <c r="AG385" s="2224"/>
      <c r="AH385" s="2224"/>
      <c r="AI385" s="2226"/>
      <c r="AJ385" s="2212">
        <f t="shared" si="108"/>
        <v>5080</v>
      </c>
      <c r="AK385" s="2213"/>
      <c r="AL385" s="2214"/>
      <c r="AM385" s="2215">
        <v>1</v>
      </c>
      <c r="AN385" s="2216"/>
      <c r="AO385" s="2217"/>
      <c r="AP385" s="2209">
        <f t="shared" si="109"/>
        <v>5080</v>
      </c>
      <c r="AQ385" s="2210"/>
      <c r="AR385" s="2211"/>
      <c r="AS385" s="2203">
        <f ca="1">SUMIF(見積拾!C$78:D$86,F385,見積拾!T$78:T$86)+
SUMIF(内壁・間仕切!A$85:AA$85,F385,内壁・間仕切!A$99:AA$99)+
SUMIF(内壁・間仕切!A$121:AA$121,F385,内壁・間仕切!A$135:AA$135)+
SUMIF(内壁・間仕切!A$157:AA$157,F385,内壁・間仕切!A$171:AA$171)+
SUMIF(内壁・間仕切!A$193:AA$193,F385,内壁・間仕切!A$207:AA$207)</f>
        <v>0</v>
      </c>
      <c r="AT385" s="2204"/>
      <c r="AU385" s="2204"/>
      <c r="AV385" s="2205"/>
      <c r="AW385" s="2206">
        <f t="shared" ca="1" si="110"/>
        <v>0</v>
      </c>
      <c r="AX385" s="2207"/>
      <c r="AY385" s="2207"/>
      <c r="AZ385" s="2208"/>
      <c r="BA385" s="2200"/>
      <c r="BB385" s="956" t="b">
        <f t="shared" ca="1" si="111"/>
        <v>0</v>
      </c>
    </row>
    <row r="386" spans="2:54" ht="13.5" customHeight="1">
      <c r="B386" s="2445"/>
      <c r="C386" s="2521"/>
      <c r="D386" s="2500"/>
      <c r="E386" s="957" t="s">
        <v>777</v>
      </c>
      <c r="F386" s="2210" t="s">
        <v>1338</v>
      </c>
      <c r="G386" s="2210"/>
      <c r="H386" s="2210"/>
      <c r="I386" s="2210"/>
      <c r="J386" s="2210"/>
      <c r="K386" s="2210"/>
      <c r="L386" s="2210"/>
      <c r="M386" s="2210"/>
      <c r="N386" s="2210"/>
      <c r="O386" s="2210"/>
      <c r="P386" s="2211"/>
      <c r="Q386" s="2257">
        <v>511</v>
      </c>
      <c r="R386" s="2224"/>
      <c r="S386" s="2224"/>
      <c r="T386" s="508" t="s">
        <v>1292</v>
      </c>
      <c r="U386" s="2224">
        <v>1303</v>
      </c>
      <c r="V386" s="2224"/>
      <c r="W386" s="2224"/>
      <c r="X386" s="508" t="s">
        <v>779</v>
      </c>
      <c r="Y386" s="2224">
        <v>1104</v>
      </c>
      <c r="Z386" s="2224"/>
      <c r="AA386" s="2224"/>
      <c r="AB386" s="508" t="s">
        <v>812</v>
      </c>
      <c r="AC386" s="2224"/>
      <c r="AD386" s="2224"/>
      <c r="AE386" s="2224"/>
      <c r="AF386" s="508" t="s">
        <v>812</v>
      </c>
      <c r="AG386" s="2224"/>
      <c r="AH386" s="2224"/>
      <c r="AI386" s="2226"/>
      <c r="AJ386" s="2212">
        <f t="shared" si="108"/>
        <v>2910</v>
      </c>
      <c r="AK386" s="2213"/>
      <c r="AL386" s="2214"/>
      <c r="AM386" s="2215">
        <v>1</v>
      </c>
      <c r="AN386" s="2216"/>
      <c r="AO386" s="2217"/>
      <c r="AP386" s="2209">
        <f t="shared" si="109"/>
        <v>2910</v>
      </c>
      <c r="AQ386" s="2210"/>
      <c r="AR386" s="2211"/>
      <c r="AS386" s="2203">
        <f ca="1">SUMIF(見積拾!C$78:D$86,F386,見積拾!T$78:T$86)+
SUMIF(内壁・間仕切!A$85:AA$85,F386,内壁・間仕切!A$99:AA$99)+
SUMIF(内壁・間仕切!A$121:AA$121,F386,内壁・間仕切!A$135:AA$135)+
SUMIF(内壁・間仕切!A$157:AA$157,F386,内壁・間仕切!A$171:AA$171)+
SUMIF(内壁・間仕切!A$193:AA$193,F386,内壁・間仕切!A$207:AA$207)</f>
        <v>0</v>
      </c>
      <c r="AT386" s="2204"/>
      <c r="AU386" s="2204"/>
      <c r="AV386" s="2205"/>
      <c r="AW386" s="2206">
        <f t="shared" ca="1" si="110"/>
        <v>0</v>
      </c>
      <c r="AX386" s="2207"/>
      <c r="AY386" s="2207"/>
      <c r="AZ386" s="2208"/>
      <c r="BA386" s="2200"/>
      <c r="BB386" s="956" t="b">
        <f t="shared" ca="1" si="111"/>
        <v>0</v>
      </c>
    </row>
    <row r="387" spans="2:54" ht="13.5" customHeight="1">
      <c r="B387" s="2445"/>
      <c r="C387" s="2521"/>
      <c r="D387" s="2500"/>
      <c r="E387" s="957" t="s">
        <v>777</v>
      </c>
      <c r="F387" s="2210" t="s">
        <v>1339</v>
      </c>
      <c r="G387" s="2210"/>
      <c r="H387" s="2210"/>
      <c r="I387" s="2210"/>
      <c r="J387" s="2210"/>
      <c r="K387" s="2210"/>
      <c r="L387" s="2210"/>
      <c r="M387" s="2210"/>
      <c r="N387" s="2210"/>
      <c r="O387" s="2210"/>
      <c r="P387" s="2211"/>
      <c r="Q387" s="2257">
        <v>2085</v>
      </c>
      <c r="R387" s="2224"/>
      <c r="S387" s="2224"/>
      <c r="T387" s="508" t="s">
        <v>1292</v>
      </c>
      <c r="U387" s="2224">
        <v>1303</v>
      </c>
      <c r="V387" s="2224"/>
      <c r="W387" s="2224"/>
      <c r="X387" s="508" t="s">
        <v>779</v>
      </c>
      <c r="Y387" s="2224">
        <v>1104</v>
      </c>
      <c r="Z387" s="2224"/>
      <c r="AA387" s="2224"/>
      <c r="AB387" s="508" t="s">
        <v>812</v>
      </c>
      <c r="AC387" s="2224"/>
      <c r="AD387" s="2224"/>
      <c r="AE387" s="2224"/>
      <c r="AF387" s="508" t="s">
        <v>812</v>
      </c>
      <c r="AG387" s="2224"/>
      <c r="AH387" s="2224"/>
      <c r="AI387" s="2226"/>
      <c r="AJ387" s="2212">
        <f t="shared" si="108"/>
        <v>4490</v>
      </c>
      <c r="AK387" s="2213"/>
      <c r="AL387" s="2214"/>
      <c r="AM387" s="2215">
        <v>1</v>
      </c>
      <c r="AN387" s="2216"/>
      <c r="AO387" s="2217"/>
      <c r="AP387" s="2209">
        <f t="shared" si="109"/>
        <v>4490</v>
      </c>
      <c r="AQ387" s="2210"/>
      <c r="AR387" s="2211"/>
      <c r="AS387" s="2203">
        <f ca="1">SUMIF(見積拾!C$78:D$86,F387,見積拾!T$78:T$86)+
SUMIF(内壁・間仕切!A$85:AA$85,F387,内壁・間仕切!A$99:AA$99)+
SUMIF(内壁・間仕切!A$121:AA$121,F387,内壁・間仕切!A$135:AA$135)+
SUMIF(内壁・間仕切!A$157:AA$157,F387,内壁・間仕切!A$171:AA$171)+
SUMIF(内壁・間仕切!A$193:AA$193,F387,内壁・間仕切!A$207:AA$207)</f>
        <v>0</v>
      </c>
      <c r="AT387" s="2204"/>
      <c r="AU387" s="2204"/>
      <c r="AV387" s="2205"/>
      <c r="AW387" s="2206">
        <f t="shared" ca="1" si="110"/>
        <v>0</v>
      </c>
      <c r="AX387" s="2207"/>
      <c r="AY387" s="2207"/>
      <c r="AZ387" s="2208"/>
      <c r="BA387" s="2200"/>
      <c r="BB387" s="956" t="b">
        <f t="shared" ca="1" si="111"/>
        <v>0</v>
      </c>
    </row>
    <row r="388" spans="2:54" ht="13.5" customHeight="1">
      <c r="B388" s="2445"/>
      <c r="C388" s="2521"/>
      <c r="D388" s="2500"/>
      <c r="E388" s="957" t="s">
        <v>777</v>
      </c>
      <c r="F388" s="2210" t="s">
        <v>1340</v>
      </c>
      <c r="G388" s="2210"/>
      <c r="H388" s="2210"/>
      <c r="I388" s="2210"/>
      <c r="J388" s="2210"/>
      <c r="K388" s="2210"/>
      <c r="L388" s="2210"/>
      <c r="M388" s="2210"/>
      <c r="N388" s="2210"/>
      <c r="O388" s="2210"/>
      <c r="P388" s="2211"/>
      <c r="Q388" s="2257">
        <v>6702</v>
      </c>
      <c r="R388" s="2224"/>
      <c r="S388" s="2224"/>
      <c r="T388" s="508" t="s">
        <v>1292</v>
      </c>
      <c r="U388" s="2224">
        <v>1303</v>
      </c>
      <c r="V388" s="2224"/>
      <c r="W388" s="2224"/>
      <c r="X388" s="508" t="s">
        <v>779</v>
      </c>
      <c r="Y388" s="2224">
        <v>1104</v>
      </c>
      <c r="Z388" s="2224"/>
      <c r="AA388" s="2224"/>
      <c r="AB388" s="508" t="s">
        <v>823</v>
      </c>
      <c r="AC388" s="2224"/>
      <c r="AD388" s="2224"/>
      <c r="AE388" s="2224"/>
      <c r="AF388" s="508" t="s">
        <v>823</v>
      </c>
      <c r="AG388" s="2224"/>
      <c r="AH388" s="2224"/>
      <c r="AI388" s="2226"/>
      <c r="AJ388" s="2212">
        <f t="shared" si="108"/>
        <v>9100</v>
      </c>
      <c r="AK388" s="2213"/>
      <c r="AL388" s="2214"/>
      <c r="AM388" s="2215">
        <v>1</v>
      </c>
      <c r="AN388" s="2216"/>
      <c r="AO388" s="2217"/>
      <c r="AP388" s="2209">
        <f t="shared" si="109"/>
        <v>9100</v>
      </c>
      <c r="AQ388" s="2210"/>
      <c r="AR388" s="2211"/>
      <c r="AS388" s="2203">
        <f ca="1">SUMIF(見積拾!C$78:D$86,F388,見積拾!T$78:T$86)+
SUMIF(内壁・間仕切!A$85:AA$85,F388,内壁・間仕切!A$99:AA$99)+
SUMIF(内壁・間仕切!A$121:AA$121,F388,内壁・間仕切!A$135:AA$135)+
SUMIF(内壁・間仕切!A$157:AA$157,F388,内壁・間仕切!A$171:AA$171)+
SUMIF(内壁・間仕切!A$193:AA$193,F388,内壁・間仕切!A$207:AA$207)</f>
        <v>0</v>
      </c>
      <c r="AT388" s="2204"/>
      <c r="AU388" s="2204"/>
      <c r="AV388" s="2205"/>
      <c r="AW388" s="2206">
        <f t="shared" ca="1" si="110"/>
        <v>0</v>
      </c>
      <c r="AX388" s="2207"/>
      <c r="AY388" s="2207"/>
      <c r="AZ388" s="2208"/>
      <c r="BA388" s="2200"/>
      <c r="BB388" s="956" t="b">
        <f t="shared" ca="1" si="111"/>
        <v>0</v>
      </c>
    </row>
    <row r="389" spans="2:54" ht="13.5" customHeight="1">
      <c r="B389" s="2445"/>
      <c r="C389" s="2521"/>
      <c r="D389" s="2500"/>
      <c r="E389" s="957" t="s">
        <v>777</v>
      </c>
      <c r="F389" s="2210" t="s">
        <v>5316</v>
      </c>
      <c r="G389" s="2210"/>
      <c r="H389" s="2210"/>
      <c r="I389" s="2210"/>
      <c r="J389" s="2210"/>
      <c r="K389" s="2210"/>
      <c r="L389" s="2210"/>
      <c r="M389" s="2210"/>
      <c r="N389" s="2210"/>
      <c r="O389" s="2210"/>
      <c r="P389" s="2211"/>
      <c r="Q389" s="2257">
        <v>3202</v>
      </c>
      <c r="R389" s="2224"/>
      <c r="S389" s="2224"/>
      <c r="T389" s="508" t="s">
        <v>1292</v>
      </c>
      <c r="U389" s="2225" t="s">
        <v>1031</v>
      </c>
      <c r="V389" s="2225"/>
      <c r="W389" s="2225"/>
      <c r="X389" s="508" t="s">
        <v>779</v>
      </c>
      <c r="Y389" s="2224">
        <v>2064</v>
      </c>
      <c r="Z389" s="2224"/>
      <c r="AA389" s="2224"/>
      <c r="AB389" s="508" t="s">
        <v>40</v>
      </c>
      <c r="AC389" s="2224"/>
      <c r="AD389" s="2224"/>
      <c r="AE389" s="2224"/>
      <c r="AF389" s="508" t="s">
        <v>40</v>
      </c>
      <c r="AG389" s="2224"/>
      <c r="AH389" s="2224"/>
      <c r="AI389" s="2226"/>
      <c r="AJ389" s="2212">
        <f t="shared" ref="AJ389" si="112">ROUNDDOWN(SUM(Q389:AI389),-1)</f>
        <v>5260</v>
      </c>
      <c r="AK389" s="2213"/>
      <c r="AL389" s="2214"/>
      <c r="AM389" s="2215">
        <v>1</v>
      </c>
      <c r="AN389" s="2216"/>
      <c r="AO389" s="2217"/>
      <c r="AP389" s="2209">
        <f t="shared" ref="AP389" si="113">INT(AJ389*AM389)</f>
        <v>5260</v>
      </c>
      <c r="AQ389" s="2210"/>
      <c r="AR389" s="2211"/>
      <c r="AS389" s="2203">
        <f ca="1">SUMIF(見積拾!C$78:D$86,F389,見積拾!T$78:T$86)+
SUMIF(内壁・間仕切!A$85:AA$85,F389,内壁・間仕切!A$99:AA$99)+
SUMIF(内壁・間仕切!A$121:AA$121,F389,内壁・間仕切!A$135:AA$135)+
SUMIF(内壁・間仕切!A$157:AA$157,F389,内壁・間仕切!A$171:AA$171)+
SUMIF(内壁・間仕切!A$193:AA$193,F389,内壁・間仕切!A$207:AA$207)</f>
        <v>0</v>
      </c>
      <c r="AT389" s="2204"/>
      <c r="AU389" s="2204"/>
      <c r="AV389" s="2205"/>
      <c r="AW389" s="2206">
        <f t="shared" ref="AW389" ca="1" si="114">INT(AP389*AS389)</f>
        <v>0</v>
      </c>
      <c r="AX389" s="2207"/>
      <c r="AY389" s="2207"/>
      <c r="AZ389" s="2208"/>
      <c r="BA389" s="2200"/>
      <c r="BB389" s="956" t="b">
        <f t="shared" ref="BB389" ca="1" si="115">AW389&lt;&gt;0</f>
        <v>0</v>
      </c>
    </row>
    <row r="390" spans="2:54" ht="13.5" customHeight="1">
      <c r="B390" s="2445"/>
      <c r="C390" s="2521"/>
      <c r="D390" s="2500"/>
      <c r="E390" s="957" t="s">
        <v>777</v>
      </c>
      <c r="F390" s="2210" t="s">
        <v>1036</v>
      </c>
      <c r="G390" s="2210"/>
      <c r="H390" s="2210"/>
      <c r="I390" s="2210"/>
      <c r="J390" s="2210"/>
      <c r="K390" s="2210"/>
      <c r="L390" s="2210"/>
      <c r="M390" s="2210"/>
      <c r="N390" s="2210"/>
      <c r="O390" s="2210"/>
      <c r="P390" s="2211"/>
      <c r="Q390" s="2257">
        <v>743</v>
      </c>
      <c r="R390" s="2224"/>
      <c r="S390" s="2224"/>
      <c r="T390" s="508" t="s">
        <v>1292</v>
      </c>
      <c r="U390" s="2224">
        <v>1680</v>
      </c>
      <c r="V390" s="2224"/>
      <c r="W390" s="2224"/>
      <c r="X390" s="508" t="s">
        <v>779</v>
      </c>
      <c r="Y390" s="2224">
        <v>1104</v>
      </c>
      <c r="Z390" s="2224"/>
      <c r="AA390" s="2224"/>
      <c r="AB390" s="508" t="s">
        <v>823</v>
      </c>
      <c r="AC390" s="2224"/>
      <c r="AD390" s="2224"/>
      <c r="AE390" s="2224"/>
      <c r="AF390" s="508" t="s">
        <v>823</v>
      </c>
      <c r="AG390" s="2224"/>
      <c r="AH390" s="2224"/>
      <c r="AI390" s="2226"/>
      <c r="AJ390" s="2212">
        <f t="shared" si="108"/>
        <v>3520</v>
      </c>
      <c r="AK390" s="2213"/>
      <c r="AL390" s="2214"/>
      <c r="AM390" s="2215">
        <v>1</v>
      </c>
      <c r="AN390" s="2216"/>
      <c r="AO390" s="2217"/>
      <c r="AP390" s="2209">
        <f t="shared" si="109"/>
        <v>3520</v>
      </c>
      <c r="AQ390" s="2210"/>
      <c r="AR390" s="2211"/>
      <c r="AS390" s="2203">
        <f ca="1">SUMIF(見積拾!C$78:D$86,F390,見積拾!T$78:T$86)+
SUMIF(内壁・間仕切!A$85:AA$85,F390,内壁・間仕切!A$99:AA$99)+
SUMIF(内壁・間仕切!A$121:AA$121,F390,内壁・間仕切!A$135:AA$135)+
SUMIF(内壁・間仕切!A$157:AA$157,F390,内壁・間仕切!A$171:AA$171)+
SUMIF(内壁・間仕切!A$193:AA$193,F390,内壁・間仕切!A$207:AA$207)</f>
        <v>0</v>
      </c>
      <c r="AT390" s="2204"/>
      <c r="AU390" s="2204"/>
      <c r="AV390" s="2205"/>
      <c r="AW390" s="2206">
        <f t="shared" ca="1" si="110"/>
        <v>0</v>
      </c>
      <c r="AX390" s="2207"/>
      <c r="AY390" s="2207"/>
      <c r="AZ390" s="2208"/>
      <c r="BA390" s="2200"/>
      <c r="BB390" s="956" t="b">
        <f t="shared" ca="1" si="111"/>
        <v>0</v>
      </c>
    </row>
    <row r="391" spans="2:54" ht="13.5" customHeight="1">
      <c r="B391" s="2445"/>
      <c r="C391" s="2521"/>
      <c r="D391" s="2500"/>
      <c r="E391" s="957" t="s">
        <v>777</v>
      </c>
      <c r="F391" s="2210" t="s">
        <v>1355</v>
      </c>
      <c r="G391" s="2210"/>
      <c r="H391" s="2210"/>
      <c r="I391" s="2210"/>
      <c r="J391" s="2210"/>
      <c r="K391" s="2210"/>
      <c r="L391" s="2210"/>
      <c r="M391" s="2210"/>
      <c r="N391" s="2210"/>
      <c r="O391" s="2210"/>
      <c r="P391" s="2211"/>
      <c r="Q391" s="2257">
        <v>1720</v>
      </c>
      <c r="R391" s="2224"/>
      <c r="S391" s="2224"/>
      <c r="T391" s="508" t="s">
        <v>1292</v>
      </c>
      <c r="U391" s="2225" t="s">
        <v>1031</v>
      </c>
      <c r="V391" s="2225"/>
      <c r="W391" s="2225"/>
      <c r="X391" s="508" t="s">
        <v>779</v>
      </c>
      <c r="Y391" s="2224">
        <v>1104</v>
      </c>
      <c r="Z391" s="2224"/>
      <c r="AA391" s="2224"/>
      <c r="AB391" s="508" t="s">
        <v>40</v>
      </c>
      <c r="AC391" s="2224"/>
      <c r="AD391" s="2224"/>
      <c r="AE391" s="2224"/>
      <c r="AF391" s="508" t="s">
        <v>40</v>
      </c>
      <c r="AG391" s="2224"/>
      <c r="AH391" s="2224"/>
      <c r="AI391" s="2226"/>
      <c r="AJ391" s="2212">
        <f t="shared" si="108"/>
        <v>2820</v>
      </c>
      <c r="AK391" s="2213"/>
      <c r="AL391" s="2214"/>
      <c r="AM391" s="2215">
        <v>1</v>
      </c>
      <c r="AN391" s="2216"/>
      <c r="AO391" s="2217"/>
      <c r="AP391" s="2209">
        <f t="shared" si="109"/>
        <v>2820</v>
      </c>
      <c r="AQ391" s="2210"/>
      <c r="AR391" s="2211"/>
      <c r="AS391" s="2203">
        <f ca="1">SUMIF(見積拾!C$78:D$86,F391,見積拾!T$78:T$86)+
SUMIF(内壁・間仕切!A$85:AA$85,F391,内壁・間仕切!A$99:AA$99)+
SUMIF(内壁・間仕切!A$121:AA$121,F391,内壁・間仕切!A$135:AA$135)+
SUMIF(内壁・間仕切!A$157:AA$157,F391,内壁・間仕切!A$171:AA$171)+
SUMIF(内壁・間仕切!A$193:AA$193,F391,内壁・間仕切!A$207:AA$207)</f>
        <v>0</v>
      </c>
      <c r="AT391" s="2204"/>
      <c r="AU391" s="2204"/>
      <c r="AV391" s="2205"/>
      <c r="AW391" s="2206">
        <f t="shared" ca="1" si="110"/>
        <v>0</v>
      </c>
      <c r="AX391" s="2207"/>
      <c r="AY391" s="2207"/>
      <c r="AZ391" s="2208"/>
      <c r="BA391" s="2200"/>
      <c r="BB391" s="956" t="b">
        <f t="shared" ca="1" si="111"/>
        <v>0</v>
      </c>
    </row>
    <row r="392" spans="2:54" ht="13.5" customHeight="1">
      <c r="B392" s="2445"/>
      <c r="C392" s="2521"/>
      <c r="D392" s="2500"/>
      <c r="E392" s="957" t="s">
        <v>777</v>
      </c>
      <c r="F392" s="2210" t="s">
        <v>1356</v>
      </c>
      <c r="G392" s="2210"/>
      <c r="H392" s="2210"/>
      <c r="I392" s="2210"/>
      <c r="J392" s="2210"/>
      <c r="K392" s="2210"/>
      <c r="L392" s="2210"/>
      <c r="M392" s="2210"/>
      <c r="N392" s="2210"/>
      <c r="O392" s="2210"/>
      <c r="P392" s="2211"/>
      <c r="Q392" s="2257">
        <v>1279</v>
      </c>
      <c r="R392" s="2224"/>
      <c r="S392" s="2224"/>
      <c r="T392" s="508" t="s">
        <v>1292</v>
      </c>
      <c r="U392" s="2224">
        <v>840</v>
      </c>
      <c r="V392" s="2224"/>
      <c r="W392" s="2224"/>
      <c r="X392" s="508" t="s">
        <v>779</v>
      </c>
      <c r="Y392" s="2224">
        <v>1104</v>
      </c>
      <c r="Z392" s="2224"/>
      <c r="AA392" s="2224"/>
      <c r="AB392" s="508" t="s">
        <v>802</v>
      </c>
      <c r="AC392" s="2224"/>
      <c r="AD392" s="2224"/>
      <c r="AE392" s="2224"/>
      <c r="AF392" s="508" t="s">
        <v>802</v>
      </c>
      <c r="AG392" s="2224"/>
      <c r="AH392" s="2224"/>
      <c r="AI392" s="2226"/>
      <c r="AJ392" s="2212">
        <f t="shared" si="108"/>
        <v>3220</v>
      </c>
      <c r="AK392" s="2213"/>
      <c r="AL392" s="2214"/>
      <c r="AM392" s="2215">
        <v>1</v>
      </c>
      <c r="AN392" s="2216"/>
      <c r="AO392" s="2217"/>
      <c r="AP392" s="2209">
        <f t="shared" si="109"/>
        <v>3220</v>
      </c>
      <c r="AQ392" s="2210"/>
      <c r="AR392" s="2211"/>
      <c r="AS392" s="2203">
        <f ca="1">SUMIF(見積拾!C$78:D$86,F392,見積拾!T$78:T$86)+
SUMIF(内壁・間仕切!A$85:AA$85,F392,内壁・間仕切!A$99:AA$99)+
SUMIF(内壁・間仕切!A$121:AA$121,F392,内壁・間仕切!A$135:AA$135)+
SUMIF(内壁・間仕切!A$157:AA$157,F392,内壁・間仕切!A$171:AA$171)+
SUMIF(内壁・間仕切!A$193:AA$193,F392,内壁・間仕切!A$207:AA$207)</f>
        <v>0</v>
      </c>
      <c r="AT392" s="2204"/>
      <c r="AU392" s="2204"/>
      <c r="AV392" s="2205"/>
      <c r="AW392" s="2206">
        <f t="shared" ca="1" si="110"/>
        <v>0</v>
      </c>
      <c r="AX392" s="2207"/>
      <c r="AY392" s="2207"/>
      <c r="AZ392" s="2208"/>
      <c r="BA392" s="2200"/>
      <c r="BB392" s="956" t="b">
        <f t="shared" ca="1" si="111"/>
        <v>0</v>
      </c>
    </row>
    <row r="393" spans="2:54" ht="13.5" customHeight="1">
      <c r="B393" s="2445"/>
      <c r="C393" s="2521"/>
      <c r="D393" s="2500"/>
      <c r="E393" s="957" t="s">
        <v>777</v>
      </c>
      <c r="F393" s="2210" t="s">
        <v>1337</v>
      </c>
      <c r="G393" s="2210"/>
      <c r="H393" s="2210"/>
      <c r="I393" s="2210"/>
      <c r="J393" s="2210"/>
      <c r="K393" s="2210"/>
      <c r="L393" s="2210"/>
      <c r="M393" s="2210"/>
      <c r="N393" s="2210"/>
      <c r="O393" s="2210"/>
      <c r="P393" s="2211"/>
      <c r="Q393" s="2257">
        <v>2545</v>
      </c>
      <c r="R393" s="2224"/>
      <c r="S393" s="2224"/>
      <c r="T393" s="508" t="s">
        <v>1292</v>
      </c>
      <c r="U393" s="2224">
        <v>1400</v>
      </c>
      <c r="V393" s="2224"/>
      <c r="W393" s="2224"/>
      <c r="X393" s="508" t="s">
        <v>779</v>
      </c>
      <c r="Y393" s="2224">
        <v>1104</v>
      </c>
      <c r="Z393" s="2224"/>
      <c r="AA393" s="2224"/>
      <c r="AB393" s="508" t="s">
        <v>816</v>
      </c>
      <c r="AC393" s="2224"/>
      <c r="AD393" s="2224"/>
      <c r="AE393" s="2224"/>
      <c r="AF393" s="508" t="s">
        <v>816</v>
      </c>
      <c r="AG393" s="2224"/>
      <c r="AH393" s="2224"/>
      <c r="AI393" s="2226"/>
      <c r="AJ393" s="2212">
        <f t="shared" si="108"/>
        <v>5040</v>
      </c>
      <c r="AK393" s="2213"/>
      <c r="AL393" s="2214"/>
      <c r="AM393" s="2215">
        <v>1</v>
      </c>
      <c r="AN393" s="2216"/>
      <c r="AO393" s="2217"/>
      <c r="AP393" s="2209">
        <f t="shared" si="109"/>
        <v>5040</v>
      </c>
      <c r="AQ393" s="2210"/>
      <c r="AR393" s="2211"/>
      <c r="AS393" s="2203">
        <f ca="1">SUMIF(見積拾!C$78:D$86,F393,見積拾!T$78:T$86)+
SUMIF(内壁・間仕切!A$85:AA$85,F393,内壁・間仕切!A$99:AA$99)+
SUMIF(内壁・間仕切!A$121:AA$121,F393,内壁・間仕切!A$135:AA$135)+
SUMIF(内壁・間仕切!A$157:AA$157,F393,内壁・間仕切!A$171:AA$171)+
SUMIF(内壁・間仕切!A$193:AA$193,F393,内壁・間仕切!A$207:AA$207)</f>
        <v>0</v>
      </c>
      <c r="AT393" s="2204"/>
      <c r="AU393" s="2204"/>
      <c r="AV393" s="2205"/>
      <c r="AW393" s="2206">
        <f t="shared" ca="1" si="110"/>
        <v>0</v>
      </c>
      <c r="AX393" s="2207"/>
      <c r="AY393" s="2207"/>
      <c r="AZ393" s="2208"/>
      <c r="BA393" s="2200"/>
      <c r="BB393" s="956" t="b">
        <f t="shared" ca="1" si="111"/>
        <v>0</v>
      </c>
    </row>
    <row r="394" spans="2:54" ht="13.5" customHeight="1">
      <c r="B394" s="2445"/>
      <c r="C394" s="2521"/>
      <c r="D394" s="2500"/>
      <c r="E394" s="957" t="s">
        <v>777</v>
      </c>
      <c r="F394" s="2210" t="s">
        <v>1357</v>
      </c>
      <c r="G394" s="2210"/>
      <c r="H394" s="2210"/>
      <c r="I394" s="2210"/>
      <c r="J394" s="2210"/>
      <c r="K394" s="2210"/>
      <c r="L394" s="2210"/>
      <c r="M394" s="2210"/>
      <c r="N394" s="2210"/>
      <c r="O394" s="2210"/>
      <c r="P394" s="2211"/>
      <c r="Q394" s="2257">
        <v>1040</v>
      </c>
      <c r="R394" s="2224"/>
      <c r="S394" s="2224"/>
      <c r="T394" s="508" t="s">
        <v>1292</v>
      </c>
      <c r="U394" s="2225" t="s">
        <v>1031</v>
      </c>
      <c r="V394" s="2225"/>
      <c r="W394" s="2225"/>
      <c r="X394" s="508" t="s">
        <v>779</v>
      </c>
      <c r="Y394" s="2224">
        <v>1104</v>
      </c>
      <c r="Z394" s="2224"/>
      <c r="AA394" s="2224"/>
      <c r="AB394" s="508" t="s">
        <v>40</v>
      </c>
      <c r="AC394" s="2224"/>
      <c r="AD394" s="2224"/>
      <c r="AE394" s="2224"/>
      <c r="AF394" s="508" t="s">
        <v>40</v>
      </c>
      <c r="AG394" s="2224"/>
      <c r="AH394" s="2224"/>
      <c r="AI394" s="2226"/>
      <c r="AJ394" s="2212">
        <f t="shared" si="108"/>
        <v>2140</v>
      </c>
      <c r="AK394" s="2213"/>
      <c r="AL394" s="2214"/>
      <c r="AM394" s="2215">
        <v>1</v>
      </c>
      <c r="AN394" s="2216"/>
      <c r="AO394" s="2217"/>
      <c r="AP394" s="2209">
        <f t="shared" si="109"/>
        <v>2140</v>
      </c>
      <c r="AQ394" s="2210"/>
      <c r="AR394" s="2211"/>
      <c r="AS394" s="2203">
        <f ca="1">SUMIF(見積拾!C$78:D$86,F394,見積拾!T$78:T$86)+
SUMIF(内壁・間仕切!A$85:AA$85,F394,内壁・間仕切!A$99:AA$99)+
SUMIF(内壁・間仕切!A$121:AA$121,F394,内壁・間仕切!A$135:AA$135)+
SUMIF(内壁・間仕切!A$157:AA$157,F394,内壁・間仕切!A$171:AA$171)+
SUMIF(内壁・間仕切!A$193:AA$193,F394,内壁・間仕切!A$207:AA$207)</f>
        <v>0</v>
      </c>
      <c r="AT394" s="2204"/>
      <c r="AU394" s="2204"/>
      <c r="AV394" s="2205"/>
      <c r="AW394" s="2206">
        <f t="shared" ca="1" si="110"/>
        <v>0</v>
      </c>
      <c r="AX394" s="2207"/>
      <c r="AY394" s="2207"/>
      <c r="AZ394" s="2208"/>
      <c r="BA394" s="2200"/>
      <c r="BB394" s="956" t="b">
        <f t="shared" ca="1" si="111"/>
        <v>0</v>
      </c>
    </row>
    <row r="395" spans="2:54" ht="13.5" customHeight="1">
      <c r="B395" s="2445"/>
      <c r="C395" s="2521"/>
      <c r="D395" s="2500"/>
      <c r="E395" s="957" t="s">
        <v>777</v>
      </c>
      <c r="F395" s="2210" t="s">
        <v>1358</v>
      </c>
      <c r="G395" s="2210"/>
      <c r="H395" s="2210"/>
      <c r="I395" s="2210"/>
      <c r="J395" s="2210"/>
      <c r="K395" s="2210"/>
      <c r="L395" s="2210"/>
      <c r="M395" s="2210"/>
      <c r="N395" s="2210"/>
      <c r="O395" s="2210"/>
      <c r="P395" s="2211"/>
      <c r="Q395" s="2257">
        <v>1970</v>
      </c>
      <c r="R395" s="2224"/>
      <c r="S395" s="2224"/>
      <c r="T395" s="508" t="s">
        <v>1292</v>
      </c>
      <c r="U395" s="2225" t="s">
        <v>1031</v>
      </c>
      <c r="V395" s="2225"/>
      <c r="W395" s="2225"/>
      <c r="X395" s="508" t="s">
        <v>779</v>
      </c>
      <c r="Y395" s="2225" t="s">
        <v>1032</v>
      </c>
      <c r="Z395" s="2225"/>
      <c r="AA395" s="2225"/>
      <c r="AB395" s="508" t="s">
        <v>808</v>
      </c>
      <c r="AC395" s="2224"/>
      <c r="AD395" s="2224"/>
      <c r="AE395" s="2224"/>
      <c r="AF395" s="508" t="s">
        <v>808</v>
      </c>
      <c r="AG395" s="2224"/>
      <c r="AH395" s="2224"/>
      <c r="AI395" s="2226"/>
      <c r="AJ395" s="2212">
        <f t="shared" si="108"/>
        <v>1970</v>
      </c>
      <c r="AK395" s="2213"/>
      <c r="AL395" s="2214"/>
      <c r="AM395" s="2215">
        <v>1</v>
      </c>
      <c r="AN395" s="2216"/>
      <c r="AO395" s="2217"/>
      <c r="AP395" s="2209">
        <f t="shared" si="109"/>
        <v>1970</v>
      </c>
      <c r="AQ395" s="2210"/>
      <c r="AR395" s="2211"/>
      <c r="AS395" s="2203">
        <f ca="1">SUMIF(見積拾!C$78:D$86,F395,見積拾!T$78:T$86)+
SUMIF(内壁・間仕切!A$85:AA$85,F395,内壁・間仕切!A$99:AA$99)+
SUMIF(内壁・間仕切!A$121:AA$121,F395,内壁・間仕切!A$135:AA$135)+
SUMIF(内壁・間仕切!A$157:AA$157,F395,内壁・間仕切!A$171:AA$171)+
SUMIF(内壁・間仕切!A$193:AA$193,F395,内壁・間仕切!A$207:AA$207)</f>
        <v>0</v>
      </c>
      <c r="AT395" s="2204"/>
      <c r="AU395" s="2204"/>
      <c r="AV395" s="2205"/>
      <c r="AW395" s="2206">
        <f t="shared" ca="1" si="110"/>
        <v>0</v>
      </c>
      <c r="AX395" s="2207"/>
      <c r="AY395" s="2207"/>
      <c r="AZ395" s="2208"/>
      <c r="BA395" s="2200"/>
      <c r="BB395" s="956" t="b">
        <f t="shared" ca="1" si="111"/>
        <v>0</v>
      </c>
    </row>
    <row r="396" spans="2:54" ht="13.5" customHeight="1">
      <c r="B396" s="2445"/>
      <c r="C396" s="2521"/>
      <c r="D396" s="2500"/>
      <c r="E396" s="957" t="s">
        <v>777</v>
      </c>
      <c r="F396" s="2210" t="s">
        <v>1359</v>
      </c>
      <c r="G396" s="2210"/>
      <c r="H396" s="2210"/>
      <c r="I396" s="2210"/>
      <c r="J396" s="2210"/>
      <c r="K396" s="2210"/>
      <c r="L396" s="2210"/>
      <c r="M396" s="2210"/>
      <c r="N396" s="2210"/>
      <c r="O396" s="2210"/>
      <c r="P396" s="2211"/>
      <c r="Q396" s="2257">
        <v>6559</v>
      </c>
      <c r="R396" s="2224"/>
      <c r="S396" s="2224"/>
      <c r="T396" s="508" t="s">
        <v>1292</v>
      </c>
      <c r="U396" s="2224">
        <v>1680</v>
      </c>
      <c r="V396" s="2224"/>
      <c r="W396" s="2224"/>
      <c r="X396" s="508" t="s">
        <v>779</v>
      </c>
      <c r="Y396" s="2224">
        <v>1104</v>
      </c>
      <c r="Z396" s="2224"/>
      <c r="AA396" s="2224"/>
      <c r="AB396" s="508" t="s">
        <v>811</v>
      </c>
      <c r="AC396" s="2224"/>
      <c r="AD396" s="2224"/>
      <c r="AE396" s="2224"/>
      <c r="AF396" s="508" t="s">
        <v>811</v>
      </c>
      <c r="AG396" s="2224"/>
      <c r="AH396" s="2224"/>
      <c r="AI396" s="2226"/>
      <c r="AJ396" s="2212">
        <f t="shared" si="108"/>
        <v>9340</v>
      </c>
      <c r="AK396" s="2213"/>
      <c r="AL396" s="2214"/>
      <c r="AM396" s="2215">
        <v>1</v>
      </c>
      <c r="AN396" s="2216"/>
      <c r="AO396" s="2217"/>
      <c r="AP396" s="2209">
        <f t="shared" si="109"/>
        <v>9340</v>
      </c>
      <c r="AQ396" s="2210"/>
      <c r="AR396" s="2211"/>
      <c r="AS396" s="2203">
        <f ca="1">SUMIF(見積拾!C$78:D$86,F396,見積拾!T$78:T$86)+
SUMIF(内壁・間仕切!A$85:AA$85,F396,内壁・間仕切!A$99:AA$99)+
SUMIF(内壁・間仕切!A$121:AA$121,F396,内壁・間仕切!A$135:AA$135)+
SUMIF(内壁・間仕切!A$157:AA$157,F396,内壁・間仕切!A$171:AA$171)+
SUMIF(内壁・間仕切!A$193:AA$193,F396,内壁・間仕切!A$207:AA$207)</f>
        <v>0</v>
      </c>
      <c r="AT396" s="2204"/>
      <c r="AU396" s="2204"/>
      <c r="AV396" s="2205"/>
      <c r="AW396" s="2206">
        <f t="shared" ca="1" si="110"/>
        <v>0</v>
      </c>
      <c r="AX396" s="2207"/>
      <c r="AY396" s="2207"/>
      <c r="AZ396" s="2208"/>
      <c r="BA396" s="2200"/>
      <c r="BB396" s="956" t="b">
        <f t="shared" ca="1" si="111"/>
        <v>0</v>
      </c>
    </row>
    <row r="397" spans="2:54" ht="13.5" customHeight="1">
      <c r="B397" s="2445"/>
      <c r="C397" s="2521"/>
      <c r="D397" s="2500"/>
      <c r="E397" s="957" t="s">
        <v>777</v>
      </c>
      <c r="F397" s="2210" t="s">
        <v>1360</v>
      </c>
      <c r="G397" s="2210"/>
      <c r="H397" s="2210"/>
      <c r="I397" s="2210"/>
      <c r="J397" s="2210"/>
      <c r="K397" s="2210"/>
      <c r="L397" s="2210"/>
      <c r="M397" s="2210"/>
      <c r="N397" s="2210"/>
      <c r="O397" s="2210"/>
      <c r="P397" s="2211"/>
      <c r="Q397" s="2257">
        <v>4777</v>
      </c>
      <c r="R397" s="2224"/>
      <c r="S397" s="2224"/>
      <c r="T397" s="508" t="s">
        <v>1292</v>
      </c>
      <c r="U397" s="2225" t="s">
        <v>1031</v>
      </c>
      <c r="V397" s="2225"/>
      <c r="W397" s="2225"/>
      <c r="X397" s="508" t="s">
        <v>779</v>
      </c>
      <c r="Y397" s="2224">
        <v>1104</v>
      </c>
      <c r="Z397" s="2224"/>
      <c r="AA397" s="2224"/>
      <c r="AB397" s="508" t="s">
        <v>811</v>
      </c>
      <c r="AC397" s="2224"/>
      <c r="AD397" s="2224"/>
      <c r="AE397" s="2224"/>
      <c r="AF397" s="508" t="s">
        <v>811</v>
      </c>
      <c r="AG397" s="2224"/>
      <c r="AH397" s="2224"/>
      <c r="AI397" s="2226"/>
      <c r="AJ397" s="2212">
        <f t="shared" ref="AJ397:AJ408" si="116">ROUNDDOWN(SUM(Q397:AI397),-1)</f>
        <v>5880</v>
      </c>
      <c r="AK397" s="2213"/>
      <c r="AL397" s="2214"/>
      <c r="AM397" s="2215">
        <v>1</v>
      </c>
      <c r="AN397" s="2216"/>
      <c r="AO397" s="2217"/>
      <c r="AP397" s="2209">
        <f t="shared" ref="AP397:AP408" si="117">INT(AJ397*AM397)</f>
        <v>5880</v>
      </c>
      <c r="AQ397" s="2210"/>
      <c r="AR397" s="2211"/>
      <c r="AS397" s="2203">
        <f ca="1">SUMIF(見積拾!C$78:D$86,F397,見積拾!T$78:T$86)+
SUMIF(内壁・間仕切!A$85:AA$85,F397,内壁・間仕切!A$99:AA$99)+
SUMIF(内壁・間仕切!A$121:AA$121,F397,内壁・間仕切!A$135:AA$135)+
SUMIF(内壁・間仕切!A$157:AA$157,F397,内壁・間仕切!A$171:AA$171)+
SUMIF(内壁・間仕切!A$193:AA$193,F397,内壁・間仕切!A$207:AA$207)</f>
        <v>0</v>
      </c>
      <c r="AT397" s="2204"/>
      <c r="AU397" s="2204"/>
      <c r="AV397" s="2205"/>
      <c r="AW397" s="2206">
        <f t="shared" ref="AW397:AW408" ca="1" si="118">INT(AP397*AS397)</f>
        <v>0</v>
      </c>
      <c r="AX397" s="2207"/>
      <c r="AY397" s="2207"/>
      <c r="AZ397" s="2208"/>
      <c r="BA397" s="2200"/>
      <c r="BB397" s="956" t="b">
        <f t="shared" ref="BB397:BB408" ca="1" si="119">AW397&lt;&gt;0</f>
        <v>0</v>
      </c>
    </row>
    <row r="398" spans="2:54" ht="13.5" customHeight="1">
      <c r="B398" s="2445"/>
      <c r="C398" s="2521"/>
      <c r="D398" s="2500"/>
      <c r="E398" s="957" t="s">
        <v>777</v>
      </c>
      <c r="F398" s="2210" t="s">
        <v>1361</v>
      </c>
      <c r="G398" s="2210"/>
      <c r="H398" s="2210"/>
      <c r="I398" s="2210"/>
      <c r="J398" s="2210"/>
      <c r="K398" s="2210"/>
      <c r="L398" s="2210"/>
      <c r="M398" s="2210"/>
      <c r="N398" s="2210"/>
      <c r="O398" s="2210"/>
      <c r="P398" s="2211"/>
      <c r="Q398" s="2257">
        <v>1559</v>
      </c>
      <c r="R398" s="2224"/>
      <c r="S398" s="2224"/>
      <c r="T398" s="508" t="s">
        <v>1292</v>
      </c>
      <c r="U398" s="2225" t="s">
        <v>1031</v>
      </c>
      <c r="V398" s="2225"/>
      <c r="W398" s="2225"/>
      <c r="X398" s="508" t="s">
        <v>779</v>
      </c>
      <c r="Y398" s="2224">
        <v>1104</v>
      </c>
      <c r="Z398" s="2224"/>
      <c r="AA398" s="2224"/>
      <c r="AB398" s="508" t="s">
        <v>811</v>
      </c>
      <c r="AC398" s="2224"/>
      <c r="AD398" s="2224"/>
      <c r="AE398" s="2224"/>
      <c r="AF398" s="508" t="s">
        <v>811</v>
      </c>
      <c r="AG398" s="2224"/>
      <c r="AH398" s="2224"/>
      <c r="AI398" s="2226"/>
      <c r="AJ398" s="2212">
        <f t="shared" si="116"/>
        <v>2660</v>
      </c>
      <c r="AK398" s="2213"/>
      <c r="AL398" s="2214"/>
      <c r="AM398" s="2215">
        <v>1</v>
      </c>
      <c r="AN398" s="2216"/>
      <c r="AO398" s="2217"/>
      <c r="AP398" s="2209">
        <f t="shared" si="117"/>
        <v>2660</v>
      </c>
      <c r="AQ398" s="2210"/>
      <c r="AR398" s="2211"/>
      <c r="AS398" s="2203">
        <f ca="1">SUMIF(見積拾!C$78:D$86,F398,見積拾!T$78:T$86)+
SUMIF(内壁・間仕切!A$85:AA$85,F398,内壁・間仕切!A$99:AA$99)+
SUMIF(内壁・間仕切!A$121:AA$121,F398,内壁・間仕切!A$135:AA$135)+
SUMIF(内壁・間仕切!A$157:AA$157,F398,内壁・間仕切!A$171:AA$171)+
SUMIF(内壁・間仕切!A$193:AA$193,F398,内壁・間仕切!A$207:AA$207)</f>
        <v>0</v>
      </c>
      <c r="AT398" s="2204"/>
      <c r="AU398" s="2204"/>
      <c r="AV398" s="2205"/>
      <c r="AW398" s="2206">
        <f t="shared" ca="1" si="118"/>
        <v>0</v>
      </c>
      <c r="AX398" s="2207"/>
      <c r="AY398" s="2207"/>
      <c r="AZ398" s="2208"/>
      <c r="BA398" s="2200"/>
      <c r="BB398" s="956" t="b">
        <f t="shared" ca="1" si="119"/>
        <v>0</v>
      </c>
    </row>
    <row r="399" spans="2:54" ht="13.5" customHeight="1">
      <c r="B399" s="2445"/>
      <c r="C399" s="2521"/>
      <c r="D399" s="2500"/>
      <c r="E399" s="957" t="s">
        <v>777</v>
      </c>
      <c r="F399" s="2210" t="s">
        <v>1362</v>
      </c>
      <c r="G399" s="2210"/>
      <c r="H399" s="2210"/>
      <c r="I399" s="2210"/>
      <c r="J399" s="2210"/>
      <c r="K399" s="2210"/>
      <c r="L399" s="2210"/>
      <c r="M399" s="2210"/>
      <c r="N399" s="2210"/>
      <c r="O399" s="2210"/>
      <c r="P399" s="2211"/>
      <c r="Q399" s="2257">
        <v>30528</v>
      </c>
      <c r="R399" s="2224"/>
      <c r="S399" s="2224"/>
      <c r="T399" s="508" t="s">
        <v>1292</v>
      </c>
      <c r="U399" s="2224">
        <v>1400</v>
      </c>
      <c r="V399" s="2224"/>
      <c r="W399" s="2224"/>
      <c r="X399" s="508" t="s">
        <v>779</v>
      </c>
      <c r="Y399" s="2224">
        <v>1104</v>
      </c>
      <c r="Z399" s="2224"/>
      <c r="AA399" s="2224"/>
      <c r="AB399" s="508" t="s">
        <v>811</v>
      </c>
      <c r="AC399" s="2224"/>
      <c r="AD399" s="2224"/>
      <c r="AE399" s="2224"/>
      <c r="AF399" s="508" t="s">
        <v>811</v>
      </c>
      <c r="AG399" s="2224"/>
      <c r="AH399" s="2224"/>
      <c r="AI399" s="2226"/>
      <c r="AJ399" s="2212">
        <f t="shared" si="116"/>
        <v>33030</v>
      </c>
      <c r="AK399" s="2213"/>
      <c r="AL399" s="2214"/>
      <c r="AM399" s="2215">
        <v>1</v>
      </c>
      <c r="AN399" s="2216"/>
      <c r="AO399" s="2217"/>
      <c r="AP399" s="2209">
        <f t="shared" si="117"/>
        <v>33030</v>
      </c>
      <c r="AQ399" s="2210"/>
      <c r="AR399" s="2211"/>
      <c r="AS399" s="2203">
        <f ca="1">SUMIF(見積拾!C$78:D$86,F399,見積拾!T$78:T$86)+
SUMIF(内壁・間仕切!A$85:AA$85,F399,内壁・間仕切!A$99:AA$99)+
SUMIF(内壁・間仕切!A$121:AA$121,F399,内壁・間仕切!A$135:AA$135)+
SUMIF(内壁・間仕切!A$157:AA$157,F399,内壁・間仕切!A$171:AA$171)+
SUMIF(内壁・間仕切!A$193:AA$193,F399,内壁・間仕切!A$207:AA$207)</f>
        <v>0</v>
      </c>
      <c r="AT399" s="2204"/>
      <c r="AU399" s="2204"/>
      <c r="AV399" s="2205"/>
      <c r="AW399" s="2206">
        <f t="shared" ca="1" si="118"/>
        <v>0</v>
      </c>
      <c r="AX399" s="2207"/>
      <c r="AY399" s="2207"/>
      <c r="AZ399" s="2208"/>
      <c r="BA399" s="2200"/>
      <c r="BB399" s="956" t="b">
        <f t="shared" ca="1" si="119"/>
        <v>0</v>
      </c>
    </row>
    <row r="400" spans="2:54" ht="13.5" customHeight="1">
      <c r="B400" s="2445"/>
      <c r="C400" s="2521"/>
      <c r="D400" s="2500"/>
      <c r="E400" s="957" t="s">
        <v>777</v>
      </c>
      <c r="F400" s="2210" t="s">
        <v>1363</v>
      </c>
      <c r="G400" s="2210"/>
      <c r="H400" s="2210"/>
      <c r="I400" s="2210"/>
      <c r="J400" s="2210"/>
      <c r="K400" s="2210"/>
      <c r="L400" s="2210"/>
      <c r="M400" s="2210"/>
      <c r="N400" s="2210"/>
      <c r="O400" s="2210"/>
      <c r="P400" s="2211"/>
      <c r="Q400" s="2257">
        <v>18209</v>
      </c>
      <c r="R400" s="2224"/>
      <c r="S400" s="2224"/>
      <c r="T400" s="508" t="s">
        <v>1292</v>
      </c>
      <c r="U400" s="2224">
        <v>1400</v>
      </c>
      <c r="V400" s="2224"/>
      <c r="W400" s="2224"/>
      <c r="X400" s="508" t="s">
        <v>779</v>
      </c>
      <c r="Y400" s="2224">
        <v>1104</v>
      </c>
      <c r="Z400" s="2224"/>
      <c r="AA400" s="2224"/>
      <c r="AB400" s="508" t="s">
        <v>811</v>
      </c>
      <c r="AC400" s="2224"/>
      <c r="AD400" s="2224"/>
      <c r="AE400" s="2224"/>
      <c r="AF400" s="508" t="s">
        <v>811</v>
      </c>
      <c r="AG400" s="2224"/>
      <c r="AH400" s="2224"/>
      <c r="AI400" s="2226"/>
      <c r="AJ400" s="2212">
        <f t="shared" si="116"/>
        <v>20710</v>
      </c>
      <c r="AK400" s="2213"/>
      <c r="AL400" s="2214"/>
      <c r="AM400" s="2215">
        <v>1</v>
      </c>
      <c r="AN400" s="2216"/>
      <c r="AO400" s="2217"/>
      <c r="AP400" s="2209">
        <f t="shared" si="117"/>
        <v>20710</v>
      </c>
      <c r="AQ400" s="2210"/>
      <c r="AR400" s="2211"/>
      <c r="AS400" s="2203">
        <f ca="1">SUMIF(見積拾!C$78:D$86,F400,見積拾!T$78:T$86)+
SUMIF(内壁・間仕切!A$85:AA$85,F400,内壁・間仕切!A$99:AA$99)+
SUMIF(内壁・間仕切!A$121:AA$121,F400,内壁・間仕切!A$135:AA$135)+
SUMIF(内壁・間仕切!A$157:AA$157,F400,内壁・間仕切!A$171:AA$171)+
SUMIF(内壁・間仕切!A$193:AA$193,F400,内壁・間仕切!A$207:AA$207)</f>
        <v>0</v>
      </c>
      <c r="AT400" s="2204"/>
      <c r="AU400" s="2204"/>
      <c r="AV400" s="2205"/>
      <c r="AW400" s="2206">
        <f t="shared" ca="1" si="118"/>
        <v>0</v>
      </c>
      <c r="AX400" s="2207"/>
      <c r="AY400" s="2207"/>
      <c r="AZ400" s="2208"/>
      <c r="BA400" s="2200"/>
      <c r="BB400" s="956" t="b">
        <f t="shared" ca="1" si="119"/>
        <v>0</v>
      </c>
    </row>
    <row r="401" spans="2:54" ht="13.5" customHeight="1">
      <c r="B401" s="2445"/>
      <c r="C401" s="2521"/>
      <c r="D401" s="2500"/>
      <c r="E401" s="957" t="s">
        <v>777</v>
      </c>
      <c r="F401" s="2210" t="s">
        <v>1364</v>
      </c>
      <c r="G401" s="2210"/>
      <c r="H401" s="2210"/>
      <c r="I401" s="2210"/>
      <c r="J401" s="2210"/>
      <c r="K401" s="2210"/>
      <c r="L401" s="2210"/>
      <c r="M401" s="2210"/>
      <c r="N401" s="2210"/>
      <c r="O401" s="2210"/>
      <c r="P401" s="2211"/>
      <c r="Q401" s="2257">
        <v>5410</v>
      </c>
      <c r="R401" s="2224"/>
      <c r="S401" s="2224"/>
      <c r="T401" s="508" t="s">
        <v>1292</v>
      </c>
      <c r="U401" s="2224">
        <v>1400</v>
      </c>
      <c r="V401" s="2224"/>
      <c r="W401" s="2224"/>
      <c r="X401" s="508" t="s">
        <v>779</v>
      </c>
      <c r="Y401" s="2224">
        <v>2064</v>
      </c>
      <c r="Z401" s="2224"/>
      <c r="AA401" s="2224"/>
      <c r="AB401" s="508" t="s">
        <v>806</v>
      </c>
      <c r="AC401" s="2224"/>
      <c r="AD401" s="2224"/>
      <c r="AE401" s="2224"/>
      <c r="AF401" s="508" t="s">
        <v>806</v>
      </c>
      <c r="AG401" s="2224"/>
      <c r="AH401" s="2224"/>
      <c r="AI401" s="2226"/>
      <c r="AJ401" s="2212">
        <f t="shared" si="116"/>
        <v>8870</v>
      </c>
      <c r="AK401" s="2213"/>
      <c r="AL401" s="2214"/>
      <c r="AM401" s="2215">
        <v>1</v>
      </c>
      <c r="AN401" s="2216"/>
      <c r="AO401" s="2217"/>
      <c r="AP401" s="2209">
        <f t="shared" si="117"/>
        <v>8870</v>
      </c>
      <c r="AQ401" s="2210"/>
      <c r="AR401" s="2211"/>
      <c r="AS401" s="2203">
        <f ca="1">SUMIF(見積拾!C$78:D$86,F401,見積拾!T$78:T$86)+
SUMIF(内壁・間仕切!A$85:AA$85,F401,内壁・間仕切!A$99:AA$99)+
SUMIF(内壁・間仕切!A$121:AA$121,F401,内壁・間仕切!A$135:AA$135)+
SUMIF(内壁・間仕切!A$157:AA$157,F401,内壁・間仕切!A$171:AA$171)+
SUMIF(内壁・間仕切!A$193:AA$193,F401,内壁・間仕切!A$207:AA$207)</f>
        <v>0</v>
      </c>
      <c r="AT401" s="2204"/>
      <c r="AU401" s="2204"/>
      <c r="AV401" s="2205"/>
      <c r="AW401" s="2206">
        <f t="shared" ca="1" si="118"/>
        <v>0</v>
      </c>
      <c r="AX401" s="2207"/>
      <c r="AY401" s="2207"/>
      <c r="AZ401" s="2208"/>
      <c r="BA401" s="2200"/>
      <c r="BB401" s="956" t="b">
        <f t="shared" ca="1" si="119"/>
        <v>0</v>
      </c>
    </row>
    <row r="402" spans="2:54" ht="13.5" customHeight="1">
      <c r="B402" s="2445"/>
      <c r="C402" s="2521"/>
      <c r="D402" s="2500"/>
      <c r="E402" s="957" t="s">
        <v>777</v>
      </c>
      <c r="F402" s="2210" t="s">
        <v>1365</v>
      </c>
      <c r="G402" s="2210"/>
      <c r="H402" s="2210"/>
      <c r="I402" s="2210"/>
      <c r="J402" s="2210"/>
      <c r="K402" s="2210"/>
      <c r="L402" s="2210"/>
      <c r="M402" s="2210"/>
      <c r="N402" s="2210"/>
      <c r="O402" s="2210"/>
      <c r="P402" s="2211"/>
      <c r="Q402" s="2257">
        <v>2880</v>
      </c>
      <c r="R402" s="2224"/>
      <c r="S402" s="2224"/>
      <c r="T402" s="508" t="s">
        <v>1292</v>
      </c>
      <c r="U402" s="2225" t="s">
        <v>1031</v>
      </c>
      <c r="V402" s="2225"/>
      <c r="W402" s="2225"/>
      <c r="X402" s="508" t="s">
        <v>779</v>
      </c>
      <c r="Y402" s="2224">
        <v>2064</v>
      </c>
      <c r="Z402" s="2224"/>
      <c r="AA402" s="2224"/>
      <c r="AB402" s="508" t="s">
        <v>806</v>
      </c>
      <c r="AC402" s="2224"/>
      <c r="AD402" s="2224"/>
      <c r="AE402" s="2224"/>
      <c r="AF402" s="508" t="s">
        <v>806</v>
      </c>
      <c r="AG402" s="2224"/>
      <c r="AH402" s="2224"/>
      <c r="AI402" s="2226"/>
      <c r="AJ402" s="2212">
        <f t="shared" si="116"/>
        <v>4940</v>
      </c>
      <c r="AK402" s="2213"/>
      <c r="AL402" s="2214"/>
      <c r="AM402" s="2215">
        <v>1</v>
      </c>
      <c r="AN402" s="2216"/>
      <c r="AO402" s="2217"/>
      <c r="AP402" s="2209">
        <f t="shared" si="117"/>
        <v>4940</v>
      </c>
      <c r="AQ402" s="2210"/>
      <c r="AR402" s="2211"/>
      <c r="AS402" s="2203">
        <f ca="1">SUMIF(見積拾!C$78:D$86,F402,見積拾!T$78:T$86)+
SUMIF(内壁・間仕切!A$85:AA$85,F402,内壁・間仕切!A$99:AA$99)+
SUMIF(内壁・間仕切!A$121:AA$121,F402,内壁・間仕切!A$135:AA$135)+
SUMIF(内壁・間仕切!A$157:AA$157,F402,内壁・間仕切!A$171:AA$171)+
SUMIF(内壁・間仕切!A$193:AA$193,F402,内壁・間仕切!A$207:AA$207)</f>
        <v>0</v>
      </c>
      <c r="AT402" s="2204"/>
      <c r="AU402" s="2204"/>
      <c r="AV402" s="2205"/>
      <c r="AW402" s="2206">
        <f t="shared" ca="1" si="118"/>
        <v>0</v>
      </c>
      <c r="AX402" s="2207"/>
      <c r="AY402" s="2207"/>
      <c r="AZ402" s="2208"/>
      <c r="BA402" s="2200"/>
      <c r="BB402" s="956" t="b">
        <f t="shared" ca="1" si="119"/>
        <v>0</v>
      </c>
    </row>
    <row r="403" spans="2:54" ht="13.5" customHeight="1">
      <c r="B403" s="2445"/>
      <c r="C403" s="2521"/>
      <c r="D403" s="2500"/>
      <c r="E403" s="957" t="s">
        <v>777</v>
      </c>
      <c r="F403" s="2210" t="s">
        <v>1366</v>
      </c>
      <c r="G403" s="2210"/>
      <c r="H403" s="2210"/>
      <c r="I403" s="2210"/>
      <c r="J403" s="2210"/>
      <c r="K403" s="2210"/>
      <c r="L403" s="2210"/>
      <c r="M403" s="2210"/>
      <c r="N403" s="2210"/>
      <c r="O403" s="2210"/>
      <c r="P403" s="2211"/>
      <c r="Q403" s="2257">
        <v>1070</v>
      </c>
      <c r="R403" s="2224"/>
      <c r="S403" s="2224"/>
      <c r="T403" s="508" t="s">
        <v>1292</v>
      </c>
      <c r="U403" s="2225" t="s">
        <v>1031</v>
      </c>
      <c r="V403" s="2225"/>
      <c r="W403" s="2225"/>
      <c r="X403" s="508" t="s">
        <v>779</v>
      </c>
      <c r="Y403" s="2224">
        <v>2064</v>
      </c>
      <c r="Z403" s="2224"/>
      <c r="AA403" s="2224"/>
      <c r="AB403" s="508" t="s">
        <v>806</v>
      </c>
      <c r="AC403" s="2224"/>
      <c r="AD403" s="2224"/>
      <c r="AE403" s="2224"/>
      <c r="AF403" s="508" t="s">
        <v>806</v>
      </c>
      <c r="AG403" s="2224"/>
      <c r="AH403" s="2224"/>
      <c r="AI403" s="2226"/>
      <c r="AJ403" s="2212">
        <f t="shared" si="116"/>
        <v>3130</v>
      </c>
      <c r="AK403" s="2213"/>
      <c r="AL403" s="2214"/>
      <c r="AM403" s="2215">
        <v>1</v>
      </c>
      <c r="AN403" s="2216"/>
      <c r="AO403" s="2217"/>
      <c r="AP403" s="2209">
        <f t="shared" si="117"/>
        <v>3130</v>
      </c>
      <c r="AQ403" s="2210"/>
      <c r="AR403" s="2211"/>
      <c r="AS403" s="2203">
        <f ca="1">SUMIF(見積拾!C$78:D$86,F403,見積拾!T$78:T$86)+
SUMIF(内壁・間仕切!A$85:AA$85,F403,内壁・間仕切!A$99:AA$99)+
SUMIF(内壁・間仕切!A$121:AA$121,F403,内壁・間仕切!A$135:AA$135)+
SUMIF(内壁・間仕切!A$157:AA$157,F403,内壁・間仕切!A$171:AA$171)+
SUMIF(内壁・間仕切!A$193:AA$193,F403,内壁・間仕切!A$207:AA$207)</f>
        <v>0</v>
      </c>
      <c r="AT403" s="2204"/>
      <c r="AU403" s="2204"/>
      <c r="AV403" s="2205"/>
      <c r="AW403" s="2206">
        <f t="shared" ca="1" si="118"/>
        <v>0</v>
      </c>
      <c r="AX403" s="2207"/>
      <c r="AY403" s="2207"/>
      <c r="AZ403" s="2208"/>
      <c r="BA403" s="2200"/>
      <c r="BB403" s="956" t="b">
        <f t="shared" ca="1" si="119"/>
        <v>0</v>
      </c>
    </row>
    <row r="404" spans="2:54" ht="13.5" customHeight="1">
      <c r="B404" s="2445"/>
      <c r="C404" s="2521"/>
      <c r="D404" s="2500"/>
      <c r="E404" s="957" t="s">
        <v>777</v>
      </c>
      <c r="F404" s="2210" t="s">
        <v>1345</v>
      </c>
      <c r="G404" s="2210"/>
      <c r="H404" s="2210"/>
      <c r="I404" s="2210"/>
      <c r="J404" s="2210"/>
      <c r="K404" s="2210"/>
      <c r="L404" s="2210"/>
      <c r="M404" s="2210"/>
      <c r="N404" s="2210"/>
      <c r="O404" s="2210"/>
      <c r="P404" s="2211"/>
      <c r="Q404" s="2257">
        <v>57130</v>
      </c>
      <c r="R404" s="2224"/>
      <c r="S404" s="2224"/>
      <c r="T404" s="508" t="s">
        <v>1292</v>
      </c>
      <c r="U404" s="2225" t="s">
        <v>5702</v>
      </c>
      <c r="V404" s="2225"/>
      <c r="W404" s="2225"/>
      <c r="X404" s="508" t="s">
        <v>779</v>
      </c>
      <c r="Y404" s="2224">
        <v>1104</v>
      </c>
      <c r="Z404" s="2224"/>
      <c r="AA404" s="2224"/>
      <c r="AB404" s="508" t="s">
        <v>806</v>
      </c>
      <c r="AC404" s="508"/>
      <c r="AD404" s="508"/>
      <c r="AE404" s="508"/>
      <c r="AF404" s="508" t="s">
        <v>806</v>
      </c>
      <c r="AG404" s="508"/>
      <c r="AH404" s="508"/>
      <c r="AI404" s="518"/>
      <c r="AJ404" s="2212">
        <f t="shared" si="116"/>
        <v>58230</v>
      </c>
      <c r="AK404" s="2213"/>
      <c r="AL404" s="2214"/>
      <c r="AM404" s="2215">
        <v>1</v>
      </c>
      <c r="AN404" s="2216"/>
      <c r="AO404" s="2217"/>
      <c r="AP404" s="2209">
        <f t="shared" si="117"/>
        <v>58230</v>
      </c>
      <c r="AQ404" s="2210"/>
      <c r="AR404" s="2211"/>
      <c r="AS404" s="2203">
        <f ca="1">SUMIF(見積拾!C$78:D$86,F404,見積拾!T$78:T$86)+
SUMIF(内壁・間仕切!A$85:AA$85,F404,内壁・間仕切!A$99:AA$99)+
SUMIF(内壁・間仕切!A$121:AA$121,F404,内壁・間仕切!A$135:AA$135)+
SUMIF(内壁・間仕切!A$157:AA$157,F404,内壁・間仕切!A$171:AA$171)+
SUMIF(内壁・間仕切!A$193:AA$193,F404,内壁・間仕切!A$207:AA$207)</f>
        <v>0</v>
      </c>
      <c r="AT404" s="2204"/>
      <c r="AU404" s="2204"/>
      <c r="AV404" s="2205"/>
      <c r="AW404" s="2206">
        <f t="shared" ca="1" si="118"/>
        <v>0</v>
      </c>
      <c r="AX404" s="2207"/>
      <c r="AY404" s="2207"/>
      <c r="AZ404" s="2208"/>
      <c r="BA404" s="2200"/>
      <c r="BB404" s="956" t="b">
        <f t="shared" ca="1" si="119"/>
        <v>0</v>
      </c>
    </row>
    <row r="405" spans="2:54" ht="13.5" customHeight="1">
      <c r="B405" s="2445"/>
      <c r="C405" s="2521"/>
      <c r="D405" s="2500"/>
      <c r="E405" s="957" t="s">
        <v>777</v>
      </c>
      <c r="F405" s="2210" t="s">
        <v>1341</v>
      </c>
      <c r="G405" s="2210"/>
      <c r="H405" s="2210"/>
      <c r="I405" s="2210"/>
      <c r="J405" s="2210"/>
      <c r="K405" s="2210"/>
      <c r="L405" s="2210"/>
      <c r="M405" s="2210"/>
      <c r="N405" s="2210"/>
      <c r="O405" s="2210"/>
      <c r="P405" s="2211"/>
      <c r="Q405" s="2257">
        <v>2437</v>
      </c>
      <c r="R405" s="2224"/>
      <c r="S405" s="2224"/>
      <c r="T405" s="508" t="s">
        <v>1292</v>
      </c>
      <c r="U405" s="2224">
        <v>2560</v>
      </c>
      <c r="V405" s="2224"/>
      <c r="W405" s="2224"/>
      <c r="X405" s="508" t="s">
        <v>779</v>
      </c>
      <c r="Y405" s="2224">
        <v>1104</v>
      </c>
      <c r="Z405" s="2224"/>
      <c r="AA405" s="2224"/>
      <c r="AB405" s="508" t="s">
        <v>40</v>
      </c>
      <c r="AC405" s="508"/>
      <c r="AD405" s="508"/>
      <c r="AE405" s="508"/>
      <c r="AF405" s="508" t="s">
        <v>40</v>
      </c>
      <c r="AG405" s="508"/>
      <c r="AH405" s="508"/>
      <c r="AI405" s="518"/>
      <c r="AJ405" s="2212">
        <f t="shared" ref="AJ405:AJ407" si="120">ROUNDDOWN(SUM(Q405:AI405),-1)</f>
        <v>6100</v>
      </c>
      <c r="AK405" s="2213"/>
      <c r="AL405" s="2214"/>
      <c r="AM405" s="2215">
        <v>1</v>
      </c>
      <c r="AN405" s="2216"/>
      <c r="AO405" s="2217"/>
      <c r="AP405" s="2209">
        <f t="shared" ref="AP405:AP407" si="121">INT(AJ405*AM405)</f>
        <v>6100</v>
      </c>
      <c r="AQ405" s="2210"/>
      <c r="AR405" s="2211"/>
      <c r="AS405" s="2203">
        <f ca="1">SUMIF(見積拾!C$78:D$86,F405,見積拾!T$78:T$86)+
SUMIF(内壁・間仕切!A$85:AA$85,F405,内壁・間仕切!A$99:AA$99)+
SUMIF(内壁・間仕切!A$121:AA$121,F405,内壁・間仕切!A$135:AA$135)+
SUMIF(内壁・間仕切!A$157:AA$157,F405,内壁・間仕切!A$171:AA$171)+
SUMIF(内壁・間仕切!A$193:AA$193,F405,内壁・間仕切!A$207:AA$207)</f>
        <v>0</v>
      </c>
      <c r="AT405" s="2204"/>
      <c r="AU405" s="2204"/>
      <c r="AV405" s="2205"/>
      <c r="AW405" s="2206">
        <f t="shared" ref="AW405:AW407" ca="1" si="122">INT(AP405*AS405)</f>
        <v>0</v>
      </c>
      <c r="AX405" s="2207"/>
      <c r="AY405" s="2207"/>
      <c r="AZ405" s="2208"/>
      <c r="BA405" s="2200"/>
      <c r="BB405" s="956" t="b">
        <f t="shared" ref="BB405:BB407" ca="1" si="123">AW405&lt;&gt;0</f>
        <v>0</v>
      </c>
    </row>
    <row r="406" spans="2:54" ht="13.5" customHeight="1">
      <c r="B406" s="2445"/>
      <c r="C406" s="2521"/>
      <c r="D406" s="2500"/>
      <c r="E406" s="957" t="s">
        <v>777</v>
      </c>
      <c r="F406" s="2210" t="s">
        <v>5678</v>
      </c>
      <c r="G406" s="2210"/>
      <c r="H406" s="2210"/>
      <c r="I406" s="2210"/>
      <c r="J406" s="2210"/>
      <c r="K406" s="2210"/>
      <c r="L406" s="2210"/>
      <c r="M406" s="2210"/>
      <c r="N406" s="2210"/>
      <c r="O406" s="2210"/>
      <c r="P406" s="2211"/>
      <c r="Q406" s="2257">
        <f>ROUNDDOWN(12760/2.81,0)</f>
        <v>4540</v>
      </c>
      <c r="R406" s="2224"/>
      <c r="S406" s="2224"/>
      <c r="T406" s="508" t="s">
        <v>1292</v>
      </c>
      <c r="U406" s="2225" t="s">
        <v>1032</v>
      </c>
      <c r="V406" s="2225"/>
      <c r="W406" s="2225"/>
      <c r="X406" s="508" t="s">
        <v>779</v>
      </c>
      <c r="Y406" s="2225" t="s">
        <v>1032</v>
      </c>
      <c r="Z406" s="2225"/>
      <c r="AA406" s="2225"/>
      <c r="AB406" s="508" t="s">
        <v>40</v>
      </c>
      <c r="AC406" s="508"/>
      <c r="AD406" s="508"/>
      <c r="AE406" s="508"/>
      <c r="AF406" s="508" t="s">
        <v>40</v>
      </c>
      <c r="AG406" s="508"/>
      <c r="AH406" s="508"/>
      <c r="AI406" s="518"/>
      <c r="AJ406" s="2212">
        <f t="shared" si="120"/>
        <v>4540</v>
      </c>
      <c r="AK406" s="2213"/>
      <c r="AL406" s="2214"/>
      <c r="AM406" s="2215">
        <v>1</v>
      </c>
      <c r="AN406" s="2216"/>
      <c r="AO406" s="2217"/>
      <c r="AP406" s="2209">
        <f t="shared" si="121"/>
        <v>4540</v>
      </c>
      <c r="AQ406" s="2210"/>
      <c r="AR406" s="2211"/>
      <c r="AS406" s="2406">
        <f ca="1">SUMIF(見積拾!C$78:D$86,F406,見積拾!T$78:T$86)+
SUMIF(内壁・間仕切!A$85:AA$85,F406,内壁・間仕切!A$99:AA$99)+
SUMIF(内壁・間仕切!A$121:AA$121,F406,内壁・間仕切!A$135:AA$135)+
SUMIF(内壁・間仕切!A$157:AA$157,F406,内壁・間仕切!A$171:AA$171)+
SUMIF(内壁・間仕切!A$193:AA$193,F406,内壁・間仕切!A$207:AA$207)</f>
        <v>0</v>
      </c>
      <c r="AT406" s="2407"/>
      <c r="AU406" s="2407"/>
      <c r="AV406" s="2408"/>
      <c r="AW406" s="2206">
        <f t="shared" ca="1" si="122"/>
        <v>0</v>
      </c>
      <c r="AX406" s="2207"/>
      <c r="AY406" s="2207"/>
      <c r="AZ406" s="2208"/>
      <c r="BA406" s="2200"/>
      <c r="BB406" s="956" t="b">
        <f t="shared" ca="1" si="123"/>
        <v>0</v>
      </c>
    </row>
    <row r="407" spans="2:54" ht="13.5" customHeight="1">
      <c r="B407" s="2445"/>
      <c r="C407" s="2521"/>
      <c r="D407" s="2500"/>
      <c r="E407" s="957" t="s">
        <v>777</v>
      </c>
      <c r="F407" s="2210" t="s">
        <v>5679</v>
      </c>
      <c r="G407" s="2210"/>
      <c r="H407" s="2210"/>
      <c r="I407" s="2210"/>
      <c r="J407" s="2210"/>
      <c r="K407" s="2210"/>
      <c r="L407" s="2210"/>
      <c r="M407" s="2210"/>
      <c r="N407" s="2210"/>
      <c r="O407" s="2210"/>
      <c r="P407" s="2211"/>
      <c r="Q407" s="2257">
        <f>ROUNDDOWN(7280/2.65,0)</f>
        <v>2747</v>
      </c>
      <c r="R407" s="2224"/>
      <c r="S407" s="2224"/>
      <c r="T407" s="508" t="s">
        <v>1292</v>
      </c>
      <c r="U407" s="2225" t="s">
        <v>1032</v>
      </c>
      <c r="V407" s="2225"/>
      <c r="W407" s="2225"/>
      <c r="X407" s="508" t="s">
        <v>779</v>
      </c>
      <c r="Y407" s="2225" t="s">
        <v>1032</v>
      </c>
      <c r="Z407" s="2225"/>
      <c r="AA407" s="2225"/>
      <c r="AB407" s="508" t="s">
        <v>40</v>
      </c>
      <c r="AC407" s="508"/>
      <c r="AD407" s="508"/>
      <c r="AE407" s="508"/>
      <c r="AF407" s="508" t="s">
        <v>40</v>
      </c>
      <c r="AG407" s="508"/>
      <c r="AH407" s="508"/>
      <c r="AI407" s="518"/>
      <c r="AJ407" s="2212">
        <f t="shared" si="120"/>
        <v>2740</v>
      </c>
      <c r="AK407" s="2213"/>
      <c r="AL407" s="2214"/>
      <c r="AM407" s="2215">
        <v>1</v>
      </c>
      <c r="AN407" s="2216"/>
      <c r="AO407" s="2217"/>
      <c r="AP407" s="2209">
        <f t="shared" si="121"/>
        <v>2740</v>
      </c>
      <c r="AQ407" s="2210"/>
      <c r="AR407" s="2211"/>
      <c r="AS407" s="2406">
        <f ca="1">SUMIF(見積拾!C$78:D$86,F407,見積拾!T$78:T$86)+
SUMIF(内壁・間仕切!A$85:AA$85,F407,内壁・間仕切!A$99:AA$99)+
SUMIF(内壁・間仕切!A$121:AA$121,F407,内壁・間仕切!A$135:AA$135)+
SUMIF(内壁・間仕切!A$157:AA$157,F407,内壁・間仕切!A$171:AA$171)+
SUMIF(内壁・間仕切!A$193:AA$193,F407,内壁・間仕切!A$207:AA$207)</f>
        <v>0</v>
      </c>
      <c r="AT407" s="2407"/>
      <c r="AU407" s="2407"/>
      <c r="AV407" s="2408"/>
      <c r="AW407" s="2206">
        <f t="shared" ca="1" si="122"/>
        <v>0</v>
      </c>
      <c r="AX407" s="2207"/>
      <c r="AY407" s="2207"/>
      <c r="AZ407" s="2208"/>
      <c r="BA407" s="2200"/>
      <c r="BB407" s="956" t="b">
        <f t="shared" ca="1" si="123"/>
        <v>0</v>
      </c>
    </row>
    <row r="408" spans="2:54" ht="13.5" customHeight="1">
      <c r="B408" s="2445"/>
      <c r="C408" s="2521"/>
      <c r="D408" s="2500"/>
      <c r="E408" s="957" t="s">
        <v>777</v>
      </c>
      <c r="F408" s="2210" t="s">
        <v>5680</v>
      </c>
      <c r="G408" s="2210"/>
      <c r="H408" s="2210"/>
      <c r="I408" s="2210"/>
      <c r="J408" s="2210"/>
      <c r="K408" s="2210"/>
      <c r="L408" s="2210"/>
      <c r="M408" s="2210"/>
      <c r="N408" s="2210"/>
      <c r="O408" s="2210"/>
      <c r="P408" s="2211"/>
      <c r="Q408" s="2257">
        <f>ROUNDDOWN(7280/2.65,0)</f>
        <v>2747</v>
      </c>
      <c r="R408" s="2224"/>
      <c r="S408" s="2224"/>
      <c r="T408" s="508" t="s">
        <v>1292</v>
      </c>
      <c r="U408" s="2225" t="s">
        <v>1032</v>
      </c>
      <c r="V408" s="2225"/>
      <c r="W408" s="2225"/>
      <c r="X408" s="508" t="s">
        <v>779</v>
      </c>
      <c r="Y408" s="2225" t="s">
        <v>1032</v>
      </c>
      <c r="Z408" s="2225"/>
      <c r="AA408" s="2225"/>
      <c r="AB408" s="508" t="s">
        <v>806</v>
      </c>
      <c r="AC408" s="508"/>
      <c r="AD408" s="508"/>
      <c r="AE408" s="508"/>
      <c r="AF408" s="508" t="s">
        <v>806</v>
      </c>
      <c r="AG408" s="508"/>
      <c r="AH408" s="508"/>
      <c r="AI408" s="518"/>
      <c r="AJ408" s="2212">
        <f t="shared" si="116"/>
        <v>2740</v>
      </c>
      <c r="AK408" s="2213"/>
      <c r="AL408" s="2214"/>
      <c r="AM408" s="2215">
        <v>1</v>
      </c>
      <c r="AN408" s="2216"/>
      <c r="AO408" s="2217"/>
      <c r="AP408" s="2209">
        <f t="shared" si="117"/>
        <v>2740</v>
      </c>
      <c r="AQ408" s="2210"/>
      <c r="AR408" s="2211"/>
      <c r="AS408" s="2406">
        <f ca="1">SUMIF(見積拾!C$78:D$86,F408,見積拾!T$78:T$86)+
SUMIF(内壁・間仕切!A$85:AA$85,F408,内壁・間仕切!A$99:AA$99)+
SUMIF(内壁・間仕切!A$121:AA$121,F408,内壁・間仕切!A$135:AA$135)+
SUMIF(内壁・間仕切!A$157:AA$157,F408,内壁・間仕切!A$171:AA$171)+
SUMIF(内壁・間仕切!A$193:AA$193,F408,内壁・間仕切!A$207:AA$207)</f>
        <v>0</v>
      </c>
      <c r="AT408" s="2407"/>
      <c r="AU408" s="2407"/>
      <c r="AV408" s="2408"/>
      <c r="AW408" s="2206">
        <f t="shared" ca="1" si="118"/>
        <v>0</v>
      </c>
      <c r="AX408" s="2207"/>
      <c r="AY408" s="2207"/>
      <c r="AZ408" s="2208"/>
      <c r="BA408" s="2200"/>
      <c r="BB408" s="956" t="b">
        <f t="shared" ca="1" si="119"/>
        <v>0</v>
      </c>
    </row>
    <row r="409" spans="2:54" ht="13.5" customHeight="1">
      <c r="B409" s="2445"/>
      <c r="C409" s="2521"/>
      <c r="D409" s="2500"/>
      <c r="E409" s="1703" t="s">
        <v>339</v>
      </c>
      <c r="F409" s="2570" t="s">
        <v>5544</v>
      </c>
      <c r="G409" s="2971"/>
      <c r="H409" s="2971"/>
      <c r="I409" s="2971"/>
      <c r="J409" s="2971"/>
      <c r="K409" s="2971"/>
      <c r="L409" s="2971"/>
      <c r="M409" s="2971"/>
      <c r="N409" s="2971"/>
      <c r="O409" s="2971"/>
      <c r="P409" s="2972"/>
      <c r="Q409" s="2323">
        <v>1070</v>
      </c>
      <c r="R409" s="2318"/>
      <c r="S409" s="2318"/>
      <c r="T409" s="508" t="s">
        <v>1292</v>
      </c>
      <c r="U409" s="2973" t="s">
        <v>5702</v>
      </c>
      <c r="V409" s="2974"/>
      <c r="W409" s="2974"/>
      <c r="X409" s="508" t="s">
        <v>779</v>
      </c>
      <c r="Y409" s="2258"/>
      <c r="Z409" s="2259"/>
      <c r="AA409" s="2259"/>
      <c r="AB409" s="515" t="s">
        <v>40</v>
      </c>
      <c r="AC409" s="2258"/>
      <c r="AD409" s="2259"/>
      <c r="AE409" s="2259"/>
      <c r="AF409" s="515" t="s">
        <v>40</v>
      </c>
      <c r="AG409" s="2258"/>
      <c r="AH409" s="2259"/>
      <c r="AI409" s="2260"/>
      <c r="AJ409" s="2212">
        <f t="shared" ref="AJ409:AJ410" si="124">ROUNDDOWN(SUM(Q409:AI409),-1)</f>
        <v>1070</v>
      </c>
      <c r="AK409" s="2213"/>
      <c r="AL409" s="2214"/>
      <c r="AM409" s="2215">
        <v>1</v>
      </c>
      <c r="AN409" s="2216"/>
      <c r="AO409" s="2217"/>
      <c r="AP409" s="2209">
        <f t="shared" ref="AP409:AP410" si="125">INT(AJ409*AM409)</f>
        <v>1070</v>
      </c>
      <c r="AQ409" s="2210"/>
      <c r="AR409" s="2211"/>
      <c r="AS409" s="2203">
        <f ca="1">SUMIF(見積拾!C$78:D$86,F409,見積拾!T$78:T$86)+
SUMIF(内壁・間仕切!A$85:AA$85,F409,内壁・間仕切!A$99:AA$99)+
SUMIF(内壁・間仕切!A$121:AA$121,F409,内壁・間仕切!A$135:AA$135)+
SUMIF(内壁・間仕切!A$157:AA$157,F409,内壁・間仕切!A$171:AA$171)+
SUMIF(内壁・間仕切!A$193:AA$193,F409,内壁・間仕切!A$207:AA$207)</f>
        <v>0</v>
      </c>
      <c r="AT409" s="2204"/>
      <c r="AU409" s="2204"/>
      <c r="AV409" s="2205"/>
      <c r="AW409" s="2206">
        <f t="shared" ref="AW409:AW410" ca="1" si="126">INT(AP409*AS409)</f>
        <v>0</v>
      </c>
      <c r="AX409" s="2207"/>
      <c r="AY409" s="2207"/>
      <c r="AZ409" s="2208"/>
      <c r="BA409" s="2200"/>
      <c r="BB409" s="956" t="b">
        <f t="shared" ref="BB409:BB410" ca="1" si="127">AW409&lt;&gt;0</f>
        <v>0</v>
      </c>
    </row>
    <row r="410" spans="2:54" ht="13.5" customHeight="1">
      <c r="B410" s="2445"/>
      <c r="C410" s="2521"/>
      <c r="D410" s="2500"/>
      <c r="E410" s="1703" t="s">
        <v>339</v>
      </c>
      <c r="F410" s="2258" t="s">
        <v>782</v>
      </c>
      <c r="G410" s="2259"/>
      <c r="H410" s="2259"/>
      <c r="I410" s="2259"/>
      <c r="J410" s="2259"/>
      <c r="K410" s="2259"/>
      <c r="L410" s="2259"/>
      <c r="M410" s="2259"/>
      <c r="N410" s="2259"/>
      <c r="O410" s="2259"/>
      <c r="P410" s="2260"/>
      <c r="Q410" s="2323"/>
      <c r="R410" s="2259"/>
      <c r="S410" s="2259"/>
      <c r="T410" s="515" t="s">
        <v>40</v>
      </c>
      <c r="U410" s="2258"/>
      <c r="V410" s="2259"/>
      <c r="W410" s="2259"/>
      <c r="X410" s="515" t="s">
        <v>40</v>
      </c>
      <c r="Y410" s="2258"/>
      <c r="Z410" s="2259"/>
      <c r="AA410" s="2259"/>
      <c r="AB410" s="515" t="s">
        <v>40</v>
      </c>
      <c r="AC410" s="2258"/>
      <c r="AD410" s="2259"/>
      <c r="AE410" s="2259"/>
      <c r="AF410" s="515" t="s">
        <v>40</v>
      </c>
      <c r="AG410" s="2258"/>
      <c r="AH410" s="2259"/>
      <c r="AI410" s="2260"/>
      <c r="AJ410" s="2212">
        <f t="shared" si="124"/>
        <v>0</v>
      </c>
      <c r="AK410" s="2213"/>
      <c r="AL410" s="2214"/>
      <c r="AM410" s="2215">
        <v>1</v>
      </c>
      <c r="AN410" s="2216"/>
      <c r="AO410" s="2217"/>
      <c r="AP410" s="2209">
        <f t="shared" si="125"/>
        <v>0</v>
      </c>
      <c r="AQ410" s="2210"/>
      <c r="AR410" s="2211"/>
      <c r="AS410" s="2203">
        <f ca="1">SUMIF(見積拾!C$78:D$86,F410,見積拾!T$78:T$86)+
SUMIF(内壁・間仕切!A$85:AA$85,F410,内壁・間仕切!A$99:AA$99)+
SUMIF(内壁・間仕切!A$121:AA$121,F410,内壁・間仕切!A$135:AA$135)+
SUMIF(内壁・間仕切!A$157:AA$157,F410,内壁・間仕切!A$171:AA$171)+
SUMIF(内壁・間仕切!A$193:AA$193,F410,内壁・間仕切!A$207:AA$207)</f>
        <v>0</v>
      </c>
      <c r="AT410" s="2204"/>
      <c r="AU410" s="2204"/>
      <c r="AV410" s="2205"/>
      <c r="AW410" s="2206">
        <f t="shared" ca="1" si="126"/>
        <v>0</v>
      </c>
      <c r="AX410" s="2207"/>
      <c r="AY410" s="2207"/>
      <c r="AZ410" s="2208"/>
      <c r="BA410" s="2200"/>
      <c r="BB410" s="956" t="b">
        <f t="shared" ca="1" si="127"/>
        <v>0</v>
      </c>
    </row>
    <row r="411" spans="2:54" ht="13.5" customHeight="1">
      <c r="B411" s="2445"/>
      <c r="C411" s="2521"/>
      <c r="D411" s="2500"/>
      <c r="E411" s="1703" t="s">
        <v>339</v>
      </c>
      <c r="F411" s="2258" t="s">
        <v>782</v>
      </c>
      <c r="G411" s="2259"/>
      <c r="H411" s="2259"/>
      <c r="I411" s="2259"/>
      <c r="J411" s="2259"/>
      <c r="K411" s="2259"/>
      <c r="L411" s="2259"/>
      <c r="M411" s="2259"/>
      <c r="N411" s="2259"/>
      <c r="O411" s="2259"/>
      <c r="P411" s="2260"/>
      <c r="Q411" s="2323"/>
      <c r="R411" s="2259"/>
      <c r="S411" s="2259"/>
      <c r="T411" s="515" t="s">
        <v>789</v>
      </c>
      <c r="U411" s="2258"/>
      <c r="V411" s="2259"/>
      <c r="W411" s="2259"/>
      <c r="X411" s="515" t="s">
        <v>789</v>
      </c>
      <c r="Y411" s="2258"/>
      <c r="Z411" s="2259"/>
      <c r="AA411" s="2259"/>
      <c r="AB411" s="515" t="s">
        <v>789</v>
      </c>
      <c r="AC411" s="2258"/>
      <c r="AD411" s="2259"/>
      <c r="AE411" s="2259"/>
      <c r="AF411" s="515" t="s">
        <v>789</v>
      </c>
      <c r="AG411" s="2258"/>
      <c r="AH411" s="2259"/>
      <c r="AI411" s="2260"/>
      <c r="AJ411" s="2212">
        <f t="shared" ref="AJ411:AJ420" si="128">ROUNDDOWN(SUM(Q411:AI411),-1)</f>
        <v>0</v>
      </c>
      <c r="AK411" s="2213"/>
      <c r="AL411" s="2214"/>
      <c r="AM411" s="2215">
        <v>1</v>
      </c>
      <c r="AN411" s="2216"/>
      <c r="AO411" s="2217"/>
      <c r="AP411" s="2209">
        <f t="shared" ref="AP411:AP420" si="129">INT(AJ411*AM411)</f>
        <v>0</v>
      </c>
      <c r="AQ411" s="2210"/>
      <c r="AR411" s="2211"/>
      <c r="AS411" s="2203">
        <f ca="1">SUMIF(見積拾!C$78:D$86,F411,見積拾!T$78:T$86)+
SUMIF(内壁・間仕切!A$85:AA$85,F411,内壁・間仕切!A$99:AA$99)+
SUMIF(内壁・間仕切!A$121:AA$121,F411,内壁・間仕切!A$135:AA$135)+
SUMIF(内壁・間仕切!A$157:AA$157,F411,内壁・間仕切!A$171:AA$171)+
SUMIF(内壁・間仕切!A$193:AA$193,F411,内壁・間仕切!A$207:AA$207)</f>
        <v>0</v>
      </c>
      <c r="AT411" s="2204"/>
      <c r="AU411" s="2204"/>
      <c r="AV411" s="2205"/>
      <c r="AW411" s="2206">
        <f t="shared" ref="AW411:AW420" ca="1" si="130">INT(AP411*AS411)</f>
        <v>0</v>
      </c>
      <c r="AX411" s="2207"/>
      <c r="AY411" s="2207"/>
      <c r="AZ411" s="2208"/>
      <c r="BA411" s="2200"/>
      <c r="BB411" s="956" t="b">
        <f t="shared" ref="BB411:BB420" ca="1" si="131">AW411&lt;&gt;0</f>
        <v>0</v>
      </c>
    </row>
    <row r="412" spans="2:54" ht="13.5" customHeight="1">
      <c r="B412" s="2445"/>
      <c r="C412" s="2521"/>
      <c r="D412" s="2500"/>
      <c r="E412" s="1703" t="s">
        <v>799</v>
      </c>
      <c r="F412" s="2258" t="s">
        <v>782</v>
      </c>
      <c r="G412" s="2259"/>
      <c r="H412" s="2259"/>
      <c r="I412" s="2259"/>
      <c r="J412" s="2259"/>
      <c r="K412" s="2259"/>
      <c r="L412" s="2259"/>
      <c r="M412" s="2259"/>
      <c r="N412" s="2259"/>
      <c r="O412" s="2259"/>
      <c r="P412" s="2260"/>
      <c r="Q412" s="2323"/>
      <c r="R412" s="2259"/>
      <c r="S412" s="2259"/>
      <c r="T412" s="515" t="s">
        <v>789</v>
      </c>
      <c r="U412" s="2258"/>
      <c r="V412" s="2259"/>
      <c r="W412" s="2259"/>
      <c r="X412" s="515" t="s">
        <v>789</v>
      </c>
      <c r="Y412" s="2258"/>
      <c r="Z412" s="2259"/>
      <c r="AA412" s="2259"/>
      <c r="AB412" s="515" t="s">
        <v>789</v>
      </c>
      <c r="AC412" s="2258"/>
      <c r="AD412" s="2259"/>
      <c r="AE412" s="2259"/>
      <c r="AF412" s="515" t="s">
        <v>789</v>
      </c>
      <c r="AG412" s="2258"/>
      <c r="AH412" s="2259"/>
      <c r="AI412" s="2260"/>
      <c r="AJ412" s="2212">
        <f t="shared" si="128"/>
        <v>0</v>
      </c>
      <c r="AK412" s="2213"/>
      <c r="AL412" s="2214"/>
      <c r="AM412" s="2215">
        <v>1</v>
      </c>
      <c r="AN412" s="2216"/>
      <c r="AO412" s="2217"/>
      <c r="AP412" s="2209">
        <f t="shared" si="129"/>
        <v>0</v>
      </c>
      <c r="AQ412" s="2210"/>
      <c r="AR412" s="2211"/>
      <c r="AS412" s="2203">
        <f ca="1">SUMIF(見積拾!C$78:D$86,F412,見積拾!T$78:T$86)+
SUMIF(内壁・間仕切!A$85:AA$85,F412,内壁・間仕切!A$99:AA$99)+
SUMIF(内壁・間仕切!A$121:AA$121,F412,内壁・間仕切!A$135:AA$135)+
SUMIF(内壁・間仕切!A$157:AA$157,F412,内壁・間仕切!A$171:AA$171)+
SUMIF(内壁・間仕切!A$193:AA$193,F412,内壁・間仕切!A$207:AA$207)</f>
        <v>0</v>
      </c>
      <c r="AT412" s="2204"/>
      <c r="AU412" s="2204"/>
      <c r="AV412" s="2205"/>
      <c r="AW412" s="2206">
        <f t="shared" ca="1" si="130"/>
        <v>0</v>
      </c>
      <c r="AX412" s="2207"/>
      <c r="AY412" s="2207"/>
      <c r="AZ412" s="2208"/>
      <c r="BA412" s="2200"/>
      <c r="BB412" s="956" t="b">
        <f t="shared" ca="1" si="131"/>
        <v>0</v>
      </c>
    </row>
    <row r="413" spans="2:54" ht="13.5" customHeight="1">
      <c r="B413" s="2445"/>
      <c r="C413" s="2521"/>
      <c r="D413" s="2500"/>
      <c r="E413" s="1704" t="s">
        <v>799</v>
      </c>
      <c r="F413" s="2316" t="s">
        <v>782</v>
      </c>
      <c r="G413" s="2317"/>
      <c r="H413" s="2317"/>
      <c r="I413" s="2317"/>
      <c r="J413" s="2317"/>
      <c r="K413" s="2317"/>
      <c r="L413" s="2317"/>
      <c r="M413" s="2317"/>
      <c r="N413" s="2317"/>
      <c r="O413" s="2317"/>
      <c r="P413" s="2331"/>
      <c r="Q413" s="2936"/>
      <c r="R413" s="2228"/>
      <c r="S413" s="2228"/>
      <c r="T413" s="516" t="s">
        <v>789</v>
      </c>
      <c r="U413" s="2227"/>
      <c r="V413" s="2228"/>
      <c r="W413" s="2228"/>
      <c r="X413" s="516" t="s">
        <v>789</v>
      </c>
      <c r="Y413" s="2227"/>
      <c r="Z413" s="2228"/>
      <c r="AA413" s="2228"/>
      <c r="AB413" s="516" t="s">
        <v>789</v>
      </c>
      <c r="AC413" s="2227"/>
      <c r="AD413" s="2228"/>
      <c r="AE413" s="2228"/>
      <c r="AF413" s="516" t="s">
        <v>789</v>
      </c>
      <c r="AG413" s="2227"/>
      <c r="AH413" s="2228"/>
      <c r="AI413" s="2382"/>
      <c r="AJ413" s="2229">
        <f t="shared" si="128"/>
        <v>0</v>
      </c>
      <c r="AK413" s="2230"/>
      <c r="AL413" s="2231"/>
      <c r="AM413" s="2262">
        <v>1</v>
      </c>
      <c r="AN413" s="2263"/>
      <c r="AO413" s="2264"/>
      <c r="AP413" s="2229">
        <f t="shared" si="129"/>
        <v>0</v>
      </c>
      <c r="AQ413" s="2230"/>
      <c r="AR413" s="2231"/>
      <c r="AS413" s="2203">
        <f ca="1">SUMIF(見積拾!C$78:D$86,F413,見積拾!T$78:T$86)+
SUMIF(内壁・間仕切!A$85:AA$85,F413,内壁・間仕切!A$99:AA$99)+
SUMIF(内壁・間仕切!A$121:AA$121,F413,内壁・間仕切!A$135:AA$135)+
SUMIF(内壁・間仕切!A$157:AA$157,F413,内壁・間仕切!A$171:AA$171)+
SUMIF(内壁・間仕切!A$193:AA$193,F413,内壁・間仕切!A$207:AA$207)</f>
        <v>0</v>
      </c>
      <c r="AT413" s="2204"/>
      <c r="AU413" s="2204"/>
      <c r="AV413" s="2205"/>
      <c r="AW413" s="2248">
        <f t="shared" ca="1" si="130"/>
        <v>0</v>
      </c>
      <c r="AX413" s="2249"/>
      <c r="AY413" s="2249"/>
      <c r="AZ413" s="2250"/>
      <c r="BA413" s="2200"/>
      <c r="BB413" s="956" t="b">
        <f t="shared" ca="1" si="131"/>
        <v>0</v>
      </c>
    </row>
    <row r="414" spans="2:54" ht="13.5" customHeight="1">
      <c r="B414" s="2445"/>
      <c r="C414" s="2521"/>
      <c r="D414" s="2500"/>
      <c r="E414" s="2429" t="s">
        <v>1107</v>
      </c>
      <c r="F414" s="2430"/>
      <c r="G414" s="122" t="s">
        <v>777</v>
      </c>
      <c r="H414" s="2252" t="s">
        <v>819</v>
      </c>
      <c r="I414" s="2252"/>
      <c r="J414" s="2252"/>
      <c r="K414" s="2252"/>
      <c r="L414" s="2252"/>
      <c r="M414" s="2252"/>
      <c r="N414" s="2252"/>
      <c r="O414" s="2252"/>
      <c r="P414" s="2253"/>
      <c r="Q414" s="2326">
        <v>2900</v>
      </c>
      <c r="R414" s="2327"/>
      <c r="S414" s="2327"/>
      <c r="T414" s="123" t="s">
        <v>40</v>
      </c>
      <c r="U414" s="2913" t="s">
        <v>1031</v>
      </c>
      <c r="V414" s="2913"/>
      <c r="W414" s="2913"/>
      <c r="X414" s="123" t="s">
        <v>40</v>
      </c>
      <c r="Y414" s="2913" t="s">
        <v>1032</v>
      </c>
      <c r="Z414" s="2913"/>
      <c r="AA414" s="2913"/>
      <c r="AB414" s="123" t="s">
        <v>40</v>
      </c>
      <c r="AC414" s="2327"/>
      <c r="AD414" s="2327"/>
      <c r="AE414" s="2327"/>
      <c r="AF414" s="123" t="s">
        <v>40</v>
      </c>
      <c r="AG414" s="2327"/>
      <c r="AH414" s="2327"/>
      <c r="AI414" s="2327"/>
      <c r="AJ414" s="2251">
        <f t="shared" si="128"/>
        <v>2900</v>
      </c>
      <c r="AK414" s="2252"/>
      <c r="AL414" s="2253"/>
      <c r="AM414" s="2265">
        <v>1</v>
      </c>
      <c r="AN414" s="2266"/>
      <c r="AO414" s="2267"/>
      <c r="AP414" s="2251">
        <f t="shared" si="129"/>
        <v>2900</v>
      </c>
      <c r="AQ414" s="2252"/>
      <c r="AR414" s="2253"/>
      <c r="AS414" s="2243">
        <f>+SUMIF(見積拾!D$87:D$91,H414,見積拾!T$87:T$91)+
SUMIF(内壁・間仕切!A$86:AA$86,H414,内壁・間仕切!A$99:AA$99)+SUMIF(内壁・間仕切!A$87:AA$87,H414,内壁・間仕切!A$99:AA$99)
+SUMIF(内壁・間仕切!A$122:AA$122,H414,内壁・間仕切!A$135:AA$135)+SUMIF(内壁・間仕切!A$123:AA$123,H414,内壁・間仕切!A$135:AA$135)
+SUMIF(内壁・間仕切!A$158:AA$158,H414,内壁・間仕切!A$171:AA$171)+SUMIF(内壁・間仕切!A$159:AA$159,H414,内壁・間仕切!A$171:AA$171)
+SUMIF(内壁・間仕切!A$194:AA$194,H414,内壁・間仕切!A$207:AA$207)+SUMIF(内壁・間仕切!A$195:AA$195,H414,内壁・間仕切!A$207:AA$207)</f>
        <v>0</v>
      </c>
      <c r="AT414" s="2244"/>
      <c r="AU414" s="2244"/>
      <c r="AV414" s="2245"/>
      <c r="AW414" s="2235">
        <f t="shared" si="130"/>
        <v>0</v>
      </c>
      <c r="AX414" s="2236"/>
      <c r="AY414" s="2236"/>
      <c r="AZ414" s="2237"/>
      <c r="BA414" s="2200"/>
      <c r="BB414" s="956" t="b">
        <f t="shared" si="131"/>
        <v>0</v>
      </c>
    </row>
    <row r="415" spans="2:54" ht="13.5" customHeight="1">
      <c r="B415" s="2445"/>
      <c r="C415" s="2521"/>
      <c r="D415" s="2500"/>
      <c r="E415" s="2338"/>
      <c r="F415" s="2337"/>
      <c r="G415" s="124" t="s">
        <v>777</v>
      </c>
      <c r="H415" s="2210" t="s">
        <v>820</v>
      </c>
      <c r="I415" s="2210"/>
      <c r="J415" s="2210"/>
      <c r="K415" s="2210"/>
      <c r="L415" s="2210"/>
      <c r="M415" s="2210"/>
      <c r="N415" s="2210"/>
      <c r="O415" s="2210"/>
      <c r="P415" s="2211"/>
      <c r="Q415" s="2328">
        <v>1360</v>
      </c>
      <c r="R415" s="2261"/>
      <c r="S415" s="2261"/>
      <c r="T415" s="120" t="s">
        <v>40</v>
      </c>
      <c r="U415" s="2322" t="s">
        <v>1031</v>
      </c>
      <c r="V415" s="2322"/>
      <c r="W415" s="2322"/>
      <c r="X415" s="120" t="s">
        <v>40</v>
      </c>
      <c r="Y415" s="2322" t="s">
        <v>1032</v>
      </c>
      <c r="Z415" s="2322"/>
      <c r="AA415" s="2322"/>
      <c r="AB415" s="120" t="s">
        <v>40</v>
      </c>
      <c r="AC415" s="2261"/>
      <c r="AD415" s="2261"/>
      <c r="AE415" s="2261"/>
      <c r="AF415" s="120" t="s">
        <v>40</v>
      </c>
      <c r="AG415" s="2261"/>
      <c r="AH415" s="2261"/>
      <c r="AI415" s="2261"/>
      <c r="AJ415" s="2209">
        <f t="shared" si="128"/>
        <v>1360</v>
      </c>
      <c r="AK415" s="2210"/>
      <c r="AL415" s="2211"/>
      <c r="AM415" s="2232">
        <v>1</v>
      </c>
      <c r="AN415" s="2233"/>
      <c r="AO415" s="2234"/>
      <c r="AP415" s="2209">
        <f t="shared" si="129"/>
        <v>1360</v>
      </c>
      <c r="AQ415" s="2210"/>
      <c r="AR415" s="2211"/>
      <c r="AS415" s="2203">
        <f>+SUMIF(見積拾!D$87:D$91,H415,見積拾!T$87:T$91)+
SUMIF(内壁・間仕切!A$86:AA$86,H415,内壁・間仕切!A$99:AA$99)+SUMIF(内壁・間仕切!A$87:AA$87,H415,内壁・間仕切!A$99:AA$99)
+SUMIF(内壁・間仕切!A$122:AA$122,H415,内壁・間仕切!A$135:AA$135)+SUMIF(内壁・間仕切!A$123:AA$123,H415,内壁・間仕切!A$135:AA$135)
+SUMIF(内壁・間仕切!A$158:AA$158,H415,内壁・間仕切!A$171:AA$171)+SUMIF(内壁・間仕切!A$159:AA$159,H415,内壁・間仕切!A$171:AA$171)
+SUMIF(内壁・間仕切!A$194:AA$194,H415,内壁・間仕切!A$207:AA$207)+SUMIF(内壁・間仕切!A$195:AA$195,H415,内壁・間仕切!A$207:AA$207)</f>
        <v>0</v>
      </c>
      <c r="AT415" s="2204"/>
      <c r="AU415" s="2204"/>
      <c r="AV415" s="2205"/>
      <c r="AW415" s="2238">
        <f t="shared" si="130"/>
        <v>0</v>
      </c>
      <c r="AX415" s="2239"/>
      <c r="AY415" s="2239"/>
      <c r="AZ415" s="2240"/>
      <c r="BA415" s="2200"/>
      <c r="BB415" s="956" t="b">
        <f t="shared" si="131"/>
        <v>0</v>
      </c>
    </row>
    <row r="416" spans="2:54" ht="13.5" customHeight="1">
      <c r="B416" s="2445"/>
      <c r="C416" s="2521"/>
      <c r="D416" s="2500"/>
      <c r="E416" s="2338"/>
      <c r="F416" s="2337"/>
      <c r="G416" s="124" t="s">
        <v>777</v>
      </c>
      <c r="H416" s="2210" t="s">
        <v>821</v>
      </c>
      <c r="I416" s="2210"/>
      <c r="J416" s="2210"/>
      <c r="K416" s="2210"/>
      <c r="L416" s="2210"/>
      <c r="M416" s="2210"/>
      <c r="N416" s="2210"/>
      <c r="O416" s="2210"/>
      <c r="P416" s="2211"/>
      <c r="Q416" s="2328">
        <v>930</v>
      </c>
      <c r="R416" s="2261"/>
      <c r="S416" s="2261"/>
      <c r="T416" s="120" t="s">
        <v>40</v>
      </c>
      <c r="U416" s="2322" t="s">
        <v>1031</v>
      </c>
      <c r="V416" s="2322"/>
      <c r="W416" s="2322"/>
      <c r="X416" s="120" t="s">
        <v>40</v>
      </c>
      <c r="Y416" s="2322" t="s">
        <v>1032</v>
      </c>
      <c r="Z416" s="2322"/>
      <c r="AA416" s="2322"/>
      <c r="AB416" s="120" t="s">
        <v>40</v>
      </c>
      <c r="AC416" s="2261"/>
      <c r="AD416" s="2261"/>
      <c r="AE416" s="2261"/>
      <c r="AF416" s="120" t="s">
        <v>40</v>
      </c>
      <c r="AG416" s="2261"/>
      <c r="AH416" s="2261"/>
      <c r="AI416" s="2261"/>
      <c r="AJ416" s="2209">
        <f t="shared" si="128"/>
        <v>930</v>
      </c>
      <c r="AK416" s="2210"/>
      <c r="AL416" s="2211"/>
      <c r="AM416" s="2232">
        <v>1</v>
      </c>
      <c r="AN416" s="2233"/>
      <c r="AO416" s="2234"/>
      <c r="AP416" s="2209">
        <f t="shared" si="129"/>
        <v>930</v>
      </c>
      <c r="AQ416" s="2210"/>
      <c r="AR416" s="2211"/>
      <c r="AS416" s="2203">
        <f>+SUMIF(見積拾!D$87:D$91,H416,見積拾!T$87:T$91)+
SUMIF(内壁・間仕切!A$86:AA$86,H416,内壁・間仕切!A$99:AA$99)+SUMIF(内壁・間仕切!A$87:AA$87,H416,内壁・間仕切!A$99:AA$99)
+SUMIF(内壁・間仕切!A$122:AA$122,H416,内壁・間仕切!A$135:AA$135)+SUMIF(内壁・間仕切!A$123:AA$123,H416,内壁・間仕切!A$135:AA$135)
+SUMIF(内壁・間仕切!A$158:AA$158,H416,内壁・間仕切!A$171:AA$171)+SUMIF(内壁・間仕切!A$159:AA$159,H416,内壁・間仕切!A$171:AA$171)
+SUMIF(内壁・間仕切!A$194:AA$194,H416,内壁・間仕切!A$207:AA$207)+SUMIF(内壁・間仕切!A$195:AA$195,H416,内壁・間仕切!A$207:AA$207)</f>
        <v>0</v>
      </c>
      <c r="AT416" s="2204"/>
      <c r="AU416" s="2204"/>
      <c r="AV416" s="2205"/>
      <c r="AW416" s="2238">
        <f t="shared" si="130"/>
        <v>0</v>
      </c>
      <c r="AX416" s="2239"/>
      <c r="AY416" s="2239"/>
      <c r="AZ416" s="2240"/>
      <c r="BA416" s="2200"/>
      <c r="BB416" s="956" t="b">
        <f t="shared" si="131"/>
        <v>0</v>
      </c>
    </row>
    <row r="417" spans="2:54" ht="13.5" customHeight="1">
      <c r="B417" s="2445"/>
      <c r="C417" s="2521"/>
      <c r="D417" s="2500"/>
      <c r="E417" s="2338"/>
      <c r="F417" s="2431"/>
      <c r="G417" s="124" t="s">
        <v>777</v>
      </c>
      <c r="H417" s="2210" t="s">
        <v>5605</v>
      </c>
      <c r="I417" s="2210"/>
      <c r="J417" s="2210"/>
      <c r="K417" s="2210"/>
      <c r="L417" s="2210"/>
      <c r="M417" s="2210"/>
      <c r="N417" s="2210"/>
      <c r="O417" s="2210"/>
      <c r="P417" s="2211"/>
      <c r="Q417" s="2328">
        <v>1890</v>
      </c>
      <c r="R417" s="2261"/>
      <c r="S417" s="2261"/>
      <c r="T417" s="120" t="s">
        <v>40</v>
      </c>
      <c r="U417" s="2322" t="s">
        <v>1031</v>
      </c>
      <c r="V417" s="2322"/>
      <c r="W417" s="2322"/>
      <c r="X417" s="120" t="s">
        <v>40</v>
      </c>
      <c r="Y417" s="2322" t="s">
        <v>1032</v>
      </c>
      <c r="Z417" s="2322"/>
      <c r="AA417" s="2322"/>
      <c r="AB417" s="120" t="s">
        <v>40</v>
      </c>
      <c r="AC417" s="2261"/>
      <c r="AD417" s="2261"/>
      <c r="AE417" s="2261"/>
      <c r="AF417" s="120" t="s">
        <v>40</v>
      </c>
      <c r="AG417" s="2261"/>
      <c r="AH417" s="2261"/>
      <c r="AI417" s="2261"/>
      <c r="AJ417" s="2209">
        <f t="shared" si="128"/>
        <v>1890</v>
      </c>
      <c r="AK417" s="2210"/>
      <c r="AL417" s="2211"/>
      <c r="AM417" s="2232">
        <v>1</v>
      </c>
      <c r="AN417" s="2233"/>
      <c r="AO417" s="2234"/>
      <c r="AP417" s="2209">
        <f t="shared" si="129"/>
        <v>1890</v>
      </c>
      <c r="AQ417" s="2210"/>
      <c r="AR417" s="2211"/>
      <c r="AS417" s="2203">
        <f>+SUMIF(見積拾!D$87:D$91,H417,見積拾!T$87:T$91)+
SUMIF(内壁・間仕切!A$86:AA$86,H417,内壁・間仕切!A$99:AA$99)+SUMIF(内壁・間仕切!A$87:AA$87,H417,内壁・間仕切!A$99:AA$99)
+SUMIF(内壁・間仕切!A$122:AA$122,H417,内壁・間仕切!A$135:AA$135)+SUMIF(内壁・間仕切!A$123:AA$123,H417,内壁・間仕切!A$135:AA$135)
+SUMIF(内壁・間仕切!A$158:AA$158,H417,内壁・間仕切!A$171:AA$171)+SUMIF(内壁・間仕切!A$159:AA$159,H417,内壁・間仕切!A$171:AA$171)
+SUMIF(内壁・間仕切!A$194:AA$194,H417,内壁・間仕切!A$207:AA$207)+SUMIF(内壁・間仕切!A$195:AA$195,H417,内壁・間仕切!A$207:AA$207)</f>
        <v>0</v>
      </c>
      <c r="AT417" s="2204"/>
      <c r="AU417" s="2204"/>
      <c r="AV417" s="2205"/>
      <c r="AW417" s="2238">
        <f t="shared" si="130"/>
        <v>0</v>
      </c>
      <c r="AX417" s="2239"/>
      <c r="AY417" s="2239"/>
      <c r="AZ417" s="2240"/>
      <c r="BA417" s="2200"/>
      <c r="BB417" s="956" t="b">
        <f t="shared" si="131"/>
        <v>0</v>
      </c>
    </row>
    <row r="418" spans="2:54" ht="13.5" customHeight="1">
      <c r="B418" s="2445"/>
      <c r="C418" s="2521"/>
      <c r="D418" s="2500"/>
      <c r="E418" s="2338"/>
      <c r="F418" s="2431"/>
      <c r="G418" s="124" t="s">
        <v>777</v>
      </c>
      <c r="H418" s="2210" t="s">
        <v>5606</v>
      </c>
      <c r="I418" s="2210"/>
      <c r="J418" s="2210"/>
      <c r="K418" s="2210"/>
      <c r="L418" s="2210"/>
      <c r="M418" s="2210"/>
      <c r="N418" s="2210"/>
      <c r="O418" s="2210"/>
      <c r="P418" s="2211"/>
      <c r="Q418" s="2328">
        <v>910</v>
      </c>
      <c r="R418" s="2261"/>
      <c r="S418" s="2261"/>
      <c r="T418" s="120" t="s">
        <v>40</v>
      </c>
      <c r="U418" s="2322" t="s">
        <v>1031</v>
      </c>
      <c r="V418" s="2322"/>
      <c r="W418" s="2322"/>
      <c r="X418" s="120" t="s">
        <v>40</v>
      </c>
      <c r="Y418" s="2322" t="s">
        <v>1032</v>
      </c>
      <c r="Z418" s="2322"/>
      <c r="AA418" s="2322"/>
      <c r="AB418" s="120" t="s">
        <v>40</v>
      </c>
      <c r="AC418" s="2261"/>
      <c r="AD418" s="2261"/>
      <c r="AE418" s="2261"/>
      <c r="AF418" s="120" t="s">
        <v>40</v>
      </c>
      <c r="AG418" s="2261"/>
      <c r="AH418" s="2261"/>
      <c r="AI418" s="2261"/>
      <c r="AJ418" s="2209">
        <f t="shared" si="128"/>
        <v>910</v>
      </c>
      <c r="AK418" s="2210"/>
      <c r="AL418" s="2211"/>
      <c r="AM418" s="2232">
        <v>1</v>
      </c>
      <c r="AN418" s="2233"/>
      <c r="AO418" s="2234"/>
      <c r="AP418" s="2209">
        <f t="shared" si="129"/>
        <v>910</v>
      </c>
      <c r="AQ418" s="2210"/>
      <c r="AR418" s="2211"/>
      <c r="AS418" s="2203">
        <f>+SUMIF(見積拾!D$87:D$91,H418,見積拾!T$87:T$91)+
SUMIF(内壁・間仕切!A$86:AA$86,H418,内壁・間仕切!A$99:AA$99)+SUMIF(内壁・間仕切!A$87:AA$87,H418,内壁・間仕切!A$99:AA$99)
+SUMIF(内壁・間仕切!A$122:AA$122,H418,内壁・間仕切!A$135:AA$135)+SUMIF(内壁・間仕切!A$123:AA$123,H418,内壁・間仕切!A$135:AA$135)
+SUMIF(内壁・間仕切!A$158:AA$158,H418,内壁・間仕切!A$171:AA$171)+SUMIF(内壁・間仕切!A$159:AA$159,H418,内壁・間仕切!A$171:AA$171)
+SUMIF(内壁・間仕切!A$194:AA$194,H418,内壁・間仕切!A$207:AA$207)+SUMIF(内壁・間仕切!A$195:AA$195,H418,内壁・間仕切!A$207:AA$207)</f>
        <v>0</v>
      </c>
      <c r="AT418" s="2204"/>
      <c r="AU418" s="2204"/>
      <c r="AV418" s="2205"/>
      <c r="AW418" s="2238">
        <f t="shared" si="130"/>
        <v>0</v>
      </c>
      <c r="AX418" s="2239"/>
      <c r="AY418" s="2239"/>
      <c r="AZ418" s="2240"/>
      <c r="BA418" s="2200"/>
      <c r="BB418" s="956" t="b">
        <f t="shared" si="131"/>
        <v>0</v>
      </c>
    </row>
    <row r="419" spans="2:54" ht="13.5" customHeight="1">
      <c r="B419" s="2445"/>
      <c r="C419" s="2521"/>
      <c r="D419" s="2500"/>
      <c r="E419" s="2338"/>
      <c r="F419" s="2431"/>
      <c r="G419" s="124" t="s">
        <v>777</v>
      </c>
      <c r="H419" s="2210" t="s">
        <v>1503</v>
      </c>
      <c r="I419" s="2210"/>
      <c r="J419" s="2210"/>
      <c r="K419" s="2210"/>
      <c r="L419" s="2210"/>
      <c r="M419" s="2210"/>
      <c r="N419" s="2210"/>
      <c r="O419" s="2210"/>
      <c r="P419" s="2211"/>
      <c r="Q419" s="2328">
        <v>837</v>
      </c>
      <c r="R419" s="2261"/>
      <c r="S419" s="2261"/>
      <c r="T419" s="120" t="s">
        <v>40</v>
      </c>
      <c r="U419" s="2322" t="s">
        <v>1031</v>
      </c>
      <c r="V419" s="2322"/>
      <c r="W419" s="2322"/>
      <c r="X419" s="120" t="s">
        <v>40</v>
      </c>
      <c r="Y419" s="2322" t="s">
        <v>1032</v>
      </c>
      <c r="Z419" s="2322"/>
      <c r="AA419" s="2322"/>
      <c r="AB419" s="120" t="s">
        <v>40</v>
      </c>
      <c r="AC419" s="2261"/>
      <c r="AD419" s="2261"/>
      <c r="AE419" s="2261"/>
      <c r="AF419" s="120" t="s">
        <v>40</v>
      </c>
      <c r="AG419" s="2261"/>
      <c r="AH419" s="2261"/>
      <c r="AI419" s="2261"/>
      <c r="AJ419" s="2209">
        <f t="shared" si="128"/>
        <v>830</v>
      </c>
      <c r="AK419" s="2210"/>
      <c r="AL419" s="2211"/>
      <c r="AM419" s="2232">
        <v>1</v>
      </c>
      <c r="AN419" s="2233"/>
      <c r="AO419" s="2234"/>
      <c r="AP419" s="2209">
        <f t="shared" si="129"/>
        <v>830</v>
      </c>
      <c r="AQ419" s="2210"/>
      <c r="AR419" s="2211"/>
      <c r="AS419" s="2203">
        <f>+SUMIF(見積拾!D$87:D$91,H419,見積拾!T$87:T$91)+
SUMIF(内壁・間仕切!A$86:AA$86,H419,内壁・間仕切!A$99:AA$99)+SUMIF(内壁・間仕切!A$87:AA$87,H419,内壁・間仕切!A$99:AA$99)
+SUMIF(内壁・間仕切!A$122:AA$122,H419,内壁・間仕切!A$135:AA$135)+SUMIF(内壁・間仕切!A$123:AA$123,H419,内壁・間仕切!A$135:AA$135)
+SUMIF(内壁・間仕切!A$158:AA$158,H419,内壁・間仕切!A$171:AA$171)+SUMIF(内壁・間仕切!A$159:AA$159,H419,内壁・間仕切!A$171:AA$171)
+SUMIF(内壁・間仕切!A$194:AA$194,H419,内壁・間仕切!A$207:AA$207)+SUMIF(内壁・間仕切!A$195:AA$195,H419,内壁・間仕切!A$207:AA$207)</f>
        <v>0</v>
      </c>
      <c r="AT419" s="2204"/>
      <c r="AU419" s="2204"/>
      <c r="AV419" s="2205"/>
      <c r="AW419" s="2238">
        <f t="shared" si="130"/>
        <v>0</v>
      </c>
      <c r="AX419" s="2239"/>
      <c r="AY419" s="2239"/>
      <c r="AZ419" s="2240"/>
      <c r="BA419" s="2200"/>
      <c r="BB419" s="956" t="b">
        <f t="shared" si="131"/>
        <v>0</v>
      </c>
    </row>
    <row r="420" spans="2:54" ht="13.5" customHeight="1" thickBot="1">
      <c r="B420" s="2445"/>
      <c r="C420" s="2521"/>
      <c r="D420" s="2500"/>
      <c r="E420" s="2338"/>
      <c r="F420" s="2337"/>
      <c r="G420" s="125" t="s">
        <v>41</v>
      </c>
      <c r="H420" s="2230" t="s">
        <v>822</v>
      </c>
      <c r="I420" s="2230"/>
      <c r="J420" s="2230"/>
      <c r="K420" s="2230"/>
      <c r="L420" s="2230"/>
      <c r="M420" s="2230"/>
      <c r="N420" s="2230"/>
      <c r="O420" s="2230"/>
      <c r="P420" s="2231"/>
      <c r="Q420" s="2432"/>
      <c r="R420" s="2325"/>
      <c r="S420" s="2325"/>
      <c r="T420" s="121"/>
      <c r="U420" s="2325"/>
      <c r="V420" s="2325"/>
      <c r="W420" s="2325"/>
      <c r="X420" s="121"/>
      <c r="Y420" s="2325"/>
      <c r="Z420" s="2325"/>
      <c r="AA420" s="2325"/>
      <c r="AB420" s="121"/>
      <c r="AC420" s="2325"/>
      <c r="AD420" s="2325"/>
      <c r="AE420" s="2325"/>
      <c r="AF420" s="121"/>
      <c r="AG420" s="2325"/>
      <c r="AH420" s="2325"/>
      <c r="AI420" s="2325"/>
      <c r="AJ420" s="2229">
        <f t="shared" si="128"/>
        <v>0</v>
      </c>
      <c r="AK420" s="2230"/>
      <c r="AL420" s="2231"/>
      <c r="AM420" s="2262">
        <v>1</v>
      </c>
      <c r="AN420" s="2263"/>
      <c r="AO420" s="2264"/>
      <c r="AP420" s="2229">
        <f t="shared" si="129"/>
        <v>0</v>
      </c>
      <c r="AQ420" s="2230"/>
      <c r="AR420" s="2231"/>
      <c r="AS420" s="2268"/>
      <c r="AT420" s="2269"/>
      <c r="AU420" s="2269"/>
      <c r="AV420" s="2270"/>
      <c r="AW420" s="2248">
        <f t="shared" si="130"/>
        <v>0</v>
      </c>
      <c r="AX420" s="2249"/>
      <c r="AY420" s="2249"/>
      <c r="AZ420" s="2250"/>
      <c r="BA420" s="2200"/>
      <c r="BB420" s="956" t="b">
        <f t="shared" si="131"/>
        <v>0</v>
      </c>
    </row>
    <row r="421" spans="2:54" ht="13.5" customHeight="1" thickBot="1">
      <c r="B421" s="2581"/>
      <c r="C421" s="2582"/>
      <c r="D421" s="2502"/>
      <c r="E421" s="1660"/>
      <c r="F421" s="1658"/>
      <c r="G421" s="1658"/>
      <c r="H421" s="1658"/>
      <c r="I421" s="1658"/>
      <c r="J421" s="1658"/>
      <c r="K421" s="1658"/>
      <c r="L421" s="1658"/>
      <c r="M421" s="1658"/>
      <c r="N421" s="1658"/>
      <c r="O421" s="1658"/>
      <c r="P421" s="1658"/>
      <c r="Q421" s="1660"/>
      <c r="R421" s="1658"/>
      <c r="S421" s="1658"/>
      <c r="T421" s="1658"/>
      <c r="U421" s="1658"/>
      <c r="V421" s="1658"/>
      <c r="W421" s="1658"/>
      <c r="X421" s="1658"/>
      <c r="Y421" s="1658"/>
      <c r="Z421" s="1658"/>
      <c r="AA421" s="1658"/>
      <c r="AB421" s="1658"/>
      <c r="AC421" s="1658"/>
      <c r="AD421" s="1658"/>
      <c r="AE421" s="1658"/>
      <c r="AF421" s="1658"/>
      <c r="AG421" s="1658"/>
      <c r="AH421" s="1658"/>
      <c r="AI421" s="1661"/>
      <c r="AJ421" s="2221" t="str">
        <f ca="1">IF(AS421=内壁・間仕切!C82+見積拾!T92,"面積合計及び部分別評点数","補助票と面積が違います！")</f>
        <v>面積合計及び部分別評点数</v>
      </c>
      <c r="AK421" s="2222"/>
      <c r="AL421" s="2222"/>
      <c r="AM421" s="2222"/>
      <c r="AN421" s="2222"/>
      <c r="AO421" s="2222"/>
      <c r="AP421" s="2222"/>
      <c r="AQ421" s="2222"/>
      <c r="AR421" s="2223"/>
      <c r="AS421" s="2254">
        <f ca="1">SUM(AS364:AV413)</f>
        <v>0</v>
      </c>
      <c r="AT421" s="2255"/>
      <c r="AU421" s="2255"/>
      <c r="AV421" s="2256"/>
      <c r="AW421" s="2246">
        <f ca="1">SUM(AW363:AZ420)</f>
        <v>0</v>
      </c>
      <c r="AX421" s="2246"/>
      <c r="AY421" s="2246"/>
      <c r="AZ421" s="2247"/>
      <c r="BA421" s="2200"/>
      <c r="BB421" s="956" t="b">
        <v>1</v>
      </c>
    </row>
    <row r="422" spans="2:54" ht="13.5" customHeight="1">
      <c r="BA422" s="2200"/>
      <c r="BB422" s="956" t="b">
        <v>0</v>
      </c>
    </row>
    <row r="423" spans="2:54" ht="13.5" customHeight="1">
      <c r="BA423" s="2200"/>
      <c r="BB423" s="956" t="b">
        <v>0</v>
      </c>
    </row>
    <row r="424" spans="2:54" ht="13.5" customHeight="1">
      <c r="B424" s="1523"/>
      <c r="C424" s="2089" t="s">
        <v>824</v>
      </c>
      <c r="D424" s="2090"/>
      <c r="E424" s="2090"/>
      <c r="F424" s="2090"/>
      <c r="G424" s="2090"/>
      <c r="H424" s="2090"/>
      <c r="I424" s="2090"/>
      <c r="J424" s="2090"/>
      <c r="K424" s="2133"/>
      <c r="L424" s="2133"/>
      <c r="BA424" s="2200"/>
      <c r="BB424" s="956" t="b">
        <v>0</v>
      </c>
    </row>
    <row r="425" spans="2:54" ht="13.5" customHeight="1">
      <c r="BA425" s="2200"/>
      <c r="BB425" s="956" t="b">
        <v>0</v>
      </c>
    </row>
    <row r="426" spans="2:54" ht="13.5" customHeight="1">
      <c r="B426" s="1578"/>
      <c r="C426" s="1579"/>
      <c r="D426" s="1580"/>
      <c r="E426" s="1654" t="s">
        <v>663</v>
      </c>
      <c r="F426" s="1591"/>
      <c r="G426" s="1591"/>
      <c r="H426" s="1591"/>
      <c r="I426" s="1591"/>
      <c r="J426" s="1591"/>
      <c r="K426" s="1591"/>
      <c r="L426" s="1591"/>
      <c r="M426" s="1591"/>
      <c r="N426" s="1591"/>
      <c r="O426" s="1591"/>
      <c r="P426" s="1592"/>
      <c r="Q426" s="1591" t="s">
        <v>769</v>
      </c>
      <c r="R426" s="1591"/>
      <c r="S426" s="1591"/>
      <c r="T426" s="1658"/>
      <c r="U426" s="1591" t="s">
        <v>770</v>
      </c>
      <c r="V426" s="1591"/>
      <c r="W426" s="1591"/>
      <c r="X426" s="1658"/>
      <c r="Y426" s="1591" t="s">
        <v>771</v>
      </c>
      <c r="Z426" s="1591"/>
      <c r="AA426" s="1591"/>
      <c r="AB426" s="1658"/>
      <c r="AC426" s="1591" t="s">
        <v>772</v>
      </c>
      <c r="AD426" s="1591"/>
      <c r="AE426" s="1591"/>
      <c r="AF426" s="1591" t="s">
        <v>772</v>
      </c>
      <c r="AG426" s="1591"/>
      <c r="AH426" s="1592"/>
      <c r="AI426" s="1592"/>
      <c r="AJ426" s="1654" t="s">
        <v>773</v>
      </c>
      <c r="AK426" s="1591"/>
      <c r="AL426" s="1592"/>
      <c r="AM426" s="1654" t="s">
        <v>669</v>
      </c>
      <c r="AN426" s="1591"/>
      <c r="AO426" s="1592"/>
      <c r="AP426" s="1654" t="s">
        <v>774</v>
      </c>
      <c r="AQ426" s="1591"/>
      <c r="AR426" s="1592"/>
      <c r="AS426" s="1655" t="s">
        <v>775</v>
      </c>
      <c r="AT426" s="1654"/>
      <c r="AU426" s="1654"/>
      <c r="AV426" s="1654"/>
      <c r="AW426" s="2241" t="s">
        <v>666</v>
      </c>
      <c r="AX426" s="2242"/>
      <c r="AY426" s="2242"/>
      <c r="AZ426" s="2242"/>
      <c r="BA426" s="2200"/>
      <c r="BB426" s="956" t="b">
        <v>0</v>
      </c>
    </row>
    <row r="427" spans="2:54" ht="13.5" customHeight="1">
      <c r="B427" s="2578" t="s">
        <v>825</v>
      </c>
      <c r="C427" s="2579"/>
      <c r="D427" s="2580"/>
      <c r="E427" s="962" t="s">
        <v>777</v>
      </c>
      <c r="F427" s="2909" t="s">
        <v>826</v>
      </c>
      <c r="G427" s="2909"/>
      <c r="H427" s="2909"/>
      <c r="I427" s="2909"/>
      <c r="J427" s="2909"/>
      <c r="K427" s="2909"/>
      <c r="L427" s="2909"/>
      <c r="M427" s="2909"/>
      <c r="N427" s="2909"/>
      <c r="O427" s="2909"/>
      <c r="P427" s="2910"/>
      <c r="Q427" s="2320"/>
      <c r="R427" s="2275"/>
      <c r="S427" s="2275"/>
      <c r="T427" s="505"/>
      <c r="U427" s="2275"/>
      <c r="V427" s="2275"/>
      <c r="W427" s="2275"/>
      <c r="X427" s="505"/>
      <c r="Y427" s="2275"/>
      <c r="Z427" s="2275"/>
      <c r="AA427" s="2275"/>
      <c r="AB427" s="505"/>
      <c r="AC427" s="2275"/>
      <c r="AD427" s="2275"/>
      <c r="AE427" s="2275"/>
      <c r="AF427" s="505"/>
      <c r="AG427" s="2275"/>
      <c r="AH427" s="2275"/>
      <c r="AI427" s="2319"/>
      <c r="AJ427" s="2212">
        <f t="shared" ref="AJ427:AJ463" si="132">ROUNDDOWN(SUM(Q427:AI427),-1)</f>
        <v>0</v>
      </c>
      <c r="AK427" s="2213"/>
      <c r="AL427" s="2214"/>
      <c r="AM427" s="2215">
        <v>1</v>
      </c>
      <c r="AN427" s="2216"/>
      <c r="AO427" s="2217"/>
      <c r="AP427" s="2212">
        <f t="shared" ref="AP427:AP468" si="133">INT(AJ427*AM427)</f>
        <v>0</v>
      </c>
      <c r="AQ427" s="2213"/>
      <c r="AR427" s="2214"/>
      <c r="AS427" s="2218"/>
      <c r="AT427" s="2219"/>
      <c r="AU427" s="2219"/>
      <c r="AV427" s="2220"/>
      <c r="AW427" s="2206">
        <f t="shared" ref="AW427:AW468" si="134">INT(AP427*AS427)</f>
        <v>0</v>
      </c>
      <c r="AX427" s="2207"/>
      <c r="AY427" s="2207"/>
      <c r="AZ427" s="2208"/>
      <c r="BA427" s="2200"/>
      <c r="BB427" s="956" t="b">
        <f ca="1">AW482=0</f>
        <v>1</v>
      </c>
    </row>
    <row r="428" spans="2:54" ht="13.5" customHeight="1">
      <c r="B428" s="2445"/>
      <c r="C428" s="2521"/>
      <c r="D428" s="2500"/>
      <c r="E428" s="958" t="s">
        <v>777</v>
      </c>
      <c r="F428" s="2210" t="s">
        <v>1319</v>
      </c>
      <c r="G428" s="2210"/>
      <c r="H428" s="2210"/>
      <c r="I428" s="2210"/>
      <c r="J428" s="2210"/>
      <c r="K428" s="2210"/>
      <c r="L428" s="2210"/>
      <c r="M428" s="2210"/>
      <c r="N428" s="2210"/>
      <c r="O428" s="2210"/>
      <c r="P428" s="2211"/>
      <c r="Q428" s="2257">
        <v>35778</v>
      </c>
      <c r="R428" s="2224"/>
      <c r="S428" s="2224"/>
      <c r="T428" s="508" t="s">
        <v>1292</v>
      </c>
      <c r="U428" s="2224">
        <v>11954</v>
      </c>
      <c r="V428" s="2224"/>
      <c r="W428" s="2224"/>
      <c r="X428" s="508" t="s">
        <v>779</v>
      </c>
      <c r="Y428" s="2224">
        <v>453</v>
      </c>
      <c r="Z428" s="2224"/>
      <c r="AA428" s="2224"/>
      <c r="AB428" s="511" t="s">
        <v>1037</v>
      </c>
      <c r="AC428" s="2224"/>
      <c r="AD428" s="2224"/>
      <c r="AE428" s="2224"/>
      <c r="AF428" s="507" t="s">
        <v>1037</v>
      </c>
      <c r="AG428" s="2224"/>
      <c r="AH428" s="2224"/>
      <c r="AI428" s="2226"/>
      <c r="AJ428" s="2212">
        <f t="shared" si="132"/>
        <v>48180</v>
      </c>
      <c r="AK428" s="2213"/>
      <c r="AL428" s="2214"/>
      <c r="AM428" s="2215">
        <v>1</v>
      </c>
      <c r="AN428" s="2216"/>
      <c r="AO428" s="2217"/>
      <c r="AP428" s="2212">
        <f t="shared" si="133"/>
        <v>48180</v>
      </c>
      <c r="AQ428" s="2213"/>
      <c r="AR428" s="2214"/>
      <c r="AS428" s="2203">
        <f ca="1">SUMIF(床・天井!Q$6:Q$89,F428,床・天井!I$6:I$89)+SUMIF(見積拾!C$95:D$103,F428,見積拾!T$95:T$103)</f>
        <v>0</v>
      </c>
      <c r="AT428" s="2204"/>
      <c r="AU428" s="2204"/>
      <c r="AV428" s="2205"/>
      <c r="AW428" s="2206">
        <f t="shared" ca="1" si="134"/>
        <v>0</v>
      </c>
      <c r="AX428" s="2207"/>
      <c r="AY428" s="2207"/>
      <c r="AZ428" s="2208"/>
      <c r="BA428" s="2200"/>
      <c r="BB428" s="956" t="b">
        <f t="shared" ref="BB428:BB469" ca="1" si="135">AW428&lt;&gt;0</f>
        <v>0</v>
      </c>
    </row>
    <row r="429" spans="2:54" ht="13.5" customHeight="1">
      <c r="B429" s="2445"/>
      <c r="C429" s="2521"/>
      <c r="D429" s="2500"/>
      <c r="E429" s="958" t="s">
        <v>777</v>
      </c>
      <c r="F429" s="2210" t="s">
        <v>1320</v>
      </c>
      <c r="G429" s="2210"/>
      <c r="H429" s="2210"/>
      <c r="I429" s="2210"/>
      <c r="J429" s="2210"/>
      <c r="K429" s="2210"/>
      <c r="L429" s="2210"/>
      <c r="M429" s="2210"/>
      <c r="N429" s="2210"/>
      <c r="O429" s="2210"/>
      <c r="P429" s="2211"/>
      <c r="Q429" s="2257">
        <v>23393</v>
      </c>
      <c r="R429" s="2224"/>
      <c r="S429" s="2224"/>
      <c r="T429" s="508" t="s">
        <v>1292</v>
      </c>
      <c r="U429" s="2224">
        <v>9614</v>
      </c>
      <c r="V429" s="2224"/>
      <c r="W429" s="2224"/>
      <c r="X429" s="508" t="s">
        <v>779</v>
      </c>
      <c r="Y429" s="2224">
        <v>453</v>
      </c>
      <c r="Z429" s="2224"/>
      <c r="AA429" s="2224"/>
      <c r="AB429" s="511" t="s">
        <v>1037</v>
      </c>
      <c r="AC429" s="2224"/>
      <c r="AD429" s="2224"/>
      <c r="AE429" s="2224"/>
      <c r="AF429" s="507" t="s">
        <v>1037</v>
      </c>
      <c r="AG429" s="2224"/>
      <c r="AH429" s="2224"/>
      <c r="AI429" s="2226"/>
      <c r="AJ429" s="2212">
        <f t="shared" si="132"/>
        <v>33460</v>
      </c>
      <c r="AK429" s="2213"/>
      <c r="AL429" s="2214"/>
      <c r="AM429" s="2215">
        <v>1</v>
      </c>
      <c r="AN429" s="2216"/>
      <c r="AO429" s="2217"/>
      <c r="AP429" s="2212">
        <f t="shared" si="133"/>
        <v>33460</v>
      </c>
      <c r="AQ429" s="2213"/>
      <c r="AR429" s="2214"/>
      <c r="AS429" s="2203">
        <f ca="1">SUMIF(床・天井!Q$6:Q$89,F429,床・天井!I$6:I$89)+SUMIF(見積拾!C$95:D$103,F429,見積拾!T$95:T$103)</f>
        <v>0</v>
      </c>
      <c r="AT429" s="2204"/>
      <c r="AU429" s="2204"/>
      <c r="AV429" s="2205"/>
      <c r="AW429" s="2206">
        <f t="shared" ca="1" si="134"/>
        <v>0</v>
      </c>
      <c r="AX429" s="2207"/>
      <c r="AY429" s="2207"/>
      <c r="AZ429" s="2208"/>
      <c r="BA429" s="2200"/>
      <c r="BB429" s="956" t="b">
        <f t="shared" ca="1" si="135"/>
        <v>0</v>
      </c>
    </row>
    <row r="430" spans="2:54" ht="13.5" customHeight="1">
      <c r="B430" s="2445"/>
      <c r="C430" s="2521"/>
      <c r="D430" s="2500"/>
      <c r="E430" s="958" t="s">
        <v>777</v>
      </c>
      <c r="F430" s="2210" t="s">
        <v>1321</v>
      </c>
      <c r="G430" s="2210"/>
      <c r="H430" s="2210"/>
      <c r="I430" s="2210"/>
      <c r="J430" s="2210"/>
      <c r="K430" s="2210"/>
      <c r="L430" s="2210"/>
      <c r="M430" s="2210"/>
      <c r="N430" s="2210"/>
      <c r="O430" s="2210"/>
      <c r="P430" s="2211"/>
      <c r="Q430" s="2257">
        <v>13072</v>
      </c>
      <c r="R430" s="2224"/>
      <c r="S430" s="2224"/>
      <c r="T430" s="508" t="s">
        <v>1292</v>
      </c>
      <c r="U430" s="2224">
        <v>9614</v>
      </c>
      <c r="V430" s="2224"/>
      <c r="W430" s="2224"/>
      <c r="X430" s="508" t="s">
        <v>779</v>
      </c>
      <c r="Y430" s="2224">
        <v>453</v>
      </c>
      <c r="Z430" s="2224"/>
      <c r="AA430" s="2224"/>
      <c r="AB430" s="511" t="s">
        <v>1037</v>
      </c>
      <c r="AC430" s="2224"/>
      <c r="AD430" s="2224"/>
      <c r="AE430" s="2224"/>
      <c r="AF430" s="507" t="s">
        <v>1037</v>
      </c>
      <c r="AG430" s="2224"/>
      <c r="AH430" s="2224"/>
      <c r="AI430" s="2226"/>
      <c r="AJ430" s="2212">
        <f t="shared" si="132"/>
        <v>23130</v>
      </c>
      <c r="AK430" s="2213"/>
      <c r="AL430" s="2214"/>
      <c r="AM430" s="2215">
        <v>1</v>
      </c>
      <c r="AN430" s="2216"/>
      <c r="AO430" s="2217"/>
      <c r="AP430" s="2212">
        <f t="shared" si="133"/>
        <v>23130</v>
      </c>
      <c r="AQ430" s="2213"/>
      <c r="AR430" s="2214"/>
      <c r="AS430" s="2203">
        <f ca="1">SUMIF(床・天井!Q$6:Q$89,F430,床・天井!I$6:I$89)+SUMIF(見積拾!C$95:D$103,F430,見積拾!T$95:T$103)</f>
        <v>0</v>
      </c>
      <c r="AT430" s="2204"/>
      <c r="AU430" s="2204"/>
      <c r="AV430" s="2205"/>
      <c r="AW430" s="2206">
        <f t="shared" ca="1" si="134"/>
        <v>0</v>
      </c>
      <c r="AX430" s="2207"/>
      <c r="AY430" s="2207"/>
      <c r="AZ430" s="2208"/>
      <c r="BA430" s="2200"/>
      <c r="BB430" s="956" t="b">
        <f t="shared" ca="1" si="135"/>
        <v>0</v>
      </c>
    </row>
    <row r="431" spans="2:54" ht="13.5" customHeight="1">
      <c r="B431" s="2445"/>
      <c r="C431" s="2521"/>
      <c r="D431" s="2500"/>
      <c r="E431" s="958" t="s">
        <v>777</v>
      </c>
      <c r="F431" s="2210" t="s">
        <v>1322</v>
      </c>
      <c r="G431" s="2210"/>
      <c r="H431" s="2210"/>
      <c r="I431" s="2210"/>
      <c r="J431" s="2210"/>
      <c r="K431" s="2210"/>
      <c r="L431" s="2210"/>
      <c r="M431" s="2210"/>
      <c r="N431" s="2210"/>
      <c r="O431" s="2210"/>
      <c r="P431" s="2211"/>
      <c r="Q431" s="2257">
        <v>6192</v>
      </c>
      <c r="R431" s="2224"/>
      <c r="S431" s="2224"/>
      <c r="T431" s="508" t="s">
        <v>1292</v>
      </c>
      <c r="U431" s="2224">
        <v>9614</v>
      </c>
      <c r="V431" s="2224"/>
      <c r="W431" s="2224"/>
      <c r="X431" s="508" t="s">
        <v>779</v>
      </c>
      <c r="Y431" s="2224">
        <v>453</v>
      </c>
      <c r="Z431" s="2224"/>
      <c r="AA431" s="2224"/>
      <c r="AB431" s="511" t="s">
        <v>1037</v>
      </c>
      <c r="AC431" s="2224"/>
      <c r="AD431" s="2224"/>
      <c r="AE431" s="2224"/>
      <c r="AF431" s="507" t="s">
        <v>1037</v>
      </c>
      <c r="AG431" s="2224"/>
      <c r="AH431" s="2224"/>
      <c r="AI431" s="2226"/>
      <c r="AJ431" s="2212">
        <f t="shared" si="132"/>
        <v>16250</v>
      </c>
      <c r="AK431" s="2213"/>
      <c r="AL431" s="2214"/>
      <c r="AM431" s="2215">
        <v>1</v>
      </c>
      <c r="AN431" s="2216"/>
      <c r="AO431" s="2217"/>
      <c r="AP431" s="2209">
        <f t="shared" si="133"/>
        <v>16250</v>
      </c>
      <c r="AQ431" s="2210"/>
      <c r="AR431" s="2211"/>
      <c r="AS431" s="2203">
        <f ca="1">SUMIF(床・天井!Q$6:Q$89,F431,床・天井!I$6:I$89)+SUMIF(見積拾!C$95:D$103,F431,見積拾!T$95:T$103)</f>
        <v>0</v>
      </c>
      <c r="AT431" s="2204"/>
      <c r="AU431" s="2204"/>
      <c r="AV431" s="2205"/>
      <c r="AW431" s="2206">
        <f t="shared" ca="1" si="134"/>
        <v>0</v>
      </c>
      <c r="AX431" s="2207"/>
      <c r="AY431" s="2207"/>
      <c r="AZ431" s="2208"/>
      <c r="BA431" s="2200"/>
      <c r="BB431" s="956" t="b">
        <f t="shared" ca="1" si="135"/>
        <v>0</v>
      </c>
    </row>
    <row r="432" spans="2:54" ht="13.5" customHeight="1">
      <c r="B432" s="2445"/>
      <c r="C432" s="2521"/>
      <c r="D432" s="2500"/>
      <c r="E432" s="958" t="s">
        <v>777</v>
      </c>
      <c r="F432" s="2210" t="s">
        <v>1108</v>
      </c>
      <c r="G432" s="2210"/>
      <c r="H432" s="2210"/>
      <c r="I432" s="2210"/>
      <c r="J432" s="2210"/>
      <c r="K432" s="2210"/>
      <c r="L432" s="2210"/>
      <c r="M432" s="2210"/>
      <c r="N432" s="2210"/>
      <c r="O432" s="2210"/>
      <c r="P432" s="2211"/>
      <c r="Q432" s="2257">
        <v>1700</v>
      </c>
      <c r="R432" s="2224"/>
      <c r="S432" s="2224"/>
      <c r="T432" s="508" t="s">
        <v>1292</v>
      </c>
      <c r="U432" s="2225" t="s">
        <v>1031</v>
      </c>
      <c r="V432" s="2225"/>
      <c r="W432" s="2225"/>
      <c r="X432" s="508" t="s">
        <v>779</v>
      </c>
      <c r="Y432" s="2225" t="s">
        <v>1032</v>
      </c>
      <c r="Z432" s="2225"/>
      <c r="AA432" s="2225"/>
      <c r="AB432" s="511" t="s">
        <v>1037</v>
      </c>
      <c r="AC432" s="2224"/>
      <c r="AD432" s="2224"/>
      <c r="AE432" s="2224"/>
      <c r="AF432" s="507" t="s">
        <v>1037</v>
      </c>
      <c r="AG432" s="2224"/>
      <c r="AH432" s="2224"/>
      <c r="AI432" s="2226"/>
      <c r="AJ432" s="2212">
        <f t="shared" si="132"/>
        <v>1700</v>
      </c>
      <c r="AK432" s="2213"/>
      <c r="AL432" s="2214"/>
      <c r="AM432" s="2215">
        <v>1</v>
      </c>
      <c r="AN432" s="2216"/>
      <c r="AO432" s="2217"/>
      <c r="AP432" s="2209">
        <f t="shared" si="133"/>
        <v>1700</v>
      </c>
      <c r="AQ432" s="2210"/>
      <c r="AR432" s="2211"/>
      <c r="AS432" s="2203">
        <f ca="1">SUMIF(床・天井!Q$6:Q$89,F432,床・天井!I$6:I$89)+SUMIF(見積拾!C$95:D$103,F432,見積拾!T$95:T$103)</f>
        <v>0</v>
      </c>
      <c r="AT432" s="2204"/>
      <c r="AU432" s="2204"/>
      <c r="AV432" s="2205"/>
      <c r="AW432" s="2206">
        <f t="shared" ca="1" si="134"/>
        <v>0</v>
      </c>
      <c r="AX432" s="2207"/>
      <c r="AY432" s="2207"/>
      <c r="AZ432" s="2208"/>
      <c r="BA432" s="2200"/>
      <c r="BB432" s="956" t="b">
        <f t="shared" ca="1" si="135"/>
        <v>0</v>
      </c>
    </row>
    <row r="433" spans="2:54" ht="13.5" customHeight="1">
      <c r="B433" s="2445"/>
      <c r="C433" s="2521"/>
      <c r="D433" s="2500"/>
      <c r="E433" s="958" t="s">
        <v>777</v>
      </c>
      <c r="F433" s="2210" t="s">
        <v>1367</v>
      </c>
      <c r="G433" s="2210"/>
      <c r="H433" s="2210"/>
      <c r="I433" s="2210"/>
      <c r="J433" s="2210"/>
      <c r="K433" s="2210"/>
      <c r="L433" s="2210"/>
      <c r="M433" s="2210"/>
      <c r="N433" s="2210"/>
      <c r="O433" s="2210"/>
      <c r="P433" s="2211"/>
      <c r="Q433" s="2315" t="s">
        <v>5686</v>
      </c>
      <c r="R433" s="2225"/>
      <c r="S433" s="2225"/>
      <c r="T433" s="508" t="s">
        <v>1292</v>
      </c>
      <c r="U433" s="2224">
        <v>560</v>
      </c>
      <c r="V433" s="2224"/>
      <c r="W433" s="2224"/>
      <c r="X433" s="508" t="s">
        <v>779</v>
      </c>
      <c r="Y433" s="2225" t="s">
        <v>1032</v>
      </c>
      <c r="Z433" s="2225"/>
      <c r="AA433" s="2225"/>
      <c r="AB433" s="511" t="s">
        <v>1037</v>
      </c>
      <c r="AC433" s="2224"/>
      <c r="AD433" s="2224"/>
      <c r="AE433" s="2224"/>
      <c r="AF433" s="507" t="s">
        <v>1037</v>
      </c>
      <c r="AG433" s="2224"/>
      <c r="AH433" s="2224"/>
      <c r="AI433" s="2226"/>
      <c r="AJ433" s="2212">
        <f t="shared" si="132"/>
        <v>560</v>
      </c>
      <c r="AK433" s="2213"/>
      <c r="AL433" s="2214"/>
      <c r="AM433" s="2215">
        <v>1</v>
      </c>
      <c r="AN433" s="2216"/>
      <c r="AO433" s="2217"/>
      <c r="AP433" s="2209">
        <f t="shared" si="133"/>
        <v>560</v>
      </c>
      <c r="AQ433" s="2210"/>
      <c r="AR433" s="2211"/>
      <c r="AS433" s="2203">
        <f ca="1">SUMIF(床・天井!Q$6:Q$89,F433,床・天井!I$6:I$89)+SUMIF(見積拾!C$95:D$103,F433,見積拾!T$95:T$103)</f>
        <v>0</v>
      </c>
      <c r="AT433" s="2204"/>
      <c r="AU433" s="2204"/>
      <c r="AV433" s="2205"/>
      <c r="AW433" s="2206">
        <f t="shared" ca="1" si="134"/>
        <v>0</v>
      </c>
      <c r="AX433" s="2207"/>
      <c r="AY433" s="2207"/>
      <c r="AZ433" s="2208"/>
      <c r="BA433" s="2200"/>
      <c r="BB433" s="956" t="b">
        <f t="shared" ca="1" si="135"/>
        <v>0</v>
      </c>
    </row>
    <row r="434" spans="2:54" ht="13.5" customHeight="1">
      <c r="B434" s="2445"/>
      <c r="C434" s="2521"/>
      <c r="D434" s="2500"/>
      <c r="E434" s="958" t="s">
        <v>777</v>
      </c>
      <c r="F434" s="2210" t="s">
        <v>1368</v>
      </c>
      <c r="G434" s="2210"/>
      <c r="H434" s="2210"/>
      <c r="I434" s="2210"/>
      <c r="J434" s="2210"/>
      <c r="K434" s="2210"/>
      <c r="L434" s="2210"/>
      <c r="M434" s="2210"/>
      <c r="N434" s="2210"/>
      <c r="O434" s="2210"/>
      <c r="P434" s="2211"/>
      <c r="Q434" s="2257">
        <v>2920</v>
      </c>
      <c r="R434" s="2224"/>
      <c r="S434" s="2224"/>
      <c r="T434" s="508" t="s">
        <v>1292</v>
      </c>
      <c r="U434" s="2225" t="s">
        <v>1031</v>
      </c>
      <c r="V434" s="2225"/>
      <c r="W434" s="2225"/>
      <c r="X434" s="508" t="s">
        <v>779</v>
      </c>
      <c r="Y434" s="2224">
        <v>560</v>
      </c>
      <c r="Z434" s="2224"/>
      <c r="AA434" s="2224"/>
      <c r="AB434" s="511" t="s">
        <v>1037</v>
      </c>
      <c r="AC434" s="2224"/>
      <c r="AD434" s="2224"/>
      <c r="AE434" s="2224"/>
      <c r="AF434" s="507" t="s">
        <v>1037</v>
      </c>
      <c r="AG434" s="2224"/>
      <c r="AH434" s="2224"/>
      <c r="AI434" s="2226"/>
      <c r="AJ434" s="2212">
        <f t="shared" si="132"/>
        <v>3480</v>
      </c>
      <c r="AK434" s="2213"/>
      <c r="AL434" s="2214"/>
      <c r="AM434" s="2215">
        <v>1</v>
      </c>
      <c r="AN434" s="2216"/>
      <c r="AO434" s="2217"/>
      <c r="AP434" s="2209">
        <f t="shared" si="133"/>
        <v>3480</v>
      </c>
      <c r="AQ434" s="2210"/>
      <c r="AR434" s="2211"/>
      <c r="AS434" s="2203">
        <f ca="1">SUMIF(床・天井!Q$6:Q$89,F434,床・天井!I$6:I$89)+SUMIF(見積拾!C$95:D$103,F434,見積拾!T$95:T$103)</f>
        <v>0</v>
      </c>
      <c r="AT434" s="2204"/>
      <c r="AU434" s="2204"/>
      <c r="AV434" s="2205"/>
      <c r="AW434" s="2206">
        <f t="shared" ca="1" si="134"/>
        <v>0</v>
      </c>
      <c r="AX434" s="2207"/>
      <c r="AY434" s="2207"/>
      <c r="AZ434" s="2208"/>
      <c r="BA434" s="2200"/>
      <c r="BB434" s="956" t="b">
        <f t="shared" ca="1" si="135"/>
        <v>0</v>
      </c>
    </row>
    <row r="435" spans="2:54" ht="13.5" customHeight="1">
      <c r="B435" s="2445"/>
      <c r="C435" s="2521"/>
      <c r="D435" s="2500"/>
      <c r="E435" s="958" t="s">
        <v>777</v>
      </c>
      <c r="F435" s="2210" t="s">
        <v>1369</v>
      </c>
      <c r="G435" s="2210"/>
      <c r="H435" s="2210"/>
      <c r="I435" s="2210"/>
      <c r="J435" s="2210"/>
      <c r="K435" s="2210"/>
      <c r="L435" s="2210"/>
      <c r="M435" s="2210"/>
      <c r="N435" s="2210"/>
      <c r="O435" s="2210"/>
      <c r="P435" s="2211"/>
      <c r="Q435" s="2257">
        <v>2280</v>
      </c>
      <c r="R435" s="2224"/>
      <c r="S435" s="2224"/>
      <c r="T435" s="508" t="s">
        <v>1292</v>
      </c>
      <c r="U435" s="2225" t="s">
        <v>1031</v>
      </c>
      <c r="V435" s="2225"/>
      <c r="W435" s="2225"/>
      <c r="X435" s="508" t="s">
        <v>779</v>
      </c>
      <c r="Y435" s="2224">
        <v>560</v>
      </c>
      <c r="Z435" s="2224"/>
      <c r="AA435" s="2224"/>
      <c r="AB435" s="511" t="s">
        <v>1037</v>
      </c>
      <c r="AC435" s="2224"/>
      <c r="AD435" s="2224"/>
      <c r="AE435" s="2224"/>
      <c r="AF435" s="507" t="s">
        <v>1037</v>
      </c>
      <c r="AG435" s="2224"/>
      <c r="AH435" s="2224"/>
      <c r="AI435" s="2226"/>
      <c r="AJ435" s="2212">
        <f t="shared" si="132"/>
        <v>2840</v>
      </c>
      <c r="AK435" s="2213"/>
      <c r="AL435" s="2214"/>
      <c r="AM435" s="2215">
        <v>1</v>
      </c>
      <c r="AN435" s="2216"/>
      <c r="AO435" s="2217"/>
      <c r="AP435" s="2209">
        <f t="shared" si="133"/>
        <v>2840</v>
      </c>
      <c r="AQ435" s="2210"/>
      <c r="AR435" s="2211"/>
      <c r="AS435" s="2203">
        <f ca="1">SUMIF(床・天井!Q$6:Q$89,F435,床・天井!I$6:I$89)+SUMIF(見積拾!C$95:D$103,F435,見積拾!T$95:T$103)</f>
        <v>0</v>
      </c>
      <c r="AT435" s="2204"/>
      <c r="AU435" s="2204"/>
      <c r="AV435" s="2205"/>
      <c r="AW435" s="2206">
        <f t="shared" ca="1" si="134"/>
        <v>0</v>
      </c>
      <c r="AX435" s="2207"/>
      <c r="AY435" s="2207"/>
      <c r="AZ435" s="2208"/>
      <c r="BA435" s="2200"/>
      <c r="BB435" s="956" t="b">
        <f t="shared" ca="1" si="135"/>
        <v>0</v>
      </c>
    </row>
    <row r="436" spans="2:54" ht="13.5" customHeight="1">
      <c r="B436" s="2445"/>
      <c r="C436" s="2521"/>
      <c r="D436" s="2500"/>
      <c r="E436" s="958" t="s">
        <v>777</v>
      </c>
      <c r="F436" s="2210" t="s">
        <v>1370</v>
      </c>
      <c r="G436" s="2210"/>
      <c r="H436" s="2210"/>
      <c r="I436" s="2210"/>
      <c r="J436" s="2210"/>
      <c r="K436" s="2210"/>
      <c r="L436" s="2210"/>
      <c r="M436" s="2210"/>
      <c r="N436" s="2210"/>
      <c r="O436" s="2210"/>
      <c r="P436" s="2211"/>
      <c r="Q436" s="2257">
        <v>10600</v>
      </c>
      <c r="R436" s="2224"/>
      <c r="S436" s="2224"/>
      <c r="T436" s="508" t="s">
        <v>1292</v>
      </c>
      <c r="U436" s="2225" t="s">
        <v>1031</v>
      </c>
      <c r="V436" s="2225"/>
      <c r="W436" s="2225"/>
      <c r="X436" s="508" t="s">
        <v>779</v>
      </c>
      <c r="Y436" s="2224">
        <v>472</v>
      </c>
      <c r="Z436" s="2224"/>
      <c r="AA436" s="2224"/>
      <c r="AB436" s="511" t="s">
        <v>1037</v>
      </c>
      <c r="AC436" s="2224"/>
      <c r="AD436" s="2224"/>
      <c r="AE436" s="2224"/>
      <c r="AF436" s="507" t="s">
        <v>1037</v>
      </c>
      <c r="AG436" s="2224"/>
      <c r="AH436" s="2224"/>
      <c r="AI436" s="2226"/>
      <c r="AJ436" s="2212">
        <f t="shared" si="132"/>
        <v>11070</v>
      </c>
      <c r="AK436" s="2213"/>
      <c r="AL436" s="2214"/>
      <c r="AM436" s="2215">
        <v>1</v>
      </c>
      <c r="AN436" s="2216"/>
      <c r="AO436" s="2217"/>
      <c r="AP436" s="2209">
        <f t="shared" si="133"/>
        <v>11070</v>
      </c>
      <c r="AQ436" s="2210"/>
      <c r="AR436" s="2211"/>
      <c r="AS436" s="2203">
        <f ca="1">SUMIF(床・天井!Q$6:Q$89,F436,床・天井!I$6:I$89)+SUMIF(見積拾!C$95:D$103,F436,見積拾!T$95:T$103)</f>
        <v>0</v>
      </c>
      <c r="AT436" s="2204"/>
      <c r="AU436" s="2204"/>
      <c r="AV436" s="2205"/>
      <c r="AW436" s="2206">
        <f t="shared" ca="1" si="134"/>
        <v>0</v>
      </c>
      <c r="AX436" s="2207"/>
      <c r="AY436" s="2207"/>
      <c r="AZ436" s="2208"/>
      <c r="BA436" s="2200"/>
      <c r="BB436" s="956" t="b">
        <f t="shared" ca="1" si="135"/>
        <v>0</v>
      </c>
    </row>
    <row r="437" spans="2:54" ht="13.5" customHeight="1">
      <c r="B437" s="2445"/>
      <c r="C437" s="2521"/>
      <c r="D437" s="2500"/>
      <c r="E437" s="958" t="s">
        <v>777</v>
      </c>
      <c r="F437" s="2210" t="s">
        <v>1371</v>
      </c>
      <c r="G437" s="2210"/>
      <c r="H437" s="2210"/>
      <c r="I437" s="2210"/>
      <c r="J437" s="2210"/>
      <c r="K437" s="2210"/>
      <c r="L437" s="2210"/>
      <c r="M437" s="2210"/>
      <c r="N437" s="2210"/>
      <c r="O437" s="2210"/>
      <c r="P437" s="2211"/>
      <c r="Q437" s="2257">
        <v>8530</v>
      </c>
      <c r="R437" s="2224"/>
      <c r="S437" s="2224"/>
      <c r="T437" s="508" t="s">
        <v>1292</v>
      </c>
      <c r="U437" s="2225" t="s">
        <v>1031</v>
      </c>
      <c r="V437" s="2225"/>
      <c r="W437" s="2225"/>
      <c r="X437" s="508" t="s">
        <v>779</v>
      </c>
      <c r="Y437" s="2224">
        <v>472</v>
      </c>
      <c r="Z437" s="2224"/>
      <c r="AA437" s="2224"/>
      <c r="AB437" s="511" t="s">
        <v>1037</v>
      </c>
      <c r="AC437" s="2224"/>
      <c r="AD437" s="2224"/>
      <c r="AE437" s="2224"/>
      <c r="AF437" s="507" t="s">
        <v>1037</v>
      </c>
      <c r="AG437" s="2224"/>
      <c r="AH437" s="2224"/>
      <c r="AI437" s="2226"/>
      <c r="AJ437" s="2212">
        <f t="shared" si="132"/>
        <v>9000</v>
      </c>
      <c r="AK437" s="2213"/>
      <c r="AL437" s="2214"/>
      <c r="AM437" s="2215">
        <v>1</v>
      </c>
      <c r="AN437" s="2216"/>
      <c r="AO437" s="2217"/>
      <c r="AP437" s="2209">
        <f t="shared" si="133"/>
        <v>9000</v>
      </c>
      <c r="AQ437" s="2210"/>
      <c r="AR437" s="2211"/>
      <c r="AS437" s="2203">
        <f ca="1">SUMIF(床・天井!Q$6:Q$89,F437,床・天井!I$6:I$89)+SUMIF(見積拾!C$95:D$103,F437,見積拾!T$95:T$103)</f>
        <v>0</v>
      </c>
      <c r="AT437" s="2204"/>
      <c r="AU437" s="2204"/>
      <c r="AV437" s="2205"/>
      <c r="AW437" s="2206">
        <f t="shared" ca="1" si="134"/>
        <v>0</v>
      </c>
      <c r="AX437" s="2207"/>
      <c r="AY437" s="2207"/>
      <c r="AZ437" s="2208"/>
      <c r="BA437" s="2200"/>
      <c r="BB437" s="956" t="b">
        <f t="shared" ca="1" si="135"/>
        <v>0</v>
      </c>
    </row>
    <row r="438" spans="2:54" ht="13.5" customHeight="1">
      <c r="B438" s="2445"/>
      <c r="C438" s="2521"/>
      <c r="D438" s="2500"/>
      <c r="E438" s="958" t="s">
        <v>777</v>
      </c>
      <c r="F438" s="2210" t="s">
        <v>1372</v>
      </c>
      <c r="G438" s="2210"/>
      <c r="H438" s="2210"/>
      <c r="I438" s="2210"/>
      <c r="J438" s="2210"/>
      <c r="K438" s="2210"/>
      <c r="L438" s="2210"/>
      <c r="M438" s="2210"/>
      <c r="N438" s="2210"/>
      <c r="O438" s="2210"/>
      <c r="P438" s="2211"/>
      <c r="Q438" s="2257">
        <v>7070</v>
      </c>
      <c r="R438" s="2224"/>
      <c r="S438" s="2224"/>
      <c r="T438" s="508" t="s">
        <v>1292</v>
      </c>
      <c r="U438" s="2225" t="s">
        <v>1031</v>
      </c>
      <c r="V438" s="2225"/>
      <c r="W438" s="2225"/>
      <c r="X438" s="508" t="s">
        <v>779</v>
      </c>
      <c r="Y438" s="2224">
        <v>472</v>
      </c>
      <c r="Z438" s="2224"/>
      <c r="AA438" s="2224"/>
      <c r="AB438" s="511" t="s">
        <v>1037</v>
      </c>
      <c r="AC438" s="2224"/>
      <c r="AD438" s="2224"/>
      <c r="AE438" s="2224"/>
      <c r="AF438" s="507" t="s">
        <v>1037</v>
      </c>
      <c r="AG438" s="2224"/>
      <c r="AH438" s="2224"/>
      <c r="AI438" s="2226"/>
      <c r="AJ438" s="2212">
        <f t="shared" si="132"/>
        <v>7540</v>
      </c>
      <c r="AK438" s="2213"/>
      <c r="AL438" s="2214"/>
      <c r="AM438" s="2215">
        <v>1</v>
      </c>
      <c r="AN438" s="2216"/>
      <c r="AO438" s="2217"/>
      <c r="AP438" s="2209">
        <f t="shared" si="133"/>
        <v>7540</v>
      </c>
      <c r="AQ438" s="2210"/>
      <c r="AR438" s="2211"/>
      <c r="AS438" s="2203">
        <f ca="1">SUMIF(床・天井!Q$6:Q$89,F438,床・天井!I$6:I$89)+SUMIF(見積拾!C$95:D$103,F438,見積拾!T$95:T$103)</f>
        <v>0</v>
      </c>
      <c r="AT438" s="2204"/>
      <c r="AU438" s="2204"/>
      <c r="AV438" s="2205"/>
      <c r="AW438" s="2206">
        <f t="shared" ca="1" si="134"/>
        <v>0</v>
      </c>
      <c r="AX438" s="2207"/>
      <c r="AY438" s="2207"/>
      <c r="AZ438" s="2208"/>
      <c r="BA438" s="2200"/>
      <c r="BB438" s="956" t="b">
        <f t="shared" ca="1" si="135"/>
        <v>0</v>
      </c>
    </row>
    <row r="439" spans="2:54" ht="13.5" customHeight="1">
      <c r="B439" s="2445"/>
      <c r="C439" s="2521"/>
      <c r="D439" s="2500"/>
      <c r="E439" s="958" t="s">
        <v>777</v>
      </c>
      <c r="F439" s="2210" t="s">
        <v>1373</v>
      </c>
      <c r="G439" s="2210"/>
      <c r="H439" s="2210"/>
      <c r="I439" s="2210"/>
      <c r="J439" s="2210"/>
      <c r="K439" s="2210"/>
      <c r="L439" s="2210"/>
      <c r="M439" s="2210"/>
      <c r="N439" s="2210"/>
      <c r="O439" s="2210"/>
      <c r="P439" s="2211"/>
      <c r="Q439" s="2257">
        <v>8040</v>
      </c>
      <c r="R439" s="2224"/>
      <c r="S439" s="2224"/>
      <c r="T439" s="508" t="s">
        <v>1292</v>
      </c>
      <c r="U439" s="2225" t="s">
        <v>1031</v>
      </c>
      <c r="V439" s="2225"/>
      <c r="W439" s="2225"/>
      <c r="X439" s="508" t="s">
        <v>779</v>
      </c>
      <c r="Y439" s="2224">
        <v>4520</v>
      </c>
      <c r="Z439" s="2224"/>
      <c r="AA439" s="2224"/>
      <c r="AB439" s="511" t="s">
        <v>1037</v>
      </c>
      <c r="AC439" s="2224"/>
      <c r="AD439" s="2224"/>
      <c r="AE439" s="2224"/>
      <c r="AF439" s="507" t="s">
        <v>1037</v>
      </c>
      <c r="AG439" s="2224"/>
      <c r="AH439" s="2224"/>
      <c r="AI439" s="2226"/>
      <c r="AJ439" s="2212">
        <f t="shared" si="132"/>
        <v>12560</v>
      </c>
      <c r="AK439" s="2213"/>
      <c r="AL439" s="2214"/>
      <c r="AM439" s="2215">
        <v>1</v>
      </c>
      <c r="AN439" s="2216"/>
      <c r="AO439" s="2217"/>
      <c r="AP439" s="2209">
        <f t="shared" si="133"/>
        <v>12560</v>
      </c>
      <c r="AQ439" s="2210"/>
      <c r="AR439" s="2211"/>
      <c r="AS439" s="2203">
        <f ca="1">SUMIF(床・天井!Q$6:Q$89,F439,床・天井!I$6:I$89)+SUMIF(見積拾!C$95:D$103,F439,見積拾!T$95:T$103)</f>
        <v>0</v>
      </c>
      <c r="AT439" s="2204"/>
      <c r="AU439" s="2204"/>
      <c r="AV439" s="2205"/>
      <c r="AW439" s="2206">
        <f t="shared" ca="1" si="134"/>
        <v>0</v>
      </c>
      <c r="AX439" s="2207"/>
      <c r="AY439" s="2207"/>
      <c r="AZ439" s="2208"/>
      <c r="BA439" s="2200"/>
      <c r="BB439" s="956" t="b">
        <f t="shared" ca="1" si="135"/>
        <v>0</v>
      </c>
    </row>
    <row r="440" spans="2:54" ht="13.5" customHeight="1">
      <c r="B440" s="2445"/>
      <c r="C440" s="2521"/>
      <c r="D440" s="2500"/>
      <c r="E440" s="958" t="s">
        <v>777</v>
      </c>
      <c r="F440" s="2210" t="s">
        <v>1374</v>
      </c>
      <c r="G440" s="2210"/>
      <c r="H440" s="2210"/>
      <c r="I440" s="2210"/>
      <c r="J440" s="2210"/>
      <c r="K440" s="2210"/>
      <c r="L440" s="2210"/>
      <c r="M440" s="2210"/>
      <c r="N440" s="2210"/>
      <c r="O440" s="2210"/>
      <c r="P440" s="2211"/>
      <c r="Q440" s="2257">
        <v>2569</v>
      </c>
      <c r="R440" s="2224"/>
      <c r="S440" s="2224"/>
      <c r="T440" s="508" t="s">
        <v>1292</v>
      </c>
      <c r="U440" s="2224">
        <v>2313</v>
      </c>
      <c r="V440" s="2224"/>
      <c r="W440" s="2224"/>
      <c r="X440" s="508" t="s">
        <v>779</v>
      </c>
      <c r="Y440" s="2224">
        <v>1631</v>
      </c>
      <c r="Z440" s="2224"/>
      <c r="AA440" s="2224"/>
      <c r="AB440" s="511" t="s">
        <v>1037</v>
      </c>
      <c r="AC440" s="2224"/>
      <c r="AD440" s="2224"/>
      <c r="AE440" s="2224"/>
      <c r="AF440" s="507" t="s">
        <v>1037</v>
      </c>
      <c r="AG440" s="2224"/>
      <c r="AH440" s="2224"/>
      <c r="AI440" s="2226"/>
      <c r="AJ440" s="2212">
        <f t="shared" si="132"/>
        <v>6510</v>
      </c>
      <c r="AK440" s="2213"/>
      <c r="AL440" s="2214"/>
      <c r="AM440" s="2215">
        <v>1</v>
      </c>
      <c r="AN440" s="2216"/>
      <c r="AO440" s="2217"/>
      <c r="AP440" s="2209">
        <f t="shared" si="133"/>
        <v>6510</v>
      </c>
      <c r="AQ440" s="2210"/>
      <c r="AR440" s="2211"/>
      <c r="AS440" s="2203">
        <f ca="1">SUMIF(床・天井!Q$6:Q$89,F440,床・天井!I$6:I$89)+SUMIF(見積拾!C$95:D$103,F440,見積拾!T$95:T$103)</f>
        <v>0</v>
      </c>
      <c r="AT440" s="2204"/>
      <c r="AU440" s="2204"/>
      <c r="AV440" s="2205"/>
      <c r="AW440" s="2206">
        <f t="shared" ca="1" si="134"/>
        <v>0</v>
      </c>
      <c r="AX440" s="2207"/>
      <c r="AY440" s="2207"/>
      <c r="AZ440" s="2208"/>
      <c r="BA440" s="2200"/>
      <c r="BB440" s="956" t="b">
        <f t="shared" ca="1" si="135"/>
        <v>0</v>
      </c>
    </row>
    <row r="441" spans="2:54" ht="13.5" customHeight="1">
      <c r="B441" s="2445"/>
      <c r="C441" s="2521"/>
      <c r="D441" s="2500"/>
      <c r="E441" s="958" t="s">
        <v>777</v>
      </c>
      <c r="F441" s="2210" t="s">
        <v>1038</v>
      </c>
      <c r="G441" s="2210"/>
      <c r="H441" s="2210"/>
      <c r="I441" s="2210"/>
      <c r="J441" s="2210"/>
      <c r="K441" s="2210"/>
      <c r="L441" s="2210"/>
      <c r="M441" s="2210"/>
      <c r="N441" s="2210"/>
      <c r="O441" s="2210"/>
      <c r="P441" s="2211"/>
      <c r="Q441" s="2257">
        <v>5144</v>
      </c>
      <c r="R441" s="2224"/>
      <c r="S441" s="2224"/>
      <c r="T441" s="508" t="s">
        <v>1292</v>
      </c>
      <c r="U441" s="2224">
        <v>2313</v>
      </c>
      <c r="V441" s="2224"/>
      <c r="W441" s="2224"/>
      <c r="X441" s="508" t="s">
        <v>779</v>
      </c>
      <c r="Y441" s="2224">
        <v>1631</v>
      </c>
      <c r="Z441" s="2224"/>
      <c r="AA441" s="2224"/>
      <c r="AB441" s="511" t="s">
        <v>1037</v>
      </c>
      <c r="AC441" s="2224"/>
      <c r="AD441" s="2224"/>
      <c r="AE441" s="2224"/>
      <c r="AF441" s="507" t="s">
        <v>1037</v>
      </c>
      <c r="AG441" s="2224"/>
      <c r="AH441" s="2224"/>
      <c r="AI441" s="2226"/>
      <c r="AJ441" s="2212">
        <f t="shared" si="132"/>
        <v>9080</v>
      </c>
      <c r="AK441" s="2213"/>
      <c r="AL441" s="2214"/>
      <c r="AM441" s="2215">
        <v>1</v>
      </c>
      <c r="AN441" s="2216"/>
      <c r="AO441" s="2217"/>
      <c r="AP441" s="2209">
        <f t="shared" si="133"/>
        <v>9080</v>
      </c>
      <c r="AQ441" s="2210"/>
      <c r="AR441" s="2211"/>
      <c r="AS441" s="2203">
        <f ca="1">SUMIF(床・天井!Q$6:Q$89,F441,床・天井!I$6:I$89)+SUMIF(見積拾!C$95:D$103,F441,見積拾!T$95:T$103)</f>
        <v>0</v>
      </c>
      <c r="AT441" s="2204"/>
      <c r="AU441" s="2204"/>
      <c r="AV441" s="2205"/>
      <c r="AW441" s="2206">
        <f t="shared" ca="1" si="134"/>
        <v>0</v>
      </c>
      <c r="AX441" s="2207"/>
      <c r="AY441" s="2207"/>
      <c r="AZ441" s="2208"/>
      <c r="BA441" s="2200"/>
      <c r="BB441" s="956" t="b">
        <f t="shared" ca="1" si="135"/>
        <v>0</v>
      </c>
    </row>
    <row r="442" spans="2:54" ht="13.5" customHeight="1">
      <c r="B442" s="2445"/>
      <c r="C442" s="2521"/>
      <c r="D442" s="2500"/>
      <c r="E442" s="958" t="s">
        <v>777</v>
      </c>
      <c r="F442" s="2210" t="s">
        <v>1039</v>
      </c>
      <c r="G442" s="2210"/>
      <c r="H442" s="2210"/>
      <c r="I442" s="2210"/>
      <c r="J442" s="2210"/>
      <c r="K442" s="2210"/>
      <c r="L442" s="2210"/>
      <c r="M442" s="2210"/>
      <c r="N442" s="2210"/>
      <c r="O442" s="2210"/>
      <c r="P442" s="2211"/>
      <c r="Q442" s="2257">
        <v>3900</v>
      </c>
      <c r="R442" s="2224"/>
      <c r="S442" s="2224"/>
      <c r="T442" s="508" t="s">
        <v>1292</v>
      </c>
      <c r="U442" s="2224">
        <v>2313</v>
      </c>
      <c r="V442" s="2224"/>
      <c r="W442" s="2224"/>
      <c r="X442" s="508" t="s">
        <v>779</v>
      </c>
      <c r="Y442" s="2224">
        <v>1631</v>
      </c>
      <c r="Z442" s="2224"/>
      <c r="AA442" s="2224"/>
      <c r="AB442" s="511" t="s">
        <v>1037</v>
      </c>
      <c r="AC442" s="2224"/>
      <c r="AD442" s="2224"/>
      <c r="AE442" s="2224"/>
      <c r="AF442" s="507" t="s">
        <v>1037</v>
      </c>
      <c r="AG442" s="2224"/>
      <c r="AH442" s="2224"/>
      <c r="AI442" s="2226"/>
      <c r="AJ442" s="2212">
        <f t="shared" si="132"/>
        <v>7840</v>
      </c>
      <c r="AK442" s="2213"/>
      <c r="AL442" s="2214"/>
      <c r="AM442" s="2215">
        <v>1</v>
      </c>
      <c r="AN442" s="2216"/>
      <c r="AO442" s="2217"/>
      <c r="AP442" s="2209">
        <f t="shared" si="133"/>
        <v>7840</v>
      </c>
      <c r="AQ442" s="2210"/>
      <c r="AR442" s="2211"/>
      <c r="AS442" s="2203">
        <f ca="1">SUMIF(床・天井!Q$6:Q$89,F442,床・天井!I$6:I$89)+SUMIF(見積拾!C$95:D$103,F442,見積拾!T$95:T$103)</f>
        <v>0</v>
      </c>
      <c r="AT442" s="2204"/>
      <c r="AU442" s="2204"/>
      <c r="AV442" s="2205"/>
      <c r="AW442" s="2206">
        <f t="shared" ca="1" si="134"/>
        <v>0</v>
      </c>
      <c r="AX442" s="2207"/>
      <c r="AY442" s="2207"/>
      <c r="AZ442" s="2208"/>
      <c r="BA442" s="2200"/>
      <c r="BB442" s="956" t="b">
        <f t="shared" ca="1" si="135"/>
        <v>0</v>
      </c>
    </row>
    <row r="443" spans="2:54" ht="13.5" customHeight="1">
      <c r="B443" s="2445"/>
      <c r="C443" s="2521"/>
      <c r="D443" s="2500"/>
      <c r="E443" s="958" t="s">
        <v>777</v>
      </c>
      <c r="F443" s="2210" t="s">
        <v>1040</v>
      </c>
      <c r="G443" s="2210"/>
      <c r="H443" s="2210"/>
      <c r="I443" s="2210"/>
      <c r="J443" s="2210"/>
      <c r="K443" s="2210"/>
      <c r="L443" s="2210"/>
      <c r="M443" s="2210"/>
      <c r="N443" s="2210"/>
      <c r="O443" s="2210"/>
      <c r="P443" s="2211"/>
      <c r="Q443" s="2257">
        <v>2858</v>
      </c>
      <c r="R443" s="2224"/>
      <c r="S443" s="2224"/>
      <c r="T443" s="508" t="s">
        <v>1292</v>
      </c>
      <c r="U443" s="2224">
        <v>2313</v>
      </c>
      <c r="V443" s="2224"/>
      <c r="W443" s="2224"/>
      <c r="X443" s="508" t="s">
        <v>779</v>
      </c>
      <c r="Y443" s="2224">
        <v>1631</v>
      </c>
      <c r="Z443" s="2224"/>
      <c r="AA443" s="2224"/>
      <c r="AB443" s="511" t="s">
        <v>1037</v>
      </c>
      <c r="AC443" s="2224"/>
      <c r="AD443" s="2224"/>
      <c r="AE443" s="2224"/>
      <c r="AF443" s="507" t="s">
        <v>1037</v>
      </c>
      <c r="AG443" s="2224"/>
      <c r="AH443" s="2224"/>
      <c r="AI443" s="2226"/>
      <c r="AJ443" s="2212">
        <f t="shared" si="132"/>
        <v>6800</v>
      </c>
      <c r="AK443" s="2213"/>
      <c r="AL443" s="2214"/>
      <c r="AM443" s="2215">
        <v>1</v>
      </c>
      <c r="AN443" s="2216"/>
      <c r="AO443" s="2217"/>
      <c r="AP443" s="2209">
        <f t="shared" si="133"/>
        <v>6800</v>
      </c>
      <c r="AQ443" s="2210"/>
      <c r="AR443" s="2211"/>
      <c r="AS443" s="2203">
        <f ca="1">SUMIF(床・天井!Q$6:Q$89,F443,床・天井!I$6:I$89)+SUMIF(見積拾!C$95:D$103,F443,見積拾!T$95:T$103)</f>
        <v>0</v>
      </c>
      <c r="AT443" s="2204"/>
      <c r="AU443" s="2204"/>
      <c r="AV443" s="2205"/>
      <c r="AW443" s="2206">
        <f t="shared" ca="1" si="134"/>
        <v>0</v>
      </c>
      <c r="AX443" s="2207"/>
      <c r="AY443" s="2207"/>
      <c r="AZ443" s="2208"/>
      <c r="BA443" s="2200"/>
      <c r="BB443" s="956" t="b">
        <f t="shared" ca="1" si="135"/>
        <v>0</v>
      </c>
    </row>
    <row r="444" spans="2:54" ht="13.5" customHeight="1">
      <c r="B444" s="2445"/>
      <c r="C444" s="2521"/>
      <c r="D444" s="2500"/>
      <c r="E444" s="958" t="s">
        <v>777</v>
      </c>
      <c r="F444" s="2210" t="s">
        <v>1375</v>
      </c>
      <c r="G444" s="2210"/>
      <c r="H444" s="2210"/>
      <c r="I444" s="2210"/>
      <c r="J444" s="2210"/>
      <c r="K444" s="2210"/>
      <c r="L444" s="2210"/>
      <c r="M444" s="2210"/>
      <c r="N444" s="2210"/>
      <c r="O444" s="2210"/>
      <c r="P444" s="2211"/>
      <c r="Q444" s="2257">
        <v>7360</v>
      </c>
      <c r="R444" s="2224"/>
      <c r="S444" s="2224"/>
      <c r="T444" s="508" t="s">
        <v>1292</v>
      </c>
      <c r="U444" s="2225" t="s">
        <v>1031</v>
      </c>
      <c r="V444" s="2225"/>
      <c r="W444" s="2225"/>
      <c r="X444" s="508" t="s">
        <v>779</v>
      </c>
      <c r="Y444" s="2224">
        <v>4520</v>
      </c>
      <c r="Z444" s="2224"/>
      <c r="AA444" s="2224"/>
      <c r="AB444" s="511" t="s">
        <v>1037</v>
      </c>
      <c r="AC444" s="2224"/>
      <c r="AD444" s="2224"/>
      <c r="AE444" s="2224"/>
      <c r="AF444" s="507" t="s">
        <v>1037</v>
      </c>
      <c r="AG444" s="2224"/>
      <c r="AH444" s="2224"/>
      <c r="AI444" s="2226"/>
      <c r="AJ444" s="2212">
        <f t="shared" si="132"/>
        <v>11880</v>
      </c>
      <c r="AK444" s="2213"/>
      <c r="AL444" s="2214"/>
      <c r="AM444" s="2215">
        <v>1</v>
      </c>
      <c r="AN444" s="2216"/>
      <c r="AO444" s="2217"/>
      <c r="AP444" s="2209">
        <f t="shared" si="133"/>
        <v>11880</v>
      </c>
      <c r="AQ444" s="2210"/>
      <c r="AR444" s="2211"/>
      <c r="AS444" s="2203">
        <f ca="1">SUMIF(床・天井!Q$6:Q$89,F444,床・天井!I$6:I$89)+SUMIF(見積拾!C$95:D$103,F444,見積拾!T$95:T$103)</f>
        <v>0</v>
      </c>
      <c r="AT444" s="2204"/>
      <c r="AU444" s="2204"/>
      <c r="AV444" s="2205"/>
      <c r="AW444" s="2206">
        <f t="shared" ca="1" si="134"/>
        <v>0</v>
      </c>
      <c r="AX444" s="2207"/>
      <c r="AY444" s="2207"/>
      <c r="AZ444" s="2208"/>
      <c r="BA444" s="2200"/>
      <c r="BB444" s="956" t="b">
        <f t="shared" ca="1" si="135"/>
        <v>0</v>
      </c>
    </row>
    <row r="445" spans="2:54" ht="13.5" customHeight="1">
      <c r="B445" s="2445"/>
      <c r="C445" s="2521"/>
      <c r="D445" s="2500"/>
      <c r="E445" s="958" t="s">
        <v>777</v>
      </c>
      <c r="F445" s="2210" t="s">
        <v>1376</v>
      </c>
      <c r="G445" s="2210"/>
      <c r="H445" s="2210"/>
      <c r="I445" s="2210"/>
      <c r="J445" s="2210"/>
      <c r="K445" s="2210"/>
      <c r="L445" s="2210"/>
      <c r="M445" s="2210"/>
      <c r="N445" s="2210"/>
      <c r="O445" s="2210"/>
      <c r="P445" s="2211"/>
      <c r="Q445" s="2257">
        <v>4990</v>
      </c>
      <c r="R445" s="2224"/>
      <c r="S445" s="2224"/>
      <c r="T445" s="508" t="s">
        <v>1292</v>
      </c>
      <c r="U445" s="2225" t="s">
        <v>1031</v>
      </c>
      <c r="V445" s="2225"/>
      <c r="W445" s="2225"/>
      <c r="X445" s="508" t="s">
        <v>779</v>
      </c>
      <c r="Y445" s="2224">
        <v>4520</v>
      </c>
      <c r="Z445" s="2224"/>
      <c r="AA445" s="2224"/>
      <c r="AB445" s="511" t="s">
        <v>1037</v>
      </c>
      <c r="AC445" s="2224"/>
      <c r="AD445" s="2224"/>
      <c r="AE445" s="2224"/>
      <c r="AF445" s="507" t="s">
        <v>1037</v>
      </c>
      <c r="AG445" s="2224"/>
      <c r="AH445" s="2224"/>
      <c r="AI445" s="2226"/>
      <c r="AJ445" s="2212">
        <f t="shared" si="132"/>
        <v>9510</v>
      </c>
      <c r="AK445" s="2213"/>
      <c r="AL445" s="2214"/>
      <c r="AM445" s="2215">
        <v>1</v>
      </c>
      <c r="AN445" s="2216"/>
      <c r="AO445" s="2217"/>
      <c r="AP445" s="2209">
        <f t="shared" si="133"/>
        <v>9510</v>
      </c>
      <c r="AQ445" s="2210"/>
      <c r="AR445" s="2211"/>
      <c r="AS445" s="2203">
        <f ca="1">SUMIF(床・天井!Q$6:Q$89,F445,床・天井!I$6:I$89)+SUMIF(見積拾!C$95:D$103,F445,見積拾!T$95:T$103)</f>
        <v>0</v>
      </c>
      <c r="AT445" s="2204"/>
      <c r="AU445" s="2204"/>
      <c r="AV445" s="2205"/>
      <c r="AW445" s="2206">
        <f t="shared" ca="1" si="134"/>
        <v>0</v>
      </c>
      <c r="AX445" s="2207"/>
      <c r="AY445" s="2207"/>
      <c r="AZ445" s="2208"/>
      <c r="BA445" s="2200"/>
      <c r="BB445" s="956" t="b">
        <f t="shared" ca="1" si="135"/>
        <v>0</v>
      </c>
    </row>
    <row r="446" spans="2:54" ht="13.5" customHeight="1">
      <c r="B446" s="2445"/>
      <c r="C446" s="2521"/>
      <c r="D446" s="2500"/>
      <c r="E446" s="958" t="s">
        <v>777</v>
      </c>
      <c r="F446" s="2210" t="s">
        <v>1377</v>
      </c>
      <c r="G446" s="2210"/>
      <c r="H446" s="2210"/>
      <c r="I446" s="2210"/>
      <c r="J446" s="2210"/>
      <c r="K446" s="2210"/>
      <c r="L446" s="2210"/>
      <c r="M446" s="2210"/>
      <c r="N446" s="2210"/>
      <c r="O446" s="2210"/>
      <c r="P446" s="2211"/>
      <c r="Q446" s="2257">
        <v>8600</v>
      </c>
      <c r="R446" s="2224"/>
      <c r="S446" s="2224"/>
      <c r="T446" s="508" t="s">
        <v>1292</v>
      </c>
      <c r="U446" s="2225" t="s">
        <v>1031</v>
      </c>
      <c r="V446" s="2225"/>
      <c r="W446" s="2225"/>
      <c r="X446" s="508" t="s">
        <v>779</v>
      </c>
      <c r="Y446" s="2224">
        <v>560</v>
      </c>
      <c r="Z446" s="2224"/>
      <c r="AA446" s="2224"/>
      <c r="AB446" s="511" t="s">
        <v>1037</v>
      </c>
      <c r="AC446" s="2224"/>
      <c r="AD446" s="2224"/>
      <c r="AE446" s="2224"/>
      <c r="AF446" s="507" t="s">
        <v>1037</v>
      </c>
      <c r="AG446" s="2224"/>
      <c r="AH446" s="2224"/>
      <c r="AI446" s="2226"/>
      <c r="AJ446" s="2212">
        <f t="shared" si="132"/>
        <v>9160</v>
      </c>
      <c r="AK446" s="2213"/>
      <c r="AL446" s="2214"/>
      <c r="AM446" s="2215">
        <v>1</v>
      </c>
      <c r="AN446" s="2216"/>
      <c r="AO446" s="2217"/>
      <c r="AP446" s="2209">
        <f t="shared" si="133"/>
        <v>9160</v>
      </c>
      <c r="AQ446" s="2210"/>
      <c r="AR446" s="2211"/>
      <c r="AS446" s="2203">
        <f ca="1">SUMIF(床・天井!Q$6:Q$89,F446,床・天井!I$6:I$89)+SUMIF(見積拾!C$95:D$103,F446,見積拾!T$95:T$103)</f>
        <v>0</v>
      </c>
      <c r="AT446" s="2204"/>
      <c r="AU446" s="2204"/>
      <c r="AV446" s="2205"/>
      <c r="AW446" s="2206">
        <f t="shared" ca="1" si="134"/>
        <v>0</v>
      </c>
      <c r="AX446" s="2207"/>
      <c r="AY446" s="2207"/>
      <c r="AZ446" s="2208"/>
      <c r="BA446" s="2200"/>
      <c r="BB446" s="956" t="b">
        <f t="shared" ca="1" si="135"/>
        <v>0</v>
      </c>
    </row>
    <row r="447" spans="2:54" ht="13.5" customHeight="1">
      <c r="B447" s="2445"/>
      <c r="C447" s="2521"/>
      <c r="D447" s="2500"/>
      <c r="E447" s="958" t="s">
        <v>777</v>
      </c>
      <c r="F447" s="2210" t="s">
        <v>1378</v>
      </c>
      <c r="G447" s="2210"/>
      <c r="H447" s="2210"/>
      <c r="I447" s="2210"/>
      <c r="J447" s="2210"/>
      <c r="K447" s="2210"/>
      <c r="L447" s="2210"/>
      <c r="M447" s="2210"/>
      <c r="N447" s="2210"/>
      <c r="O447" s="2210"/>
      <c r="P447" s="2211"/>
      <c r="Q447" s="2257">
        <v>2480</v>
      </c>
      <c r="R447" s="2224"/>
      <c r="S447" s="2224"/>
      <c r="T447" s="508" t="s">
        <v>1292</v>
      </c>
      <c r="U447" s="2225" t="s">
        <v>1031</v>
      </c>
      <c r="V447" s="2225"/>
      <c r="W447" s="2225"/>
      <c r="X447" s="508" t="s">
        <v>779</v>
      </c>
      <c r="Y447" s="2224">
        <v>560</v>
      </c>
      <c r="Z447" s="2224"/>
      <c r="AA447" s="2224"/>
      <c r="AB447" s="511" t="s">
        <v>1037</v>
      </c>
      <c r="AC447" s="2224"/>
      <c r="AD447" s="2224"/>
      <c r="AE447" s="2224"/>
      <c r="AF447" s="507" t="s">
        <v>1037</v>
      </c>
      <c r="AG447" s="2224"/>
      <c r="AH447" s="2224"/>
      <c r="AI447" s="2226"/>
      <c r="AJ447" s="2212">
        <f t="shared" si="132"/>
        <v>3040</v>
      </c>
      <c r="AK447" s="2213"/>
      <c r="AL447" s="2214"/>
      <c r="AM447" s="2215">
        <v>1</v>
      </c>
      <c r="AN447" s="2216"/>
      <c r="AO447" s="2217"/>
      <c r="AP447" s="2209">
        <f t="shared" si="133"/>
        <v>3040</v>
      </c>
      <c r="AQ447" s="2210"/>
      <c r="AR447" s="2211"/>
      <c r="AS447" s="2203">
        <f ca="1">SUMIF(床・天井!Q$6:Q$89,F447,床・天井!I$6:I$89)+SUMIF(見積拾!C$95:D$103,F447,見積拾!T$95:T$103)</f>
        <v>0</v>
      </c>
      <c r="AT447" s="2204"/>
      <c r="AU447" s="2204"/>
      <c r="AV447" s="2205"/>
      <c r="AW447" s="2206">
        <f t="shared" ca="1" si="134"/>
        <v>0</v>
      </c>
      <c r="AX447" s="2207"/>
      <c r="AY447" s="2207"/>
      <c r="AZ447" s="2208"/>
      <c r="BA447" s="2200"/>
      <c r="BB447" s="956" t="b">
        <f t="shared" ca="1" si="135"/>
        <v>0</v>
      </c>
    </row>
    <row r="448" spans="2:54" ht="13.5" customHeight="1">
      <c r="B448" s="2445"/>
      <c r="C448" s="2521"/>
      <c r="D448" s="2500"/>
      <c r="E448" s="958" t="s">
        <v>777</v>
      </c>
      <c r="F448" s="2210" t="s">
        <v>1041</v>
      </c>
      <c r="G448" s="2210"/>
      <c r="H448" s="2210"/>
      <c r="I448" s="2210"/>
      <c r="J448" s="2210"/>
      <c r="K448" s="2210"/>
      <c r="L448" s="2210"/>
      <c r="M448" s="2210"/>
      <c r="N448" s="2210"/>
      <c r="O448" s="2210"/>
      <c r="P448" s="2211"/>
      <c r="Q448" s="2257">
        <v>4523</v>
      </c>
      <c r="R448" s="2224"/>
      <c r="S448" s="2224"/>
      <c r="T448" s="508" t="s">
        <v>1292</v>
      </c>
      <c r="U448" s="2224">
        <v>2800</v>
      </c>
      <c r="V448" s="2224"/>
      <c r="W448" s="2224"/>
      <c r="X448" s="508" t="s">
        <v>779</v>
      </c>
      <c r="Y448" s="2224">
        <v>711</v>
      </c>
      <c r="Z448" s="2224"/>
      <c r="AA448" s="2224"/>
      <c r="AB448" s="511" t="s">
        <v>1030</v>
      </c>
      <c r="AC448" s="2224"/>
      <c r="AD448" s="2224"/>
      <c r="AE448" s="2224"/>
      <c r="AF448" s="507" t="s">
        <v>1030</v>
      </c>
      <c r="AG448" s="2224"/>
      <c r="AH448" s="2224"/>
      <c r="AI448" s="2226"/>
      <c r="AJ448" s="2212">
        <f t="shared" ref="AJ448:AJ451" si="136">ROUNDDOWN(SUM(Q448:AI448),-1)</f>
        <v>8030</v>
      </c>
      <c r="AK448" s="2213"/>
      <c r="AL448" s="2214"/>
      <c r="AM448" s="2215">
        <v>1</v>
      </c>
      <c r="AN448" s="2216"/>
      <c r="AO448" s="2217"/>
      <c r="AP448" s="2209">
        <f t="shared" ref="AP448:AP451" si="137">INT(AJ448*AM448)</f>
        <v>8030</v>
      </c>
      <c r="AQ448" s="2210"/>
      <c r="AR448" s="2211"/>
      <c r="AS448" s="2203">
        <f ca="1">SUMIF(床・天井!Q$6:Q$89,F448,床・天井!I$6:I$89)+SUMIF(見積拾!C$95:D$103,F448,見積拾!T$95:T$103)</f>
        <v>0</v>
      </c>
      <c r="AT448" s="2204"/>
      <c r="AU448" s="2204"/>
      <c r="AV448" s="2205"/>
      <c r="AW448" s="2206">
        <f t="shared" ref="AW448:AW451" ca="1" si="138">INT(AP448*AS448)</f>
        <v>0</v>
      </c>
      <c r="AX448" s="2207"/>
      <c r="AY448" s="2207"/>
      <c r="AZ448" s="2208"/>
      <c r="BA448" s="2200"/>
      <c r="BB448" s="956" t="b">
        <f t="shared" ref="BB448:BB451" ca="1" si="139">AW448&lt;&gt;0</f>
        <v>0</v>
      </c>
    </row>
    <row r="449" spans="2:54" ht="13.5" customHeight="1">
      <c r="B449" s="2445"/>
      <c r="C449" s="2521"/>
      <c r="D449" s="2500"/>
      <c r="E449" s="958" t="s">
        <v>777</v>
      </c>
      <c r="F449" s="2210" t="s">
        <v>1379</v>
      </c>
      <c r="G449" s="2210"/>
      <c r="H449" s="2210"/>
      <c r="I449" s="2210"/>
      <c r="J449" s="2210"/>
      <c r="K449" s="2210"/>
      <c r="L449" s="2210"/>
      <c r="M449" s="2210"/>
      <c r="N449" s="2210"/>
      <c r="O449" s="2210"/>
      <c r="P449" s="2211"/>
      <c r="Q449" s="2257">
        <v>42260</v>
      </c>
      <c r="R449" s="2224"/>
      <c r="S449" s="2224"/>
      <c r="T449" s="508" t="s">
        <v>1292</v>
      </c>
      <c r="U449" s="2225" t="s">
        <v>1031</v>
      </c>
      <c r="V449" s="2225"/>
      <c r="W449" s="2225"/>
      <c r="X449" s="508" t="s">
        <v>779</v>
      </c>
      <c r="Y449" s="2224">
        <v>560</v>
      </c>
      <c r="Z449" s="2224"/>
      <c r="AA449" s="2224"/>
      <c r="AB449" s="511" t="s">
        <v>1030</v>
      </c>
      <c r="AC449" s="2224"/>
      <c r="AD449" s="2224"/>
      <c r="AE449" s="2224"/>
      <c r="AF449" s="507" t="s">
        <v>1030</v>
      </c>
      <c r="AG449" s="2224"/>
      <c r="AH449" s="2224"/>
      <c r="AI449" s="2226"/>
      <c r="AJ449" s="2212">
        <f t="shared" si="136"/>
        <v>42820</v>
      </c>
      <c r="AK449" s="2213"/>
      <c r="AL449" s="2214"/>
      <c r="AM449" s="2215">
        <v>1</v>
      </c>
      <c r="AN449" s="2216"/>
      <c r="AO449" s="2217"/>
      <c r="AP449" s="2209">
        <f t="shared" si="137"/>
        <v>42820</v>
      </c>
      <c r="AQ449" s="2210"/>
      <c r="AR449" s="2211"/>
      <c r="AS449" s="2203">
        <f ca="1">SUMIF(床・天井!Q$6:Q$89,F449,床・天井!I$6:I$89)+SUMIF(見積拾!C$95:D$103,F449,見積拾!T$95:T$103)</f>
        <v>0</v>
      </c>
      <c r="AT449" s="2204"/>
      <c r="AU449" s="2204"/>
      <c r="AV449" s="2205"/>
      <c r="AW449" s="2206">
        <f t="shared" ca="1" si="138"/>
        <v>0</v>
      </c>
      <c r="AX449" s="2207"/>
      <c r="AY449" s="2207"/>
      <c r="AZ449" s="2208"/>
      <c r="BA449" s="2200"/>
      <c r="BB449" s="956" t="b">
        <f t="shared" ca="1" si="139"/>
        <v>0</v>
      </c>
    </row>
    <row r="450" spans="2:54" ht="13.5" customHeight="1">
      <c r="B450" s="2445"/>
      <c r="C450" s="2521"/>
      <c r="D450" s="2500"/>
      <c r="E450" s="958" t="s">
        <v>777</v>
      </c>
      <c r="F450" s="2210" t="s">
        <v>1380</v>
      </c>
      <c r="G450" s="2210"/>
      <c r="H450" s="2210"/>
      <c r="I450" s="2210"/>
      <c r="J450" s="2210"/>
      <c r="K450" s="2210"/>
      <c r="L450" s="2210"/>
      <c r="M450" s="2210"/>
      <c r="N450" s="2210"/>
      <c r="O450" s="2210"/>
      <c r="P450" s="2211"/>
      <c r="Q450" s="2257">
        <v>23660</v>
      </c>
      <c r="R450" s="2224"/>
      <c r="S450" s="2224"/>
      <c r="T450" s="508" t="s">
        <v>1292</v>
      </c>
      <c r="U450" s="2225" t="s">
        <v>1031</v>
      </c>
      <c r="V450" s="2225"/>
      <c r="W450" s="2225"/>
      <c r="X450" s="508" t="s">
        <v>779</v>
      </c>
      <c r="Y450" s="2224">
        <v>560</v>
      </c>
      <c r="Z450" s="2224"/>
      <c r="AA450" s="2224"/>
      <c r="AB450" s="511" t="s">
        <v>1030</v>
      </c>
      <c r="AC450" s="2224"/>
      <c r="AD450" s="2224"/>
      <c r="AE450" s="2224"/>
      <c r="AF450" s="507" t="s">
        <v>1030</v>
      </c>
      <c r="AG450" s="2224"/>
      <c r="AH450" s="2224"/>
      <c r="AI450" s="2226"/>
      <c r="AJ450" s="2212">
        <f t="shared" si="136"/>
        <v>24220</v>
      </c>
      <c r="AK450" s="2213"/>
      <c r="AL450" s="2214"/>
      <c r="AM450" s="2215">
        <v>1</v>
      </c>
      <c r="AN450" s="2216"/>
      <c r="AO450" s="2217"/>
      <c r="AP450" s="2209">
        <f t="shared" si="137"/>
        <v>24220</v>
      </c>
      <c r="AQ450" s="2210"/>
      <c r="AR450" s="2211"/>
      <c r="AS450" s="2203">
        <f ca="1">SUMIF(床・天井!Q$6:Q$89,F450,床・天井!I$6:I$89)+SUMIF(見積拾!C$95:D$103,F450,見積拾!T$95:T$103)</f>
        <v>0</v>
      </c>
      <c r="AT450" s="2204"/>
      <c r="AU450" s="2204"/>
      <c r="AV450" s="2205"/>
      <c r="AW450" s="2206">
        <f t="shared" ca="1" si="138"/>
        <v>0</v>
      </c>
      <c r="AX450" s="2207"/>
      <c r="AY450" s="2207"/>
      <c r="AZ450" s="2208"/>
      <c r="BA450" s="2200"/>
      <c r="BB450" s="956" t="b">
        <f t="shared" ca="1" si="139"/>
        <v>0</v>
      </c>
    </row>
    <row r="451" spans="2:54" ht="13.5" customHeight="1">
      <c r="B451" s="2445"/>
      <c r="C451" s="2521"/>
      <c r="D451" s="2500"/>
      <c r="E451" s="958" t="s">
        <v>777</v>
      </c>
      <c r="F451" s="2210" t="s">
        <v>1381</v>
      </c>
      <c r="G451" s="2210"/>
      <c r="H451" s="2210"/>
      <c r="I451" s="2210"/>
      <c r="J451" s="2210"/>
      <c r="K451" s="2210"/>
      <c r="L451" s="2210"/>
      <c r="M451" s="2210"/>
      <c r="N451" s="2210"/>
      <c r="O451" s="2210"/>
      <c r="P451" s="2211"/>
      <c r="Q451" s="2257">
        <v>14922</v>
      </c>
      <c r="R451" s="2224"/>
      <c r="S451" s="2224"/>
      <c r="T451" s="508" t="s">
        <v>1292</v>
      </c>
      <c r="U451" s="2225" t="s">
        <v>1031</v>
      </c>
      <c r="V451" s="2225"/>
      <c r="W451" s="2225"/>
      <c r="X451" s="508" t="s">
        <v>779</v>
      </c>
      <c r="Y451" s="2224">
        <v>560</v>
      </c>
      <c r="Z451" s="2224"/>
      <c r="AA451" s="2224"/>
      <c r="AB451" s="511" t="s">
        <v>1030</v>
      </c>
      <c r="AC451" s="2224"/>
      <c r="AD451" s="2224"/>
      <c r="AE451" s="2224"/>
      <c r="AF451" s="507" t="s">
        <v>1030</v>
      </c>
      <c r="AG451" s="2224"/>
      <c r="AH451" s="2224"/>
      <c r="AI451" s="2226"/>
      <c r="AJ451" s="2212">
        <f t="shared" si="136"/>
        <v>15480</v>
      </c>
      <c r="AK451" s="2213"/>
      <c r="AL451" s="2214"/>
      <c r="AM451" s="2215">
        <v>1</v>
      </c>
      <c r="AN451" s="2216"/>
      <c r="AO451" s="2217"/>
      <c r="AP451" s="2209">
        <f t="shared" si="137"/>
        <v>15480</v>
      </c>
      <c r="AQ451" s="2210"/>
      <c r="AR451" s="2211"/>
      <c r="AS451" s="2203">
        <f ca="1">SUMIF(床・天井!Q$6:Q$89,F451,床・天井!I$6:I$89)+SUMIF(見積拾!C$95:D$103,F451,見積拾!T$95:T$103)</f>
        <v>0</v>
      </c>
      <c r="AT451" s="2204"/>
      <c r="AU451" s="2204"/>
      <c r="AV451" s="2205"/>
      <c r="AW451" s="2206">
        <f t="shared" ca="1" si="138"/>
        <v>0</v>
      </c>
      <c r="AX451" s="2207"/>
      <c r="AY451" s="2207"/>
      <c r="AZ451" s="2208"/>
      <c r="BA451" s="2200"/>
      <c r="BB451" s="956" t="b">
        <f t="shared" ca="1" si="139"/>
        <v>0</v>
      </c>
    </row>
    <row r="452" spans="2:54" ht="13.5" customHeight="1">
      <c r="B452" s="2445"/>
      <c r="C452" s="2521"/>
      <c r="D452" s="2500"/>
      <c r="E452" s="958" t="s">
        <v>777</v>
      </c>
      <c r="F452" s="2210" t="s">
        <v>1382</v>
      </c>
      <c r="G452" s="2210"/>
      <c r="H452" s="2210"/>
      <c r="I452" s="2210"/>
      <c r="J452" s="2210"/>
      <c r="K452" s="2210"/>
      <c r="L452" s="2210"/>
      <c r="M452" s="2210"/>
      <c r="N452" s="2210"/>
      <c r="O452" s="2210"/>
      <c r="P452" s="2211"/>
      <c r="Q452" s="2257">
        <v>12169</v>
      </c>
      <c r="R452" s="2224"/>
      <c r="S452" s="2224"/>
      <c r="T452" s="508" t="s">
        <v>1292</v>
      </c>
      <c r="U452" s="2225" t="s">
        <v>1031</v>
      </c>
      <c r="V452" s="2225"/>
      <c r="W452" s="2225"/>
      <c r="X452" s="508" t="s">
        <v>779</v>
      </c>
      <c r="Y452" s="2224">
        <v>560</v>
      </c>
      <c r="Z452" s="2224"/>
      <c r="AA452" s="2224"/>
      <c r="AB452" s="511" t="s">
        <v>1037</v>
      </c>
      <c r="AC452" s="2224"/>
      <c r="AD452" s="2224"/>
      <c r="AE452" s="2224"/>
      <c r="AF452" s="507" t="s">
        <v>1037</v>
      </c>
      <c r="AG452" s="2224"/>
      <c r="AH452" s="2224"/>
      <c r="AI452" s="2226"/>
      <c r="AJ452" s="2212">
        <f t="shared" si="132"/>
        <v>12720</v>
      </c>
      <c r="AK452" s="2213"/>
      <c r="AL452" s="2214"/>
      <c r="AM452" s="2215">
        <v>1</v>
      </c>
      <c r="AN452" s="2216"/>
      <c r="AO452" s="2217"/>
      <c r="AP452" s="2209">
        <f t="shared" si="133"/>
        <v>12720</v>
      </c>
      <c r="AQ452" s="2210"/>
      <c r="AR452" s="2211"/>
      <c r="AS452" s="2203">
        <f ca="1">SUMIF(床・天井!Q$6:Q$89,F452,床・天井!I$6:I$89)+SUMIF(見積拾!C$95:D$103,F452,見積拾!T$95:T$103)</f>
        <v>0</v>
      </c>
      <c r="AT452" s="2204"/>
      <c r="AU452" s="2204"/>
      <c r="AV452" s="2205"/>
      <c r="AW452" s="2206">
        <f t="shared" ca="1" si="134"/>
        <v>0</v>
      </c>
      <c r="AX452" s="2207"/>
      <c r="AY452" s="2207"/>
      <c r="AZ452" s="2208"/>
      <c r="BA452" s="2200"/>
      <c r="BB452" s="956" t="b">
        <f t="shared" ca="1" si="135"/>
        <v>0</v>
      </c>
    </row>
    <row r="453" spans="2:54" ht="13.5" customHeight="1">
      <c r="B453" s="2445"/>
      <c r="C453" s="2521"/>
      <c r="D453" s="2500"/>
      <c r="E453" s="958" t="s">
        <v>777</v>
      </c>
      <c r="F453" s="2210" t="s">
        <v>1383</v>
      </c>
      <c r="G453" s="2210"/>
      <c r="H453" s="2210"/>
      <c r="I453" s="2210"/>
      <c r="J453" s="2210"/>
      <c r="K453" s="2210"/>
      <c r="L453" s="2210"/>
      <c r="M453" s="2210"/>
      <c r="N453" s="2210"/>
      <c r="O453" s="2210"/>
      <c r="P453" s="2211"/>
      <c r="Q453" s="2257">
        <v>15080</v>
      </c>
      <c r="R453" s="2224"/>
      <c r="S453" s="2224"/>
      <c r="T453" s="508" t="s">
        <v>1292</v>
      </c>
      <c r="U453" s="2225" t="s">
        <v>1031</v>
      </c>
      <c r="V453" s="2225"/>
      <c r="W453" s="2225"/>
      <c r="X453" s="508" t="s">
        <v>779</v>
      </c>
      <c r="Y453" s="2224">
        <v>560</v>
      </c>
      <c r="Z453" s="2224"/>
      <c r="AA453" s="2224"/>
      <c r="AB453" s="511" t="s">
        <v>1037</v>
      </c>
      <c r="AC453" s="2224"/>
      <c r="AD453" s="2224"/>
      <c r="AE453" s="2224"/>
      <c r="AF453" s="507" t="s">
        <v>1037</v>
      </c>
      <c r="AG453" s="2224"/>
      <c r="AH453" s="2224"/>
      <c r="AI453" s="2226"/>
      <c r="AJ453" s="2212">
        <f t="shared" si="132"/>
        <v>15640</v>
      </c>
      <c r="AK453" s="2213"/>
      <c r="AL453" s="2214"/>
      <c r="AM453" s="2215">
        <v>1</v>
      </c>
      <c r="AN453" s="2216"/>
      <c r="AO453" s="2217"/>
      <c r="AP453" s="2209">
        <f t="shared" si="133"/>
        <v>15640</v>
      </c>
      <c r="AQ453" s="2210"/>
      <c r="AR453" s="2211"/>
      <c r="AS453" s="2203">
        <f ca="1">SUMIF(床・天井!Q$6:Q$89,F453,床・天井!I$6:I$89)+SUMIF(見積拾!C$95:D$103,F453,見積拾!T$95:T$103)</f>
        <v>0</v>
      </c>
      <c r="AT453" s="2204"/>
      <c r="AU453" s="2204"/>
      <c r="AV453" s="2205"/>
      <c r="AW453" s="2206">
        <f t="shared" ca="1" si="134"/>
        <v>0</v>
      </c>
      <c r="AX453" s="2207"/>
      <c r="AY453" s="2207"/>
      <c r="AZ453" s="2208"/>
      <c r="BA453" s="2200"/>
      <c r="BB453" s="956" t="b">
        <f t="shared" ca="1" si="135"/>
        <v>0</v>
      </c>
    </row>
    <row r="454" spans="2:54" ht="13.5" customHeight="1">
      <c r="B454" s="2445"/>
      <c r="C454" s="2521"/>
      <c r="D454" s="2500"/>
      <c r="E454" s="958" t="s">
        <v>777</v>
      </c>
      <c r="F454" s="2210" t="s">
        <v>5607</v>
      </c>
      <c r="G454" s="2210"/>
      <c r="H454" s="2210"/>
      <c r="I454" s="2210"/>
      <c r="J454" s="2210"/>
      <c r="K454" s="2210"/>
      <c r="L454" s="2210"/>
      <c r="M454" s="2210"/>
      <c r="N454" s="2210"/>
      <c r="O454" s="2210"/>
      <c r="P454" s="2211"/>
      <c r="Q454" s="2257">
        <v>3960</v>
      </c>
      <c r="R454" s="2224"/>
      <c r="S454" s="2224"/>
      <c r="T454" s="508" t="s">
        <v>1292</v>
      </c>
      <c r="U454" s="2225" t="s">
        <v>1031</v>
      </c>
      <c r="V454" s="2225"/>
      <c r="W454" s="2225"/>
      <c r="X454" s="508" t="s">
        <v>779</v>
      </c>
      <c r="Y454" s="2224">
        <v>560</v>
      </c>
      <c r="Z454" s="2224"/>
      <c r="AA454" s="2224"/>
      <c r="AB454" s="511" t="s">
        <v>1037</v>
      </c>
      <c r="AC454" s="2224"/>
      <c r="AD454" s="2224"/>
      <c r="AE454" s="2224"/>
      <c r="AF454" s="507" t="s">
        <v>1037</v>
      </c>
      <c r="AG454" s="2224"/>
      <c r="AH454" s="2224"/>
      <c r="AI454" s="2226"/>
      <c r="AJ454" s="2212">
        <f t="shared" si="132"/>
        <v>4520</v>
      </c>
      <c r="AK454" s="2213"/>
      <c r="AL454" s="2214"/>
      <c r="AM454" s="2215">
        <v>1</v>
      </c>
      <c r="AN454" s="2216"/>
      <c r="AO454" s="2217"/>
      <c r="AP454" s="2209">
        <f t="shared" si="133"/>
        <v>4520</v>
      </c>
      <c r="AQ454" s="2210"/>
      <c r="AR454" s="2211"/>
      <c r="AS454" s="2203">
        <f ca="1">SUMIF(床・天井!Q$6:Q$89,F454,床・天井!I$6:I$89)+SUMIF(見積拾!C$95:D$103,F454,見積拾!T$95:T$103)</f>
        <v>0</v>
      </c>
      <c r="AT454" s="2204"/>
      <c r="AU454" s="2204"/>
      <c r="AV454" s="2205"/>
      <c r="AW454" s="2206">
        <f t="shared" ca="1" si="134"/>
        <v>0</v>
      </c>
      <c r="AX454" s="2207"/>
      <c r="AY454" s="2207"/>
      <c r="AZ454" s="2208"/>
      <c r="BA454" s="2200"/>
      <c r="BB454" s="956" t="b">
        <f t="shared" ca="1" si="135"/>
        <v>0</v>
      </c>
    </row>
    <row r="455" spans="2:54" ht="13.5" customHeight="1">
      <c r="B455" s="2445"/>
      <c r="C455" s="2521"/>
      <c r="D455" s="2500"/>
      <c r="E455" s="958" t="s">
        <v>777</v>
      </c>
      <c r="F455" s="2210" t="s">
        <v>1384</v>
      </c>
      <c r="G455" s="2210"/>
      <c r="H455" s="2210"/>
      <c r="I455" s="2210"/>
      <c r="J455" s="2210"/>
      <c r="K455" s="2210"/>
      <c r="L455" s="2210"/>
      <c r="M455" s="2210"/>
      <c r="N455" s="2210"/>
      <c r="O455" s="2210"/>
      <c r="P455" s="2211"/>
      <c r="Q455" s="2257">
        <v>7200</v>
      </c>
      <c r="R455" s="2224"/>
      <c r="S455" s="2224"/>
      <c r="T455" s="508" t="s">
        <v>1292</v>
      </c>
      <c r="U455" s="2225" t="s">
        <v>1031</v>
      </c>
      <c r="V455" s="2225"/>
      <c r="W455" s="2225"/>
      <c r="X455" s="508" t="s">
        <v>779</v>
      </c>
      <c r="Y455" s="2224">
        <v>4520</v>
      </c>
      <c r="Z455" s="2224"/>
      <c r="AA455" s="2224"/>
      <c r="AB455" s="511" t="s">
        <v>1037</v>
      </c>
      <c r="AC455" s="2224"/>
      <c r="AD455" s="2224"/>
      <c r="AE455" s="2224"/>
      <c r="AF455" s="507" t="s">
        <v>1037</v>
      </c>
      <c r="AG455" s="2224"/>
      <c r="AH455" s="2224"/>
      <c r="AI455" s="2226"/>
      <c r="AJ455" s="2212">
        <f t="shared" si="132"/>
        <v>11720</v>
      </c>
      <c r="AK455" s="2213"/>
      <c r="AL455" s="2214"/>
      <c r="AM455" s="2215">
        <v>1</v>
      </c>
      <c r="AN455" s="2216"/>
      <c r="AO455" s="2217"/>
      <c r="AP455" s="2209">
        <f t="shared" si="133"/>
        <v>11720</v>
      </c>
      <c r="AQ455" s="2210"/>
      <c r="AR455" s="2211"/>
      <c r="AS455" s="2203">
        <f ca="1">SUMIF(床・天井!Q$6:Q$89,F455,床・天井!I$6:I$89)+SUMIF(見積拾!C$95:D$103,F455,見積拾!T$95:T$103)</f>
        <v>0</v>
      </c>
      <c r="AT455" s="2204"/>
      <c r="AU455" s="2204"/>
      <c r="AV455" s="2205"/>
      <c r="AW455" s="2206">
        <f t="shared" ca="1" si="134"/>
        <v>0</v>
      </c>
      <c r="AX455" s="2207"/>
      <c r="AY455" s="2207"/>
      <c r="AZ455" s="2208"/>
      <c r="BA455" s="2200"/>
      <c r="BB455" s="956" t="b">
        <f t="shared" ca="1" si="135"/>
        <v>0</v>
      </c>
    </row>
    <row r="456" spans="2:54" ht="13.5" customHeight="1">
      <c r="B456" s="2445"/>
      <c r="C456" s="2521"/>
      <c r="D456" s="2500"/>
      <c r="E456" s="958" t="s">
        <v>777</v>
      </c>
      <c r="F456" s="2210" t="s">
        <v>1385</v>
      </c>
      <c r="G456" s="2210"/>
      <c r="H456" s="2210"/>
      <c r="I456" s="2210"/>
      <c r="J456" s="2210"/>
      <c r="K456" s="2210"/>
      <c r="L456" s="2210"/>
      <c r="M456" s="2210"/>
      <c r="N456" s="2210"/>
      <c r="O456" s="2210"/>
      <c r="P456" s="2211"/>
      <c r="Q456" s="2257">
        <v>4310</v>
      </c>
      <c r="R456" s="2224"/>
      <c r="S456" s="2224"/>
      <c r="T456" s="508" t="s">
        <v>1292</v>
      </c>
      <c r="U456" s="2225" t="s">
        <v>1031</v>
      </c>
      <c r="V456" s="2225"/>
      <c r="W456" s="2225"/>
      <c r="X456" s="508" t="s">
        <v>779</v>
      </c>
      <c r="Y456" s="2224">
        <v>4520</v>
      </c>
      <c r="Z456" s="2224"/>
      <c r="AA456" s="2224"/>
      <c r="AB456" s="511" t="s">
        <v>1037</v>
      </c>
      <c r="AC456" s="2224"/>
      <c r="AD456" s="2224"/>
      <c r="AE456" s="2224"/>
      <c r="AF456" s="507" t="s">
        <v>1037</v>
      </c>
      <c r="AG456" s="2224"/>
      <c r="AH456" s="2224"/>
      <c r="AI456" s="2226"/>
      <c r="AJ456" s="2212">
        <f t="shared" si="132"/>
        <v>8830</v>
      </c>
      <c r="AK456" s="2213"/>
      <c r="AL456" s="2214"/>
      <c r="AM456" s="2215">
        <v>1</v>
      </c>
      <c r="AN456" s="2216"/>
      <c r="AO456" s="2217"/>
      <c r="AP456" s="2209">
        <f t="shared" si="133"/>
        <v>8830</v>
      </c>
      <c r="AQ456" s="2210"/>
      <c r="AR456" s="2211"/>
      <c r="AS456" s="2203">
        <f ca="1">SUMIF(床・天井!Q$6:Q$89,F456,床・天井!I$6:I$89)+SUMIF(見積拾!C$95:D$103,F456,見積拾!T$95:T$103)</f>
        <v>0</v>
      </c>
      <c r="AT456" s="2204"/>
      <c r="AU456" s="2204"/>
      <c r="AV456" s="2205"/>
      <c r="AW456" s="2206">
        <f t="shared" ca="1" si="134"/>
        <v>0</v>
      </c>
      <c r="AX456" s="2207"/>
      <c r="AY456" s="2207"/>
      <c r="AZ456" s="2208"/>
      <c r="BA456" s="2200"/>
      <c r="BB456" s="956" t="b">
        <f t="shared" ca="1" si="135"/>
        <v>0</v>
      </c>
    </row>
    <row r="457" spans="2:54" ht="13.5" customHeight="1">
      <c r="B457" s="2445"/>
      <c r="C457" s="2521"/>
      <c r="D457" s="2500"/>
      <c r="E457" s="958" t="s">
        <v>777</v>
      </c>
      <c r="F457" s="2210" t="s">
        <v>1386</v>
      </c>
      <c r="G457" s="2210"/>
      <c r="H457" s="2210"/>
      <c r="I457" s="2210"/>
      <c r="J457" s="2210"/>
      <c r="K457" s="2210"/>
      <c r="L457" s="2210"/>
      <c r="M457" s="2210"/>
      <c r="N457" s="2210"/>
      <c r="O457" s="2210"/>
      <c r="P457" s="2211"/>
      <c r="Q457" s="2257">
        <v>1559</v>
      </c>
      <c r="R457" s="2224"/>
      <c r="S457" s="2224"/>
      <c r="T457" s="508" t="s">
        <v>1292</v>
      </c>
      <c r="U457" s="2225" t="s">
        <v>1031</v>
      </c>
      <c r="V457" s="2225"/>
      <c r="W457" s="2225"/>
      <c r="X457" s="508" t="s">
        <v>779</v>
      </c>
      <c r="Y457" s="2224">
        <v>4520</v>
      </c>
      <c r="Z457" s="2224"/>
      <c r="AA457" s="2224"/>
      <c r="AB457" s="511" t="s">
        <v>1037</v>
      </c>
      <c r="AC457" s="2224"/>
      <c r="AD457" s="2224"/>
      <c r="AE457" s="2224"/>
      <c r="AF457" s="507" t="s">
        <v>1037</v>
      </c>
      <c r="AG457" s="2224"/>
      <c r="AH457" s="2224"/>
      <c r="AI457" s="2226"/>
      <c r="AJ457" s="2212">
        <f>ROUNDDOWN(SUM(Q457:AI457),-1)</f>
        <v>6070</v>
      </c>
      <c r="AK457" s="2213"/>
      <c r="AL457" s="2214"/>
      <c r="AM457" s="2215">
        <v>1</v>
      </c>
      <c r="AN457" s="2216"/>
      <c r="AO457" s="2217"/>
      <c r="AP457" s="2209">
        <f>INT(AJ457*AM457)</f>
        <v>6070</v>
      </c>
      <c r="AQ457" s="2210"/>
      <c r="AR457" s="2211"/>
      <c r="AS457" s="2203">
        <f ca="1">SUMIF(床・天井!Q$6:Q$89,F457,床・天井!I$6:I$89)+SUMIF(見積拾!C$95:D$103,F457,見積拾!T$95:T$103)</f>
        <v>0</v>
      </c>
      <c r="AT457" s="2204"/>
      <c r="AU457" s="2204"/>
      <c r="AV457" s="2205"/>
      <c r="AW457" s="2206">
        <f ca="1">INT(AP457*AS457)</f>
        <v>0</v>
      </c>
      <c r="AX457" s="2207"/>
      <c r="AY457" s="2207"/>
      <c r="AZ457" s="2208"/>
      <c r="BA457" s="2200"/>
      <c r="BB457" s="956" t="b">
        <f ca="1">AW457&lt;&gt;0</f>
        <v>0</v>
      </c>
    </row>
    <row r="458" spans="2:54" ht="13.5" customHeight="1">
      <c r="B458" s="2445"/>
      <c r="C458" s="2521"/>
      <c r="D458" s="2500"/>
      <c r="E458" s="958" t="s">
        <v>777</v>
      </c>
      <c r="F458" s="2210" t="s">
        <v>1387</v>
      </c>
      <c r="G458" s="2210"/>
      <c r="H458" s="2210"/>
      <c r="I458" s="2210"/>
      <c r="J458" s="2210"/>
      <c r="K458" s="2210"/>
      <c r="L458" s="2210"/>
      <c r="M458" s="2210"/>
      <c r="N458" s="2210"/>
      <c r="O458" s="2210"/>
      <c r="P458" s="2211"/>
      <c r="Q458" s="2257">
        <v>22171</v>
      </c>
      <c r="R458" s="2224"/>
      <c r="S458" s="2224"/>
      <c r="T458" s="508" t="s">
        <v>1292</v>
      </c>
      <c r="U458" s="2224">
        <v>1400</v>
      </c>
      <c r="V458" s="2224"/>
      <c r="W458" s="2224"/>
      <c r="X458" s="508" t="s">
        <v>779</v>
      </c>
      <c r="Y458" s="2224">
        <v>4520</v>
      </c>
      <c r="Z458" s="2224"/>
      <c r="AA458" s="2224"/>
      <c r="AB458" s="511" t="s">
        <v>1037</v>
      </c>
      <c r="AC458" s="2224"/>
      <c r="AD458" s="2224"/>
      <c r="AE458" s="2224"/>
      <c r="AF458" s="507" t="s">
        <v>1037</v>
      </c>
      <c r="AG458" s="2224"/>
      <c r="AH458" s="2224"/>
      <c r="AI458" s="2226"/>
      <c r="AJ458" s="2212">
        <f t="shared" si="132"/>
        <v>28090</v>
      </c>
      <c r="AK458" s="2213"/>
      <c r="AL458" s="2214"/>
      <c r="AM458" s="2215">
        <v>1</v>
      </c>
      <c r="AN458" s="2216"/>
      <c r="AO458" s="2217"/>
      <c r="AP458" s="2209">
        <f t="shared" si="133"/>
        <v>28090</v>
      </c>
      <c r="AQ458" s="2210"/>
      <c r="AR458" s="2211"/>
      <c r="AS458" s="2203">
        <f ca="1">SUMIF(床・天井!Q$6:Q$89,F458,床・天井!I$6:I$89)+SUMIF(見積拾!C$95:D$103,F458,見積拾!T$95:T$103)</f>
        <v>0</v>
      </c>
      <c r="AT458" s="2204"/>
      <c r="AU458" s="2204"/>
      <c r="AV458" s="2205"/>
      <c r="AW458" s="2206">
        <f t="shared" ca="1" si="134"/>
        <v>0</v>
      </c>
      <c r="AX458" s="2207"/>
      <c r="AY458" s="2207"/>
      <c r="AZ458" s="2208"/>
      <c r="BA458" s="2200"/>
      <c r="BB458" s="956" t="b">
        <f t="shared" ca="1" si="135"/>
        <v>0</v>
      </c>
    </row>
    <row r="459" spans="2:54" ht="13.5" customHeight="1">
      <c r="B459" s="2445"/>
      <c r="C459" s="2521"/>
      <c r="D459" s="2500"/>
      <c r="E459" s="958" t="s">
        <v>777</v>
      </c>
      <c r="F459" s="2210" t="s">
        <v>1388</v>
      </c>
      <c r="G459" s="2210"/>
      <c r="H459" s="2210"/>
      <c r="I459" s="2210"/>
      <c r="J459" s="2210"/>
      <c r="K459" s="2210"/>
      <c r="L459" s="2210"/>
      <c r="M459" s="2210"/>
      <c r="N459" s="2210"/>
      <c r="O459" s="2210"/>
      <c r="P459" s="2211"/>
      <c r="Q459" s="2257">
        <v>12607</v>
      </c>
      <c r="R459" s="2224"/>
      <c r="S459" s="2224"/>
      <c r="T459" s="508" t="s">
        <v>1292</v>
      </c>
      <c r="U459" s="2224">
        <v>1400</v>
      </c>
      <c r="V459" s="2224"/>
      <c r="W459" s="2224"/>
      <c r="X459" s="508" t="s">
        <v>779</v>
      </c>
      <c r="Y459" s="2224">
        <v>4520</v>
      </c>
      <c r="Z459" s="2224"/>
      <c r="AA459" s="2224"/>
      <c r="AB459" s="511" t="s">
        <v>1037</v>
      </c>
      <c r="AC459" s="2224"/>
      <c r="AD459" s="2224"/>
      <c r="AE459" s="2224"/>
      <c r="AF459" s="507" t="s">
        <v>1037</v>
      </c>
      <c r="AG459" s="2224"/>
      <c r="AH459" s="2224"/>
      <c r="AI459" s="2226"/>
      <c r="AJ459" s="2212">
        <f t="shared" si="132"/>
        <v>18520</v>
      </c>
      <c r="AK459" s="2213"/>
      <c r="AL459" s="2214"/>
      <c r="AM459" s="2215">
        <v>1</v>
      </c>
      <c r="AN459" s="2216"/>
      <c r="AO459" s="2217"/>
      <c r="AP459" s="2209">
        <f t="shared" si="133"/>
        <v>18520</v>
      </c>
      <c r="AQ459" s="2210"/>
      <c r="AR459" s="2211"/>
      <c r="AS459" s="2203">
        <f ca="1">SUMIF(床・天井!Q$6:Q$89,F459,床・天井!I$6:I$89)+SUMIF(見積拾!C$95:D$103,F459,見積拾!T$95:T$103)</f>
        <v>0</v>
      </c>
      <c r="AT459" s="2204"/>
      <c r="AU459" s="2204"/>
      <c r="AV459" s="2205"/>
      <c r="AW459" s="2206">
        <f t="shared" ca="1" si="134"/>
        <v>0</v>
      </c>
      <c r="AX459" s="2207"/>
      <c r="AY459" s="2207"/>
      <c r="AZ459" s="2208"/>
      <c r="BA459" s="2200"/>
      <c r="BB459" s="956" t="b">
        <f t="shared" ca="1" si="135"/>
        <v>0</v>
      </c>
    </row>
    <row r="460" spans="2:54" ht="13.5" customHeight="1">
      <c r="B460" s="2445"/>
      <c r="C460" s="2521"/>
      <c r="D460" s="2500"/>
      <c r="E460" s="958" t="s">
        <v>777</v>
      </c>
      <c r="F460" s="2210" t="s">
        <v>1389</v>
      </c>
      <c r="G460" s="2210"/>
      <c r="H460" s="2210"/>
      <c r="I460" s="2210"/>
      <c r="J460" s="2210"/>
      <c r="K460" s="2210"/>
      <c r="L460" s="2210"/>
      <c r="M460" s="2210"/>
      <c r="N460" s="2210"/>
      <c r="O460" s="2210"/>
      <c r="P460" s="2211"/>
      <c r="Q460" s="2257">
        <v>1664</v>
      </c>
      <c r="R460" s="2224"/>
      <c r="S460" s="2224"/>
      <c r="T460" s="508" t="s">
        <v>1292</v>
      </c>
      <c r="U460" s="2225" t="s">
        <v>1031</v>
      </c>
      <c r="V460" s="2225"/>
      <c r="W460" s="2225"/>
      <c r="X460" s="508" t="s">
        <v>779</v>
      </c>
      <c r="Y460" s="2225" t="s">
        <v>1032</v>
      </c>
      <c r="Z460" s="2225"/>
      <c r="AA460" s="2225"/>
      <c r="AB460" s="511" t="s">
        <v>1037</v>
      </c>
      <c r="AC460" s="2224"/>
      <c r="AD460" s="2224"/>
      <c r="AE460" s="2224"/>
      <c r="AF460" s="507" t="s">
        <v>1037</v>
      </c>
      <c r="AG460" s="2224"/>
      <c r="AH460" s="2224"/>
      <c r="AI460" s="2226"/>
      <c r="AJ460" s="2212">
        <f t="shared" si="132"/>
        <v>1660</v>
      </c>
      <c r="AK460" s="2213"/>
      <c r="AL460" s="2214"/>
      <c r="AM460" s="2215">
        <v>1</v>
      </c>
      <c r="AN460" s="2216"/>
      <c r="AO460" s="2217"/>
      <c r="AP460" s="2209">
        <f t="shared" si="133"/>
        <v>1660</v>
      </c>
      <c r="AQ460" s="2210"/>
      <c r="AR460" s="2211"/>
      <c r="AS460" s="2203">
        <f ca="1">SUMIF(床・天井!Q$6:Q$89,F460,床・天井!I$6:I$89)+SUMIF(見積拾!C$95:D$103,F460,見積拾!T$95:T$103)</f>
        <v>0</v>
      </c>
      <c r="AT460" s="2204"/>
      <c r="AU460" s="2204"/>
      <c r="AV460" s="2205"/>
      <c r="AW460" s="2206">
        <f t="shared" ca="1" si="134"/>
        <v>0</v>
      </c>
      <c r="AX460" s="2207"/>
      <c r="AY460" s="2207"/>
      <c r="AZ460" s="2208"/>
      <c r="BA460" s="2200"/>
      <c r="BB460" s="956" t="b">
        <f t="shared" ca="1" si="135"/>
        <v>0</v>
      </c>
    </row>
    <row r="461" spans="2:54" ht="13.5" customHeight="1">
      <c r="B461" s="2445"/>
      <c r="C461" s="2521"/>
      <c r="D461" s="2500"/>
      <c r="E461" s="958" t="s">
        <v>777</v>
      </c>
      <c r="F461" s="2210" t="s">
        <v>1390</v>
      </c>
      <c r="G461" s="2210"/>
      <c r="H461" s="2210"/>
      <c r="I461" s="2210"/>
      <c r="J461" s="2210"/>
      <c r="K461" s="2210"/>
      <c r="L461" s="2210"/>
      <c r="M461" s="2210"/>
      <c r="N461" s="2210"/>
      <c r="O461" s="2210"/>
      <c r="P461" s="2211"/>
      <c r="Q461" s="2257">
        <v>12100</v>
      </c>
      <c r="R461" s="2224"/>
      <c r="S461" s="2224"/>
      <c r="T461" s="508" t="s">
        <v>1292</v>
      </c>
      <c r="U461" s="2225" t="s">
        <v>1031</v>
      </c>
      <c r="V461" s="2225"/>
      <c r="W461" s="2225"/>
      <c r="X461" s="508" t="s">
        <v>779</v>
      </c>
      <c r="Y461" s="2224">
        <v>560</v>
      </c>
      <c r="Z461" s="2224"/>
      <c r="AA461" s="2224"/>
      <c r="AB461" s="511" t="s">
        <v>1037</v>
      </c>
      <c r="AC461" s="2224"/>
      <c r="AD461" s="2224"/>
      <c r="AE461" s="2224"/>
      <c r="AF461" s="507" t="s">
        <v>1037</v>
      </c>
      <c r="AG461" s="2224"/>
      <c r="AH461" s="2224"/>
      <c r="AI461" s="2226"/>
      <c r="AJ461" s="2212">
        <f t="shared" si="132"/>
        <v>12660</v>
      </c>
      <c r="AK461" s="2213"/>
      <c r="AL461" s="2214"/>
      <c r="AM461" s="2215">
        <v>1</v>
      </c>
      <c r="AN461" s="2216"/>
      <c r="AO461" s="2217"/>
      <c r="AP461" s="2209">
        <f t="shared" si="133"/>
        <v>12660</v>
      </c>
      <c r="AQ461" s="2210"/>
      <c r="AR461" s="2211"/>
      <c r="AS461" s="2203">
        <f ca="1">SUMIF(床・天井!Q$6:Q$89,F461,床・天井!I$6:I$89)+SUMIF(見積拾!C$95:D$103,F461,見積拾!T$95:T$103)</f>
        <v>0</v>
      </c>
      <c r="AT461" s="2204"/>
      <c r="AU461" s="2204"/>
      <c r="AV461" s="2205"/>
      <c r="AW461" s="2206">
        <f t="shared" ca="1" si="134"/>
        <v>0</v>
      </c>
      <c r="AX461" s="2207"/>
      <c r="AY461" s="2207"/>
      <c r="AZ461" s="2208"/>
      <c r="BA461" s="2200"/>
      <c r="BB461" s="956" t="b">
        <f t="shared" ca="1" si="135"/>
        <v>0</v>
      </c>
    </row>
    <row r="462" spans="2:54" ht="13.5" customHeight="1">
      <c r="B462" s="2445"/>
      <c r="C462" s="2521"/>
      <c r="D462" s="2500"/>
      <c r="E462" s="958" t="s">
        <v>777</v>
      </c>
      <c r="F462" s="2210" t="s">
        <v>1391</v>
      </c>
      <c r="G462" s="2210"/>
      <c r="H462" s="2210"/>
      <c r="I462" s="2210"/>
      <c r="J462" s="2210"/>
      <c r="K462" s="2210"/>
      <c r="L462" s="2210"/>
      <c r="M462" s="2210"/>
      <c r="N462" s="2210"/>
      <c r="O462" s="2210"/>
      <c r="P462" s="2211"/>
      <c r="Q462" s="2257">
        <v>5980</v>
      </c>
      <c r="R462" s="2224"/>
      <c r="S462" s="2224"/>
      <c r="T462" s="508" t="s">
        <v>1292</v>
      </c>
      <c r="U462" s="2225" t="s">
        <v>1031</v>
      </c>
      <c r="V462" s="2225"/>
      <c r="W462" s="2225"/>
      <c r="X462" s="508" t="s">
        <v>779</v>
      </c>
      <c r="Y462" s="2224">
        <v>560</v>
      </c>
      <c r="Z462" s="2224"/>
      <c r="AA462" s="2224"/>
      <c r="AB462" s="511" t="s">
        <v>1037</v>
      </c>
      <c r="AC462" s="2224"/>
      <c r="AD462" s="2224"/>
      <c r="AE462" s="2224"/>
      <c r="AF462" s="507" t="s">
        <v>1037</v>
      </c>
      <c r="AG462" s="2224"/>
      <c r="AH462" s="2224"/>
      <c r="AI462" s="2226"/>
      <c r="AJ462" s="2212">
        <f t="shared" si="132"/>
        <v>6540</v>
      </c>
      <c r="AK462" s="2213"/>
      <c r="AL462" s="2214"/>
      <c r="AM462" s="2215">
        <v>1</v>
      </c>
      <c r="AN462" s="2216"/>
      <c r="AO462" s="2217"/>
      <c r="AP462" s="2209">
        <f t="shared" si="133"/>
        <v>6540</v>
      </c>
      <c r="AQ462" s="2210"/>
      <c r="AR462" s="2211"/>
      <c r="AS462" s="2203">
        <f ca="1">SUMIF(床・天井!Q$6:Q$89,F462,床・天井!I$6:I$89)+SUMIF(見積拾!C$95:D$103,F462,見積拾!T$95:T$103)</f>
        <v>0</v>
      </c>
      <c r="AT462" s="2204"/>
      <c r="AU462" s="2204"/>
      <c r="AV462" s="2205"/>
      <c r="AW462" s="2206">
        <f t="shared" ca="1" si="134"/>
        <v>0</v>
      </c>
      <c r="AX462" s="2207"/>
      <c r="AY462" s="2207"/>
      <c r="AZ462" s="2208"/>
      <c r="BA462" s="2200"/>
      <c r="BB462" s="956" t="b">
        <f t="shared" ca="1" si="135"/>
        <v>0</v>
      </c>
    </row>
    <row r="463" spans="2:54" ht="13.5" customHeight="1">
      <c r="B463" s="2445"/>
      <c r="C463" s="2521"/>
      <c r="D463" s="2500"/>
      <c r="E463" s="958" t="s">
        <v>777</v>
      </c>
      <c r="F463" s="2210" t="s">
        <v>1392</v>
      </c>
      <c r="G463" s="2210"/>
      <c r="H463" s="2210"/>
      <c r="I463" s="2210"/>
      <c r="J463" s="2210"/>
      <c r="K463" s="2210"/>
      <c r="L463" s="2210"/>
      <c r="M463" s="2210"/>
      <c r="N463" s="2210"/>
      <c r="O463" s="2210"/>
      <c r="P463" s="2211"/>
      <c r="Q463" s="2257">
        <v>3020</v>
      </c>
      <c r="R463" s="2224"/>
      <c r="S463" s="2224"/>
      <c r="T463" s="508" t="s">
        <v>1292</v>
      </c>
      <c r="U463" s="2225" t="s">
        <v>1031</v>
      </c>
      <c r="V463" s="2225"/>
      <c r="W463" s="2225"/>
      <c r="X463" s="508" t="s">
        <v>779</v>
      </c>
      <c r="Y463" s="2224">
        <v>560</v>
      </c>
      <c r="Z463" s="2224"/>
      <c r="AA463" s="2224"/>
      <c r="AB463" s="511" t="s">
        <v>1037</v>
      </c>
      <c r="AC463" s="2224"/>
      <c r="AD463" s="2224"/>
      <c r="AE463" s="2224"/>
      <c r="AF463" s="507" t="s">
        <v>1037</v>
      </c>
      <c r="AG463" s="2224"/>
      <c r="AH463" s="2224"/>
      <c r="AI463" s="2226"/>
      <c r="AJ463" s="2212">
        <f t="shared" si="132"/>
        <v>3580</v>
      </c>
      <c r="AK463" s="2213"/>
      <c r="AL463" s="2214"/>
      <c r="AM463" s="2215">
        <v>1</v>
      </c>
      <c r="AN463" s="2216"/>
      <c r="AO463" s="2217"/>
      <c r="AP463" s="2209">
        <f t="shared" si="133"/>
        <v>3580</v>
      </c>
      <c r="AQ463" s="2210"/>
      <c r="AR463" s="2211"/>
      <c r="AS463" s="2203">
        <f ca="1">SUMIF(床・天井!Q$6:Q$89,F463,床・天井!I$6:I$89)+SUMIF(見積拾!C$95:D$103,F463,見積拾!T$95:T$103)</f>
        <v>0</v>
      </c>
      <c r="AT463" s="2204"/>
      <c r="AU463" s="2204"/>
      <c r="AV463" s="2205"/>
      <c r="AW463" s="2206">
        <f t="shared" ca="1" si="134"/>
        <v>0</v>
      </c>
      <c r="AX463" s="2207"/>
      <c r="AY463" s="2207"/>
      <c r="AZ463" s="2208"/>
      <c r="BA463" s="2200"/>
      <c r="BB463" s="956" t="b">
        <f t="shared" ca="1" si="135"/>
        <v>0</v>
      </c>
    </row>
    <row r="464" spans="2:54" ht="13.5" customHeight="1">
      <c r="B464" s="2445"/>
      <c r="C464" s="2521"/>
      <c r="D464" s="2500"/>
      <c r="E464" s="958" t="s">
        <v>777</v>
      </c>
      <c r="F464" s="2210" t="s">
        <v>1393</v>
      </c>
      <c r="G464" s="2210"/>
      <c r="H464" s="2210"/>
      <c r="I464" s="2210"/>
      <c r="J464" s="2210"/>
      <c r="K464" s="2210"/>
      <c r="L464" s="2210"/>
      <c r="M464" s="2210"/>
      <c r="N464" s="2210"/>
      <c r="O464" s="2210"/>
      <c r="P464" s="2211"/>
      <c r="Q464" s="2257">
        <v>1620</v>
      </c>
      <c r="R464" s="2224"/>
      <c r="S464" s="2224"/>
      <c r="T464" s="508" t="s">
        <v>1292</v>
      </c>
      <c r="U464" s="2225" t="s">
        <v>1031</v>
      </c>
      <c r="V464" s="2225"/>
      <c r="W464" s="2225"/>
      <c r="X464" s="508" t="s">
        <v>779</v>
      </c>
      <c r="Y464" s="2224">
        <v>560</v>
      </c>
      <c r="Z464" s="2224"/>
      <c r="AA464" s="2224"/>
      <c r="AB464" s="511" t="s">
        <v>1030</v>
      </c>
      <c r="AC464" s="2224"/>
      <c r="AD464" s="2224"/>
      <c r="AE464" s="2224"/>
      <c r="AF464" s="507" t="s">
        <v>1030</v>
      </c>
      <c r="AG464" s="2224"/>
      <c r="AH464" s="2224"/>
      <c r="AI464" s="2226"/>
      <c r="AJ464" s="2212">
        <f t="shared" ref="AJ464:AJ468" si="140">ROUNDDOWN(SUM(Q464:AI464),-1)</f>
        <v>2180</v>
      </c>
      <c r="AK464" s="2213"/>
      <c r="AL464" s="2214"/>
      <c r="AM464" s="2215">
        <v>1</v>
      </c>
      <c r="AN464" s="2216"/>
      <c r="AO464" s="2217"/>
      <c r="AP464" s="2209">
        <f t="shared" si="133"/>
        <v>2180</v>
      </c>
      <c r="AQ464" s="2210"/>
      <c r="AR464" s="2211"/>
      <c r="AS464" s="2203">
        <f ca="1">SUMIF(床・天井!Q$6:Q$89,F464,床・天井!I$6:I$89)+SUMIF(見積拾!C$95:D$103,F464,見積拾!T$95:T$103)</f>
        <v>0</v>
      </c>
      <c r="AT464" s="2204"/>
      <c r="AU464" s="2204"/>
      <c r="AV464" s="2205"/>
      <c r="AW464" s="2206">
        <f t="shared" ca="1" si="134"/>
        <v>0</v>
      </c>
      <c r="AX464" s="2207"/>
      <c r="AY464" s="2207"/>
      <c r="AZ464" s="2208"/>
      <c r="BA464" s="2200"/>
      <c r="BB464" s="956" t="b">
        <f t="shared" ref="BB464:BB468" ca="1" si="141">AW464&lt;&gt;0</f>
        <v>0</v>
      </c>
    </row>
    <row r="465" spans="2:54" ht="13.5" customHeight="1">
      <c r="B465" s="2445"/>
      <c r="C465" s="2521"/>
      <c r="D465" s="2500"/>
      <c r="E465" s="958" t="s">
        <v>777</v>
      </c>
      <c r="F465" s="2210" t="s">
        <v>5678</v>
      </c>
      <c r="G465" s="2210"/>
      <c r="H465" s="2210"/>
      <c r="I465" s="2210"/>
      <c r="J465" s="2210"/>
      <c r="K465" s="2210"/>
      <c r="L465" s="2210"/>
      <c r="M465" s="2210"/>
      <c r="N465" s="2210"/>
      <c r="O465" s="2210"/>
      <c r="P465" s="2211"/>
      <c r="Q465" s="2257">
        <v>8060</v>
      </c>
      <c r="R465" s="2224"/>
      <c r="S465" s="2224"/>
      <c r="T465" s="508" t="s">
        <v>1292</v>
      </c>
      <c r="U465" s="2225" t="s">
        <v>1032</v>
      </c>
      <c r="V465" s="2225"/>
      <c r="W465" s="2225"/>
      <c r="X465" s="508" t="s">
        <v>779</v>
      </c>
      <c r="Y465" s="2225" t="s">
        <v>1032</v>
      </c>
      <c r="Z465" s="2225"/>
      <c r="AA465" s="2225"/>
      <c r="AB465" s="511" t="s">
        <v>1030</v>
      </c>
      <c r="AC465" s="2224"/>
      <c r="AD465" s="2224"/>
      <c r="AE465" s="2224"/>
      <c r="AF465" s="507" t="s">
        <v>1030</v>
      </c>
      <c r="AG465" s="2224"/>
      <c r="AH465" s="2224"/>
      <c r="AI465" s="2226"/>
      <c r="AJ465" s="2212">
        <f t="shared" si="140"/>
        <v>8060</v>
      </c>
      <c r="AK465" s="2213"/>
      <c r="AL465" s="2214"/>
      <c r="AM465" s="2215">
        <v>1</v>
      </c>
      <c r="AN465" s="2216"/>
      <c r="AO465" s="2217"/>
      <c r="AP465" s="2209">
        <f t="shared" si="133"/>
        <v>8060</v>
      </c>
      <c r="AQ465" s="2210"/>
      <c r="AR465" s="2211"/>
      <c r="AS465" s="2406">
        <f ca="1">IF(F465=床・天井!Q$6,調書!E$10,SUMIF(床・天井!Q$6:Q$89,F465,床・天井!I$6:I$89)+SUMIF(見積拾!C$95:D$103,F465,見積拾!T$95:T$103))</f>
        <v>0</v>
      </c>
      <c r="AT465" s="2407"/>
      <c r="AU465" s="2407"/>
      <c r="AV465" s="2408"/>
      <c r="AW465" s="2206">
        <f t="shared" ca="1" si="134"/>
        <v>0</v>
      </c>
      <c r="AX465" s="2207"/>
      <c r="AY465" s="2207"/>
      <c r="AZ465" s="2208"/>
      <c r="BA465" s="2200"/>
      <c r="BB465" s="956" t="b">
        <f t="shared" ca="1" si="141"/>
        <v>0</v>
      </c>
    </row>
    <row r="466" spans="2:54" ht="13.5" customHeight="1">
      <c r="B466" s="2445"/>
      <c r="C466" s="2521"/>
      <c r="D466" s="2500"/>
      <c r="E466" s="958" t="s">
        <v>777</v>
      </c>
      <c r="F466" s="2411" t="s">
        <v>5681</v>
      </c>
      <c r="G466" s="2411"/>
      <c r="H466" s="2411"/>
      <c r="I466" s="2411"/>
      <c r="J466" s="2411"/>
      <c r="K466" s="2411"/>
      <c r="L466" s="2411"/>
      <c r="M466" s="2411"/>
      <c r="N466" s="2411"/>
      <c r="O466" s="2411"/>
      <c r="P466" s="2412"/>
      <c r="Q466" s="2257">
        <v>9050</v>
      </c>
      <c r="R466" s="2224"/>
      <c r="S466" s="2224"/>
      <c r="T466" s="508" t="s">
        <v>1292</v>
      </c>
      <c r="U466" s="2225" t="s">
        <v>1032</v>
      </c>
      <c r="V466" s="2225"/>
      <c r="W466" s="2225"/>
      <c r="X466" s="508" t="s">
        <v>779</v>
      </c>
      <c r="Y466" s="2225" t="s">
        <v>1032</v>
      </c>
      <c r="Z466" s="2225"/>
      <c r="AA466" s="2225"/>
      <c r="AB466" s="511" t="s">
        <v>1030</v>
      </c>
      <c r="AC466" s="2224"/>
      <c r="AD466" s="2224"/>
      <c r="AE466" s="2224"/>
      <c r="AF466" s="507" t="s">
        <v>1030</v>
      </c>
      <c r="AG466" s="2224"/>
      <c r="AH466" s="2224"/>
      <c r="AI466" s="2226"/>
      <c r="AJ466" s="2212">
        <f t="shared" si="140"/>
        <v>9050</v>
      </c>
      <c r="AK466" s="2213"/>
      <c r="AL466" s="2214"/>
      <c r="AM466" s="2215">
        <v>1</v>
      </c>
      <c r="AN466" s="2216"/>
      <c r="AO466" s="2217"/>
      <c r="AP466" s="2209">
        <f t="shared" si="133"/>
        <v>9050</v>
      </c>
      <c r="AQ466" s="2210"/>
      <c r="AR466" s="2211"/>
      <c r="AS466" s="2406">
        <f ca="1">IF(F466=床・天井!Q$6,調書!E$10,SUMIF(床・天井!Q$6:Q$89,F466,床・天井!I$6:I$89)+SUMIF(見積拾!C$95:D$103,F466,見積拾!T$95:T$103))</f>
        <v>0</v>
      </c>
      <c r="AT466" s="2407"/>
      <c r="AU466" s="2407"/>
      <c r="AV466" s="2408"/>
      <c r="AW466" s="2206">
        <f t="shared" ca="1" si="134"/>
        <v>0</v>
      </c>
      <c r="AX466" s="2207"/>
      <c r="AY466" s="2207"/>
      <c r="AZ466" s="2208"/>
      <c r="BA466" s="2200"/>
      <c r="BB466" s="956" t="b">
        <f t="shared" ca="1" si="141"/>
        <v>0</v>
      </c>
    </row>
    <row r="467" spans="2:54" ht="13.5" customHeight="1">
      <c r="B467" s="2445"/>
      <c r="C467" s="2521"/>
      <c r="D467" s="2500"/>
      <c r="E467" s="958" t="s">
        <v>777</v>
      </c>
      <c r="F467" s="2411" t="s">
        <v>5682</v>
      </c>
      <c r="G467" s="2411"/>
      <c r="H467" s="2411"/>
      <c r="I467" s="2411"/>
      <c r="J467" s="2411"/>
      <c r="K467" s="2411"/>
      <c r="L467" s="2411"/>
      <c r="M467" s="2411"/>
      <c r="N467" s="2411"/>
      <c r="O467" s="2411"/>
      <c r="P467" s="2412"/>
      <c r="Q467" s="2257">
        <f>ROUNDDOWN(9050*0.6,0)</f>
        <v>5430</v>
      </c>
      <c r="R467" s="2224"/>
      <c r="S467" s="2224"/>
      <c r="T467" s="508" t="s">
        <v>1292</v>
      </c>
      <c r="U467" s="2225" t="s">
        <v>1032</v>
      </c>
      <c r="V467" s="2225"/>
      <c r="W467" s="2225"/>
      <c r="X467" s="508" t="s">
        <v>779</v>
      </c>
      <c r="Y467" s="2225" t="s">
        <v>1032</v>
      </c>
      <c r="Z467" s="2225"/>
      <c r="AA467" s="2225"/>
      <c r="AB467" s="511" t="s">
        <v>1030</v>
      </c>
      <c r="AC467" s="2224"/>
      <c r="AD467" s="2224"/>
      <c r="AE467" s="2224"/>
      <c r="AF467" s="507" t="s">
        <v>1030</v>
      </c>
      <c r="AG467" s="2224"/>
      <c r="AH467" s="2224"/>
      <c r="AI467" s="2226"/>
      <c r="AJ467" s="2212">
        <f t="shared" si="140"/>
        <v>5430</v>
      </c>
      <c r="AK467" s="2213"/>
      <c r="AL467" s="2214"/>
      <c r="AM467" s="2215">
        <v>1</v>
      </c>
      <c r="AN467" s="2216"/>
      <c r="AO467" s="2217"/>
      <c r="AP467" s="2209">
        <f t="shared" si="133"/>
        <v>5430</v>
      </c>
      <c r="AQ467" s="2210"/>
      <c r="AR467" s="2211"/>
      <c r="AS467" s="2406">
        <f ca="1">IF(F467=床・天井!Q$6,調書!E$10,SUMIF(床・天井!Q$6:Q$89,F467,床・天井!I$6:I$89)+SUMIF(見積拾!C$95:D$103,F467,見積拾!T$95:T$103))</f>
        <v>0</v>
      </c>
      <c r="AT467" s="2407"/>
      <c r="AU467" s="2407"/>
      <c r="AV467" s="2408"/>
      <c r="AW467" s="2206">
        <f t="shared" ca="1" si="134"/>
        <v>0</v>
      </c>
      <c r="AX467" s="2207"/>
      <c r="AY467" s="2207"/>
      <c r="AZ467" s="2208"/>
      <c r="BA467" s="2200"/>
      <c r="BB467" s="956" t="b">
        <f t="shared" ca="1" si="141"/>
        <v>0</v>
      </c>
    </row>
    <row r="468" spans="2:54" ht="13.5" customHeight="1">
      <c r="B468" s="2445"/>
      <c r="C468" s="2521"/>
      <c r="D468" s="2500"/>
      <c r="E468" s="958" t="s">
        <v>777</v>
      </c>
      <c r="F468" s="2411" t="s">
        <v>5683</v>
      </c>
      <c r="G468" s="2411"/>
      <c r="H468" s="2411"/>
      <c r="I468" s="2411"/>
      <c r="J468" s="2411"/>
      <c r="K468" s="2411"/>
      <c r="L468" s="2411"/>
      <c r="M468" s="2411"/>
      <c r="N468" s="2411"/>
      <c r="O468" s="2411"/>
      <c r="P468" s="2412"/>
      <c r="Q468" s="2257">
        <v>9050</v>
      </c>
      <c r="R468" s="2224"/>
      <c r="S468" s="2224"/>
      <c r="T468" s="508" t="s">
        <v>1292</v>
      </c>
      <c r="U468" s="2225" t="s">
        <v>1032</v>
      </c>
      <c r="V468" s="2225"/>
      <c r="W468" s="2225"/>
      <c r="X468" s="508" t="s">
        <v>779</v>
      </c>
      <c r="Y468" s="2225" t="s">
        <v>1032</v>
      </c>
      <c r="Z468" s="2225"/>
      <c r="AA468" s="2225"/>
      <c r="AB468" s="511" t="s">
        <v>1030</v>
      </c>
      <c r="AC468" s="2224"/>
      <c r="AD468" s="2224"/>
      <c r="AE468" s="2224"/>
      <c r="AF468" s="507" t="s">
        <v>1030</v>
      </c>
      <c r="AG468" s="2224"/>
      <c r="AH468" s="2224"/>
      <c r="AI468" s="2226"/>
      <c r="AJ468" s="2212">
        <f t="shared" si="140"/>
        <v>9050</v>
      </c>
      <c r="AK468" s="2213"/>
      <c r="AL468" s="2214"/>
      <c r="AM468" s="2215">
        <v>1</v>
      </c>
      <c r="AN468" s="2216"/>
      <c r="AO468" s="2217"/>
      <c r="AP468" s="2209">
        <f t="shared" si="133"/>
        <v>9050</v>
      </c>
      <c r="AQ468" s="2210"/>
      <c r="AR468" s="2211"/>
      <c r="AS468" s="2406">
        <f ca="1">IF(F468=床・天井!Q$6,調書!E$10,SUMIF(床・天井!Q$6:Q$89,F468,床・天井!I$6:I$89)+SUMIF(見積拾!C$95:D$103,F468,見積拾!T$95:T$103))</f>
        <v>0</v>
      </c>
      <c r="AT468" s="2407"/>
      <c r="AU468" s="2407"/>
      <c r="AV468" s="2408"/>
      <c r="AW468" s="2206">
        <f t="shared" ca="1" si="134"/>
        <v>0</v>
      </c>
      <c r="AX468" s="2207"/>
      <c r="AY468" s="2207"/>
      <c r="AZ468" s="2208"/>
      <c r="BA468" s="2200"/>
      <c r="BB468" s="956" t="b">
        <f t="shared" ca="1" si="141"/>
        <v>0</v>
      </c>
    </row>
    <row r="469" spans="2:54" ht="13.5" customHeight="1">
      <c r="B469" s="2445"/>
      <c r="C469" s="2521"/>
      <c r="D469" s="2500"/>
      <c r="E469" s="958" t="s">
        <v>777</v>
      </c>
      <c r="F469" s="2411" t="s">
        <v>5684</v>
      </c>
      <c r="G469" s="2411"/>
      <c r="H469" s="2411"/>
      <c r="I469" s="2411"/>
      <c r="J469" s="2411"/>
      <c r="K469" s="2411"/>
      <c r="L469" s="2411"/>
      <c r="M469" s="2411"/>
      <c r="N469" s="2411"/>
      <c r="O469" s="2411"/>
      <c r="P469" s="2412"/>
      <c r="Q469" s="2257">
        <f>ROUNDDOWN(9050*0.6,0)</f>
        <v>5430</v>
      </c>
      <c r="R469" s="2224"/>
      <c r="S469" s="2224"/>
      <c r="T469" s="508" t="s">
        <v>1292</v>
      </c>
      <c r="U469" s="2225" t="s">
        <v>1032</v>
      </c>
      <c r="V469" s="2225"/>
      <c r="W469" s="2225"/>
      <c r="X469" s="508" t="s">
        <v>779</v>
      </c>
      <c r="Y469" s="2225" t="s">
        <v>1032</v>
      </c>
      <c r="Z469" s="2225"/>
      <c r="AA469" s="2225"/>
      <c r="AB469" s="511" t="s">
        <v>1037</v>
      </c>
      <c r="AC469" s="2224"/>
      <c r="AD469" s="2224"/>
      <c r="AE469" s="2224"/>
      <c r="AF469" s="507" t="s">
        <v>1037</v>
      </c>
      <c r="AG469" s="2224"/>
      <c r="AH469" s="2224"/>
      <c r="AI469" s="2226"/>
      <c r="AJ469" s="2212">
        <f t="shared" ref="AJ469:AJ481" si="142">ROUNDDOWN(SUM(Q469:AI469),-1)</f>
        <v>5430</v>
      </c>
      <c r="AK469" s="2213"/>
      <c r="AL469" s="2214"/>
      <c r="AM469" s="2215">
        <v>1</v>
      </c>
      <c r="AN469" s="2216"/>
      <c r="AO469" s="2217"/>
      <c r="AP469" s="2209">
        <f t="shared" ref="AP469:AP481" si="143">INT(AJ469*AM469)</f>
        <v>5430</v>
      </c>
      <c r="AQ469" s="2210"/>
      <c r="AR469" s="2211"/>
      <c r="AS469" s="2406">
        <f ca="1">IF(F469=床・天井!Q$6,調書!E$10,SUMIF(床・天井!Q$6:Q$89,F469,床・天井!I$6:I$89)+SUMIF(見積拾!C$95:D$103,F469,見積拾!T$95:T$103))</f>
        <v>0</v>
      </c>
      <c r="AT469" s="2407"/>
      <c r="AU469" s="2407"/>
      <c r="AV469" s="2408"/>
      <c r="AW469" s="2206">
        <f t="shared" ref="AW469:AW481" ca="1" si="144">INT(AP469*AS469)</f>
        <v>0</v>
      </c>
      <c r="AX469" s="2207"/>
      <c r="AY469" s="2207"/>
      <c r="AZ469" s="2208"/>
      <c r="BA469" s="2200"/>
      <c r="BB469" s="956" t="b">
        <f t="shared" ca="1" si="135"/>
        <v>0</v>
      </c>
    </row>
    <row r="470" spans="2:54" ht="13.5" customHeight="1">
      <c r="B470" s="2445"/>
      <c r="C470" s="2521"/>
      <c r="D470" s="2500"/>
      <c r="E470" s="1702" t="s">
        <v>339</v>
      </c>
      <c r="F470" s="2258" t="s">
        <v>5559</v>
      </c>
      <c r="G470" s="2259"/>
      <c r="H470" s="2259"/>
      <c r="I470" s="2259"/>
      <c r="J470" s="2259"/>
      <c r="K470" s="2259"/>
      <c r="L470" s="2259"/>
      <c r="M470" s="2259"/>
      <c r="N470" s="2259"/>
      <c r="O470" s="2259"/>
      <c r="P470" s="2260"/>
      <c r="Q470" s="2323">
        <v>2480</v>
      </c>
      <c r="R470" s="2318"/>
      <c r="S470" s="2318"/>
      <c r="T470" s="515" t="s">
        <v>40</v>
      </c>
      <c r="U470" s="2258"/>
      <c r="V470" s="2318"/>
      <c r="W470" s="2318"/>
      <c r="X470" s="515" t="s">
        <v>40</v>
      </c>
      <c r="Y470" s="2258">
        <v>1631</v>
      </c>
      <c r="Z470" s="2318"/>
      <c r="AA470" s="2318"/>
      <c r="AB470" s="515" t="s">
        <v>40</v>
      </c>
      <c r="AC470" s="2258">
        <v>1559</v>
      </c>
      <c r="AD470" s="2318"/>
      <c r="AE470" s="2318"/>
      <c r="AF470" s="515" t="s">
        <v>40</v>
      </c>
      <c r="AG470" s="2258"/>
      <c r="AH470" s="2259"/>
      <c r="AI470" s="2260"/>
      <c r="AJ470" s="2212">
        <f t="shared" ref="AJ470:AJ471" si="145">ROUNDDOWN(SUM(Q470:AI470),-1)</f>
        <v>5670</v>
      </c>
      <c r="AK470" s="2213"/>
      <c r="AL470" s="2214"/>
      <c r="AM470" s="2215">
        <v>1</v>
      </c>
      <c r="AN470" s="2216"/>
      <c r="AO470" s="2217"/>
      <c r="AP470" s="2209">
        <f t="shared" ref="AP470:AP471" si="146">INT(AJ470*AM470)</f>
        <v>5670</v>
      </c>
      <c r="AQ470" s="2210"/>
      <c r="AR470" s="2211"/>
      <c r="AS470" s="2203">
        <f ca="1">SUMIF(床・天井!Q$6:Q$89,F470,床・天井!I$6:I$89)+SUMIF(見積拾!C$95:D$103,F470,見積拾!T$95:T$103)</f>
        <v>0</v>
      </c>
      <c r="AT470" s="2204"/>
      <c r="AU470" s="2204"/>
      <c r="AV470" s="2205"/>
      <c r="AW470" s="2206">
        <f t="shared" ref="AW470:AW471" ca="1" si="147">INT(AP470*AS470)</f>
        <v>0</v>
      </c>
      <c r="AX470" s="2207"/>
      <c r="AY470" s="2207"/>
      <c r="AZ470" s="2208"/>
      <c r="BA470" s="2200"/>
      <c r="BB470" s="956" t="b">
        <f t="shared" ref="BB470:BB471" ca="1" si="148">AW470&lt;&gt;0</f>
        <v>0</v>
      </c>
    </row>
    <row r="471" spans="2:54" ht="13.5" customHeight="1">
      <c r="B471" s="2445"/>
      <c r="C471" s="2521"/>
      <c r="D471" s="2500"/>
      <c r="E471" s="1702" t="s">
        <v>339</v>
      </c>
      <c r="F471" s="2258" t="s">
        <v>5560</v>
      </c>
      <c r="G471" s="2259"/>
      <c r="H471" s="2259"/>
      <c r="I471" s="2259"/>
      <c r="J471" s="2259"/>
      <c r="K471" s="2259"/>
      <c r="L471" s="2259"/>
      <c r="M471" s="2259"/>
      <c r="N471" s="2259"/>
      <c r="O471" s="2259"/>
      <c r="P471" s="2260"/>
      <c r="Q471" s="2323">
        <v>1620</v>
      </c>
      <c r="R471" s="2318"/>
      <c r="S471" s="2318"/>
      <c r="T471" s="515" t="s">
        <v>40</v>
      </c>
      <c r="U471" s="2258"/>
      <c r="V471" s="2318"/>
      <c r="W471" s="2318"/>
      <c r="X471" s="515" t="s">
        <v>40</v>
      </c>
      <c r="Y471" s="2258">
        <v>1631</v>
      </c>
      <c r="Z471" s="2318"/>
      <c r="AA471" s="2318"/>
      <c r="AB471" s="515" t="s">
        <v>40</v>
      </c>
      <c r="AC471" s="2258">
        <v>1559</v>
      </c>
      <c r="AD471" s="2318"/>
      <c r="AE471" s="2318"/>
      <c r="AF471" s="515" t="s">
        <v>40</v>
      </c>
      <c r="AG471" s="2258"/>
      <c r="AH471" s="2259"/>
      <c r="AI471" s="2260"/>
      <c r="AJ471" s="2212">
        <f t="shared" si="145"/>
        <v>4810</v>
      </c>
      <c r="AK471" s="2213"/>
      <c r="AL471" s="2214"/>
      <c r="AM471" s="2215">
        <v>1</v>
      </c>
      <c r="AN471" s="2216"/>
      <c r="AO471" s="2217"/>
      <c r="AP471" s="2209">
        <f t="shared" si="146"/>
        <v>4810</v>
      </c>
      <c r="AQ471" s="2210"/>
      <c r="AR471" s="2211"/>
      <c r="AS471" s="2203">
        <f ca="1">SUMIF(床・天井!Q$6:Q$89,F471,床・天井!I$6:I$89)+SUMIF(見積拾!C$95:D$103,F471,見積拾!T$95:T$103)</f>
        <v>0</v>
      </c>
      <c r="AT471" s="2204"/>
      <c r="AU471" s="2204"/>
      <c r="AV471" s="2205"/>
      <c r="AW471" s="2206">
        <f t="shared" ca="1" si="147"/>
        <v>0</v>
      </c>
      <c r="AX471" s="2207"/>
      <c r="AY471" s="2207"/>
      <c r="AZ471" s="2208"/>
      <c r="BA471" s="2200"/>
      <c r="BB471" s="956" t="b">
        <f t="shared" ca="1" si="148"/>
        <v>0</v>
      </c>
    </row>
    <row r="472" spans="2:54" ht="13.5" customHeight="1">
      <c r="B472" s="2445"/>
      <c r="C472" s="2521"/>
      <c r="D472" s="2500"/>
      <c r="E472" s="1702" t="s">
        <v>827</v>
      </c>
      <c r="F472" s="2258" t="s">
        <v>782</v>
      </c>
      <c r="G472" s="2259"/>
      <c r="H472" s="2259"/>
      <c r="I472" s="2259"/>
      <c r="J472" s="2259"/>
      <c r="K472" s="2259"/>
      <c r="L472" s="2259"/>
      <c r="M472" s="2259"/>
      <c r="N472" s="2259"/>
      <c r="O472" s="2259"/>
      <c r="P472" s="2260"/>
      <c r="Q472" s="2323"/>
      <c r="R472" s="2259"/>
      <c r="S472" s="2259"/>
      <c r="T472" s="515" t="s">
        <v>789</v>
      </c>
      <c r="U472" s="2258"/>
      <c r="V472" s="2259"/>
      <c r="W472" s="2259"/>
      <c r="X472" s="515" t="s">
        <v>789</v>
      </c>
      <c r="Y472" s="2258"/>
      <c r="Z472" s="2259"/>
      <c r="AA472" s="2259"/>
      <c r="AB472" s="515" t="s">
        <v>789</v>
      </c>
      <c r="AC472" s="2258"/>
      <c r="AD472" s="2259"/>
      <c r="AE472" s="2259"/>
      <c r="AF472" s="515" t="s">
        <v>789</v>
      </c>
      <c r="AG472" s="2258"/>
      <c r="AH472" s="2259"/>
      <c r="AI472" s="2260"/>
      <c r="AJ472" s="2212">
        <f t="shared" si="142"/>
        <v>0</v>
      </c>
      <c r="AK472" s="2213"/>
      <c r="AL472" s="2214"/>
      <c r="AM472" s="2215">
        <v>1</v>
      </c>
      <c r="AN472" s="2216"/>
      <c r="AO472" s="2217"/>
      <c r="AP472" s="2209">
        <f t="shared" si="143"/>
        <v>0</v>
      </c>
      <c r="AQ472" s="2210"/>
      <c r="AR472" s="2211"/>
      <c r="AS472" s="2203">
        <f ca="1">SUMIF(床・天井!Q$6:Q$89,F472,床・天井!I$6:I$89)+SUMIF(見積拾!C$95:D$103,F472,見積拾!T$95:T$103)</f>
        <v>0</v>
      </c>
      <c r="AT472" s="2204"/>
      <c r="AU472" s="2204"/>
      <c r="AV472" s="2205"/>
      <c r="AW472" s="2206">
        <f t="shared" ca="1" si="144"/>
        <v>0</v>
      </c>
      <c r="AX472" s="2207"/>
      <c r="AY472" s="2207"/>
      <c r="AZ472" s="2208"/>
      <c r="BA472" s="2200"/>
      <c r="BB472" s="956" t="b">
        <f t="shared" ref="BB472:BB481" ca="1" si="149">AW472&lt;&gt;0</f>
        <v>0</v>
      </c>
    </row>
    <row r="473" spans="2:54" ht="13.5" customHeight="1">
      <c r="B473" s="2445"/>
      <c r="C473" s="2521"/>
      <c r="D473" s="2500"/>
      <c r="E473" s="1702" t="s">
        <v>799</v>
      </c>
      <c r="F473" s="2258" t="s">
        <v>782</v>
      </c>
      <c r="G473" s="2259"/>
      <c r="H473" s="2259"/>
      <c r="I473" s="2259"/>
      <c r="J473" s="2259"/>
      <c r="K473" s="2259"/>
      <c r="L473" s="2259"/>
      <c r="M473" s="2259"/>
      <c r="N473" s="2259"/>
      <c r="O473" s="2259"/>
      <c r="P473" s="2260"/>
      <c r="Q473" s="2323"/>
      <c r="R473" s="2259"/>
      <c r="S473" s="2259"/>
      <c r="T473" s="515" t="s">
        <v>789</v>
      </c>
      <c r="U473" s="2258"/>
      <c r="V473" s="2259"/>
      <c r="W473" s="2259"/>
      <c r="X473" s="515" t="s">
        <v>789</v>
      </c>
      <c r="Y473" s="2258"/>
      <c r="Z473" s="2259"/>
      <c r="AA473" s="2259"/>
      <c r="AB473" s="515" t="s">
        <v>789</v>
      </c>
      <c r="AC473" s="2258"/>
      <c r="AD473" s="2259"/>
      <c r="AE473" s="2259"/>
      <c r="AF473" s="515" t="s">
        <v>789</v>
      </c>
      <c r="AG473" s="2258"/>
      <c r="AH473" s="2259"/>
      <c r="AI473" s="2260"/>
      <c r="AJ473" s="2212">
        <f t="shared" si="142"/>
        <v>0</v>
      </c>
      <c r="AK473" s="2213"/>
      <c r="AL473" s="2214"/>
      <c r="AM473" s="2215">
        <v>1</v>
      </c>
      <c r="AN473" s="2216"/>
      <c r="AO473" s="2217"/>
      <c r="AP473" s="2209">
        <f t="shared" si="143"/>
        <v>0</v>
      </c>
      <c r="AQ473" s="2210"/>
      <c r="AR473" s="2211"/>
      <c r="AS473" s="2203">
        <f ca="1">SUMIF(床・天井!Q$6:Q$89,F473,床・天井!I$6:I$89)+SUMIF(見積拾!C$95:D$103,F473,見積拾!T$95:T$103)</f>
        <v>0</v>
      </c>
      <c r="AT473" s="2204"/>
      <c r="AU473" s="2204"/>
      <c r="AV473" s="2205"/>
      <c r="AW473" s="2206">
        <f t="shared" ca="1" si="144"/>
        <v>0</v>
      </c>
      <c r="AX473" s="2207"/>
      <c r="AY473" s="2207"/>
      <c r="AZ473" s="2208"/>
      <c r="BA473" s="2200"/>
      <c r="BB473" s="956" t="b">
        <f t="shared" ca="1" si="149"/>
        <v>0</v>
      </c>
    </row>
    <row r="474" spans="2:54" ht="13.5" customHeight="1">
      <c r="B474" s="2445"/>
      <c r="C474" s="2521"/>
      <c r="D474" s="2500"/>
      <c r="E474" s="1707" t="s">
        <v>799</v>
      </c>
      <c r="F474" s="2316" t="s">
        <v>782</v>
      </c>
      <c r="G474" s="2317"/>
      <c r="H474" s="2317"/>
      <c r="I474" s="2317"/>
      <c r="J474" s="2317"/>
      <c r="K474" s="2317"/>
      <c r="L474" s="2317"/>
      <c r="M474" s="2317"/>
      <c r="N474" s="2317"/>
      <c r="O474" s="2317"/>
      <c r="P474" s="2331"/>
      <c r="Q474" s="2324"/>
      <c r="R474" s="2317"/>
      <c r="S474" s="2317"/>
      <c r="T474" s="517" t="s">
        <v>789</v>
      </c>
      <c r="U474" s="2316"/>
      <c r="V474" s="2317"/>
      <c r="W474" s="2317"/>
      <c r="X474" s="517" t="s">
        <v>789</v>
      </c>
      <c r="Y474" s="2316"/>
      <c r="Z474" s="2317"/>
      <c r="AA474" s="2317"/>
      <c r="AB474" s="517" t="s">
        <v>789</v>
      </c>
      <c r="AC474" s="2316"/>
      <c r="AD474" s="2317"/>
      <c r="AE474" s="2317"/>
      <c r="AF474" s="517" t="s">
        <v>789</v>
      </c>
      <c r="AG474" s="2316"/>
      <c r="AH474" s="2317"/>
      <c r="AI474" s="2331"/>
      <c r="AJ474" s="2229">
        <f t="shared" si="142"/>
        <v>0</v>
      </c>
      <c r="AK474" s="2230"/>
      <c r="AL474" s="2231"/>
      <c r="AM474" s="2262">
        <v>1</v>
      </c>
      <c r="AN474" s="2263"/>
      <c r="AO474" s="2264"/>
      <c r="AP474" s="2229">
        <f t="shared" si="143"/>
        <v>0</v>
      </c>
      <c r="AQ474" s="2230"/>
      <c r="AR474" s="2231"/>
      <c r="AS474" s="2203">
        <f ca="1">SUMIF(床・天井!Q$6:Q$89,F474,床・天井!I$6:I$89)+SUMIF(見積拾!C$95:D$103,F474,見積拾!T$95:T$103)</f>
        <v>0</v>
      </c>
      <c r="AT474" s="2204"/>
      <c r="AU474" s="2204"/>
      <c r="AV474" s="2205"/>
      <c r="AW474" s="2248">
        <f t="shared" ca="1" si="144"/>
        <v>0</v>
      </c>
      <c r="AX474" s="2249"/>
      <c r="AY474" s="2249"/>
      <c r="AZ474" s="2250"/>
      <c r="BA474" s="2200"/>
      <c r="BB474" s="956" t="b">
        <f t="shared" ca="1" si="149"/>
        <v>0</v>
      </c>
    </row>
    <row r="475" spans="2:54" ht="13.5" customHeight="1">
      <c r="B475" s="2445"/>
      <c r="C475" s="2521"/>
      <c r="D475" s="2500"/>
      <c r="E475" s="2429" t="s">
        <v>818</v>
      </c>
      <c r="F475" s="2430"/>
      <c r="G475" s="122" t="s">
        <v>777</v>
      </c>
      <c r="H475" s="2252" t="s">
        <v>819</v>
      </c>
      <c r="I475" s="2252"/>
      <c r="J475" s="2252"/>
      <c r="K475" s="2252"/>
      <c r="L475" s="2252"/>
      <c r="M475" s="2252"/>
      <c r="N475" s="2252"/>
      <c r="O475" s="2252"/>
      <c r="P475" s="2253"/>
      <c r="Q475" s="2326">
        <v>2900</v>
      </c>
      <c r="R475" s="2327"/>
      <c r="S475" s="2327"/>
      <c r="T475" s="123" t="s">
        <v>40</v>
      </c>
      <c r="U475" s="2913" t="s">
        <v>1031</v>
      </c>
      <c r="V475" s="2913"/>
      <c r="W475" s="2913"/>
      <c r="X475" s="123" t="s">
        <v>40</v>
      </c>
      <c r="Y475" s="2914" t="s">
        <v>1032</v>
      </c>
      <c r="Z475" s="2914"/>
      <c r="AA475" s="2914"/>
      <c r="AB475" s="123" t="s">
        <v>40</v>
      </c>
      <c r="AC475" s="2327"/>
      <c r="AD475" s="2327"/>
      <c r="AE475" s="2327"/>
      <c r="AF475" s="123" t="s">
        <v>40</v>
      </c>
      <c r="AG475" s="2327"/>
      <c r="AH475" s="2327"/>
      <c r="AI475" s="2327"/>
      <c r="AJ475" s="2251">
        <f t="shared" si="142"/>
        <v>2900</v>
      </c>
      <c r="AK475" s="2252"/>
      <c r="AL475" s="2253"/>
      <c r="AM475" s="2265">
        <v>1</v>
      </c>
      <c r="AN475" s="2266"/>
      <c r="AO475" s="2267"/>
      <c r="AP475" s="2251">
        <f t="shared" si="143"/>
        <v>2900</v>
      </c>
      <c r="AQ475" s="2252"/>
      <c r="AR475" s="2253"/>
      <c r="AS475" s="2243">
        <f>SUMIF(床・天井!R$6:R$89,H475,床・天井!I$6:I$89)+SUMIF(床・天井!S$6:S$89,H475,床・天井!I$6:I$89)+SUMIF(見積拾!D$104:D$108,H475,見積拾!T$104:T$108)</f>
        <v>0</v>
      </c>
      <c r="AT475" s="2244"/>
      <c r="AU475" s="2244"/>
      <c r="AV475" s="2245"/>
      <c r="AW475" s="2235">
        <f t="shared" si="144"/>
        <v>0</v>
      </c>
      <c r="AX475" s="2236"/>
      <c r="AY475" s="2236"/>
      <c r="AZ475" s="2237"/>
      <c r="BA475" s="2200"/>
      <c r="BB475" s="956" t="b">
        <f t="shared" si="149"/>
        <v>0</v>
      </c>
    </row>
    <row r="476" spans="2:54" ht="13.5" customHeight="1">
      <c r="B476" s="2445"/>
      <c r="C476" s="2521"/>
      <c r="D476" s="2500"/>
      <c r="E476" s="2338"/>
      <c r="F476" s="2337"/>
      <c r="G476" s="124" t="s">
        <v>777</v>
      </c>
      <c r="H476" s="2210" t="s">
        <v>820</v>
      </c>
      <c r="I476" s="2210"/>
      <c r="J476" s="2210"/>
      <c r="K476" s="2210"/>
      <c r="L476" s="2210"/>
      <c r="M476" s="2210"/>
      <c r="N476" s="2210"/>
      <c r="O476" s="2210"/>
      <c r="P476" s="2211"/>
      <c r="Q476" s="2328">
        <v>1360</v>
      </c>
      <c r="R476" s="2261"/>
      <c r="S476" s="2261"/>
      <c r="T476" s="120" t="s">
        <v>40</v>
      </c>
      <c r="U476" s="2322" t="s">
        <v>1031</v>
      </c>
      <c r="V476" s="2322"/>
      <c r="W476" s="2322"/>
      <c r="X476" s="120" t="s">
        <v>40</v>
      </c>
      <c r="Y476" s="2322" t="s">
        <v>1032</v>
      </c>
      <c r="Z476" s="2322"/>
      <c r="AA476" s="2322"/>
      <c r="AB476" s="120" t="s">
        <v>40</v>
      </c>
      <c r="AC476" s="2261"/>
      <c r="AD476" s="2261"/>
      <c r="AE476" s="2261"/>
      <c r="AF476" s="120" t="s">
        <v>40</v>
      </c>
      <c r="AG476" s="2261"/>
      <c r="AH476" s="2261"/>
      <c r="AI476" s="2261"/>
      <c r="AJ476" s="2209">
        <f t="shared" si="142"/>
        <v>1360</v>
      </c>
      <c r="AK476" s="2210"/>
      <c r="AL476" s="2211"/>
      <c r="AM476" s="2232">
        <v>1</v>
      </c>
      <c r="AN476" s="2233"/>
      <c r="AO476" s="2234"/>
      <c r="AP476" s="2209">
        <f t="shared" si="143"/>
        <v>1360</v>
      </c>
      <c r="AQ476" s="2210"/>
      <c r="AR476" s="2211"/>
      <c r="AS476" s="2203">
        <f>SUMIF(床・天井!R$6:R$89,H476,床・天井!I$6:I$89)+SUMIF(床・天井!S$6:S$89,H476,床・天井!I$6:I$89)+SUMIF(見積拾!D$104:D$108,H476,見積拾!T$104:T$108)</f>
        <v>0</v>
      </c>
      <c r="AT476" s="2204"/>
      <c r="AU476" s="2204"/>
      <c r="AV476" s="2205"/>
      <c r="AW476" s="2238">
        <f t="shared" si="144"/>
        <v>0</v>
      </c>
      <c r="AX476" s="2239"/>
      <c r="AY476" s="2239"/>
      <c r="AZ476" s="2240"/>
      <c r="BA476" s="2200"/>
      <c r="BB476" s="956" t="b">
        <f t="shared" si="149"/>
        <v>0</v>
      </c>
    </row>
    <row r="477" spans="2:54" ht="13.5" customHeight="1">
      <c r="B477" s="2445"/>
      <c r="C477" s="2521"/>
      <c r="D477" s="2500"/>
      <c r="E477" s="2338"/>
      <c r="F477" s="2337"/>
      <c r="G477" s="124" t="s">
        <v>777</v>
      </c>
      <c r="H477" s="2210" t="s">
        <v>821</v>
      </c>
      <c r="I477" s="2210"/>
      <c r="J477" s="2210"/>
      <c r="K477" s="2210"/>
      <c r="L477" s="2210"/>
      <c r="M477" s="2210"/>
      <c r="N477" s="2210"/>
      <c r="O477" s="2210"/>
      <c r="P477" s="2211"/>
      <c r="Q477" s="2328">
        <v>930</v>
      </c>
      <c r="R477" s="2261"/>
      <c r="S477" s="2261"/>
      <c r="T477" s="120" t="s">
        <v>40</v>
      </c>
      <c r="U477" s="2322" t="s">
        <v>1031</v>
      </c>
      <c r="V477" s="2322"/>
      <c r="W477" s="2322"/>
      <c r="X477" s="120" t="s">
        <v>40</v>
      </c>
      <c r="Y477" s="2322" t="s">
        <v>1032</v>
      </c>
      <c r="Z477" s="2322"/>
      <c r="AA477" s="2322"/>
      <c r="AB477" s="120" t="s">
        <v>40</v>
      </c>
      <c r="AC477" s="2261"/>
      <c r="AD477" s="2261"/>
      <c r="AE477" s="2261"/>
      <c r="AF477" s="120" t="s">
        <v>40</v>
      </c>
      <c r="AG477" s="2261"/>
      <c r="AH477" s="2261"/>
      <c r="AI477" s="2261"/>
      <c r="AJ477" s="2209">
        <f t="shared" si="142"/>
        <v>930</v>
      </c>
      <c r="AK477" s="2210"/>
      <c r="AL477" s="2211"/>
      <c r="AM477" s="2232">
        <v>1</v>
      </c>
      <c r="AN477" s="2233"/>
      <c r="AO477" s="2234"/>
      <c r="AP477" s="2209">
        <f t="shared" si="143"/>
        <v>930</v>
      </c>
      <c r="AQ477" s="2210"/>
      <c r="AR477" s="2211"/>
      <c r="AS477" s="2203">
        <f>SUMIF(床・天井!R$6:R$89,H477,床・天井!I$6:I$89)+SUMIF(床・天井!S$6:S$89,H477,床・天井!I$6:I$89)+SUMIF(見積拾!D$104:D$108,H477,見積拾!T$104:T$108)</f>
        <v>0</v>
      </c>
      <c r="AT477" s="2204"/>
      <c r="AU477" s="2204"/>
      <c r="AV477" s="2205"/>
      <c r="AW477" s="2238">
        <f t="shared" si="144"/>
        <v>0</v>
      </c>
      <c r="AX477" s="2239"/>
      <c r="AY477" s="2239"/>
      <c r="AZ477" s="2240"/>
      <c r="BA477" s="2200"/>
      <c r="BB477" s="956" t="b">
        <f t="shared" si="149"/>
        <v>0</v>
      </c>
    </row>
    <row r="478" spans="2:54" ht="13.5" customHeight="1">
      <c r="B478" s="2445"/>
      <c r="C478" s="2521"/>
      <c r="D478" s="2500"/>
      <c r="E478" s="2338"/>
      <c r="F478" s="2431"/>
      <c r="G478" s="124" t="s">
        <v>777</v>
      </c>
      <c r="H478" s="2210" t="s">
        <v>5605</v>
      </c>
      <c r="I478" s="2210"/>
      <c r="J478" s="2210"/>
      <c r="K478" s="2210"/>
      <c r="L478" s="2210"/>
      <c r="M478" s="2210"/>
      <c r="N478" s="2210"/>
      <c r="O478" s="2210"/>
      <c r="P478" s="2211"/>
      <c r="Q478" s="2328">
        <v>1890</v>
      </c>
      <c r="R478" s="2261"/>
      <c r="S478" s="2261"/>
      <c r="T478" s="120" t="s">
        <v>40</v>
      </c>
      <c r="U478" s="2322" t="s">
        <v>1031</v>
      </c>
      <c r="V478" s="2322"/>
      <c r="W478" s="2322"/>
      <c r="X478" s="120" t="s">
        <v>40</v>
      </c>
      <c r="Y478" s="2322" t="s">
        <v>1032</v>
      </c>
      <c r="Z478" s="2322"/>
      <c r="AA478" s="2322"/>
      <c r="AB478" s="120" t="s">
        <v>40</v>
      </c>
      <c r="AC478" s="2261"/>
      <c r="AD478" s="2261"/>
      <c r="AE478" s="2261"/>
      <c r="AF478" s="120" t="s">
        <v>40</v>
      </c>
      <c r="AG478" s="2261"/>
      <c r="AH478" s="2261"/>
      <c r="AI478" s="2261"/>
      <c r="AJ478" s="2209">
        <f t="shared" si="142"/>
        <v>1890</v>
      </c>
      <c r="AK478" s="2210"/>
      <c r="AL478" s="2211"/>
      <c r="AM478" s="2232">
        <v>1</v>
      </c>
      <c r="AN478" s="2233"/>
      <c r="AO478" s="2234"/>
      <c r="AP478" s="2209">
        <f t="shared" si="143"/>
        <v>1890</v>
      </c>
      <c r="AQ478" s="2210"/>
      <c r="AR478" s="2211"/>
      <c r="AS478" s="2203">
        <f>SUMIF(床・天井!R$6:R$89,H478,床・天井!I$6:I$89)+SUMIF(床・天井!S$6:S$89,H478,床・天井!I$6:I$89)+SUMIF(見積拾!D$104:D$108,H478,見積拾!T$104:T$108)</f>
        <v>0</v>
      </c>
      <c r="AT478" s="2204"/>
      <c r="AU478" s="2204"/>
      <c r="AV478" s="2205"/>
      <c r="AW478" s="2238">
        <f t="shared" si="144"/>
        <v>0</v>
      </c>
      <c r="AX478" s="2239"/>
      <c r="AY478" s="2239"/>
      <c r="AZ478" s="2240"/>
      <c r="BA478" s="2200"/>
      <c r="BB478" s="956" t="b">
        <f t="shared" si="149"/>
        <v>0</v>
      </c>
    </row>
    <row r="479" spans="2:54" ht="13.5" customHeight="1">
      <c r="B479" s="2445"/>
      <c r="C479" s="2521"/>
      <c r="D479" s="2500"/>
      <c r="E479" s="2338"/>
      <c r="F479" s="2431"/>
      <c r="G479" s="124" t="s">
        <v>777</v>
      </c>
      <c r="H479" s="2210" t="s">
        <v>5606</v>
      </c>
      <c r="I479" s="2210"/>
      <c r="J479" s="2210"/>
      <c r="K479" s="2210"/>
      <c r="L479" s="2210"/>
      <c r="M479" s="2210"/>
      <c r="N479" s="2210"/>
      <c r="O479" s="2210"/>
      <c r="P479" s="2211"/>
      <c r="Q479" s="2328">
        <v>910</v>
      </c>
      <c r="R479" s="2261"/>
      <c r="S479" s="2261"/>
      <c r="T479" s="120" t="s">
        <v>40</v>
      </c>
      <c r="U479" s="2322" t="s">
        <v>1031</v>
      </c>
      <c r="V479" s="2322"/>
      <c r="W479" s="2322"/>
      <c r="X479" s="120" t="s">
        <v>40</v>
      </c>
      <c r="Y479" s="2322" t="s">
        <v>1032</v>
      </c>
      <c r="Z479" s="2322"/>
      <c r="AA479" s="2322"/>
      <c r="AB479" s="120" t="s">
        <v>40</v>
      </c>
      <c r="AC479" s="2261"/>
      <c r="AD479" s="2261"/>
      <c r="AE479" s="2261"/>
      <c r="AF479" s="120" t="s">
        <v>40</v>
      </c>
      <c r="AG479" s="2261"/>
      <c r="AH479" s="2261"/>
      <c r="AI479" s="2261"/>
      <c r="AJ479" s="2209">
        <f t="shared" si="142"/>
        <v>910</v>
      </c>
      <c r="AK479" s="2210"/>
      <c r="AL479" s="2211"/>
      <c r="AM479" s="2232">
        <v>1</v>
      </c>
      <c r="AN479" s="2233"/>
      <c r="AO479" s="2234"/>
      <c r="AP479" s="2209">
        <f t="shared" si="143"/>
        <v>910</v>
      </c>
      <c r="AQ479" s="2210"/>
      <c r="AR479" s="2211"/>
      <c r="AS479" s="2203">
        <f>SUMIF(床・天井!R$6:R$89,H479,床・天井!I$6:I$89)+SUMIF(床・天井!S$6:S$89,H479,床・天井!I$6:I$89)+SUMIF(見積拾!D$104:D$108,H479,見積拾!T$104:T$108)</f>
        <v>0</v>
      </c>
      <c r="AT479" s="2204"/>
      <c r="AU479" s="2204"/>
      <c r="AV479" s="2205"/>
      <c r="AW479" s="2238">
        <f t="shared" si="144"/>
        <v>0</v>
      </c>
      <c r="AX479" s="2239"/>
      <c r="AY479" s="2239"/>
      <c r="AZ479" s="2240"/>
      <c r="BA479" s="2200"/>
      <c r="BB479" s="956" t="b">
        <f t="shared" si="149"/>
        <v>0</v>
      </c>
    </row>
    <row r="480" spans="2:54" ht="13.5" customHeight="1">
      <c r="B480" s="2445"/>
      <c r="C480" s="2521"/>
      <c r="D480" s="2500"/>
      <c r="E480" s="2338"/>
      <c r="F480" s="2431"/>
      <c r="G480" s="124" t="s">
        <v>777</v>
      </c>
      <c r="H480" s="2210" t="s">
        <v>1503</v>
      </c>
      <c r="I480" s="2210"/>
      <c r="J480" s="2210"/>
      <c r="K480" s="2210"/>
      <c r="L480" s="2210"/>
      <c r="M480" s="2210"/>
      <c r="N480" s="2210"/>
      <c r="O480" s="2210"/>
      <c r="P480" s="2211"/>
      <c r="Q480" s="2328">
        <v>837</v>
      </c>
      <c r="R480" s="2261"/>
      <c r="S480" s="2261"/>
      <c r="T480" s="120" t="s">
        <v>40</v>
      </c>
      <c r="U480" s="2322" t="s">
        <v>1031</v>
      </c>
      <c r="V480" s="2322"/>
      <c r="W480" s="2322"/>
      <c r="X480" s="120" t="s">
        <v>40</v>
      </c>
      <c r="Y480" s="2322" t="s">
        <v>1032</v>
      </c>
      <c r="Z480" s="2322"/>
      <c r="AA480" s="2322"/>
      <c r="AB480" s="120" t="s">
        <v>40</v>
      </c>
      <c r="AC480" s="2261"/>
      <c r="AD480" s="2261"/>
      <c r="AE480" s="2261"/>
      <c r="AF480" s="120" t="s">
        <v>40</v>
      </c>
      <c r="AG480" s="2261"/>
      <c r="AH480" s="2261"/>
      <c r="AI480" s="2261"/>
      <c r="AJ480" s="2209">
        <f t="shared" si="142"/>
        <v>830</v>
      </c>
      <c r="AK480" s="2210"/>
      <c r="AL480" s="2211"/>
      <c r="AM480" s="2232">
        <v>1</v>
      </c>
      <c r="AN480" s="2233"/>
      <c r="AO480" s="2234"/>
      <c r="AP480" s="2209">
        <f t="shared" si="143"/>
        <v>830</v>
      </c>
      <c r="AQ480" s="2210"/>
      <c r="AR480" s="2211"/>
      <c r="AS480" s="2203">
        <f>SUMIF(床・天井!R$6:R$89,H480,床・天井!I$6:I$89)+SUMIF(床・天井!S$6:S$89,H480,床・天井!I$6:I$89)+SUMIF(見積拾!D$104:D$108,H480,見積拾!T$104:T$108)</f>
        <v>0</v>
      </c>
      <c r="AT480" s="2204"/>
      <c r="AU480" s="2204"/>
      <c r="AV480" s="2205"/>
      <c r="AW480" s="2238">
        <f t="shared" si="144"/>
        <v>0</v>
      </c>
      <c r="AX480" s="2239"/>
      <c r="AY480" s="2239"/>
      <c r="AZ480" s="2240"/>
      <c r="BA480" s="2200"/>
      <c r="BB480" s="956" t="b">
        <f t="shared" si="149"/>
        <v>0</v>
      </c>
    </row>
    <row r="481" spans="2:54" ht="13.5" customHeight="1" thickBot="1">
      <c r="B481" s="2445"/>
      <c r="C481" s="2521"/>
      <c r="D481" s="2500"/>
      <c r="E481" s="2338"/>
      <c r="F481" s="2337"/>
      <c r="G481" s="125" t="s">
        <v>41</v>
      </c>
      <c r="H481" s="2230" t="s">
        <v>822</v>
      </c>
      <c r="I481" s="2230"/>
      <c r="J481" s="2230"/>
      <c r="K481" s="2230"/>
      <c r="L481" s="2230"/>
      <c r="M481" s="2230"/>
      <c r="N481" s="2230"/>
      <c r="O481" s="2230"/>
      <c r="P481" s="2231"/>
      <c r="Q481" s="2432"/>
      <c r="R481" s="2325"/>
      <c r="S481" s="2325"/>
      <c r="T481" s="121"/>
      <c r="U481" s="2325"/>
      <c r="V481" s="2325"/>
      <c r="W481" s="2325"/>
      <c r="X481" s="121"/>
      <c r="Y481" s="2325"/>
      <c r="Z481" s="2325"/>
      <c r="AA481" s="2325"/>
      <c r="AB481" s="121"/>
      <c r="AC481" s="2325"/>
      <c r="AD481" s="2325"/>
      <c r="AE481" s="2325"/>
      <c r="AF481" s="121"/>
      <c r="AG481" s="2325"/>
      <c r="AH481" s="2325"/>
      <c r="AI481" s="2325"/>
      <c r="AJ481" s="2229">
        <f t="shared" si="142"/>
        <v>0</v>
      </c>
      <c r="AK481" s="2230"/>
      <c r="AL481" s="2231"/>
      <c r="AM481" s="2262">
        <v>1</v>
      </c>
      <c r="AN481" s="2263"/>
      <c r="AO481" s="2264"/>
      <c r="AP481" s="2229">
        <f t="shared" si="143"/>
        <v>0</v>
      </c>
      <c r="AQ481" s="2230"/>
      <c r="AR481" s="2231"/>
      <c r="AS481" s="2268"/>
      <c r="AT481" s="2269"/>
      <c r="AU481" s="2269"/>
      <c r="AV481" s="2270"/>
      <c r="AW481" s="2248">
        <f t="shared" si="144"/>
        <v>0</v>
      </c>
      <c r="AX481" s="2249"/>
      <c r="AY481" s="2249"/>
      <c r="AZ481" s="2250"/>
      <c r="BA481" s="2200"/>
      <c r="BB481" s="956" t="b">
        <f t="shared" si="149"/>
        <v>0</v>
      </c>
    </row>
    <row r="482" spans="2:54" ht="13.5" customHeight="1" thickBot="1">
      <c r="B482" s="2581"/>
      <c r="C482" s="2582"/>
      <c r="D482" s="2502"/>
      <c r="E482" s="1660"/>
      <c r="F482" s="1658"/>
      <c r="G482" s="1658"/>
      <c r="H482" s="1658"/>
      <c r="I482" s="1658"/>
      <c r="J482" s="1658"/>
      <c r="K482" s="1658"/>
      <c r="L482" s="1658"/>
      <c r="M482" s="1658"/>
      <c r="N482" s="1658"/>
      <c r="O482" s="1658"/>
      <c r="P482" s="1658"/>
      <c r="Q482" s="1660"/>
      <c r="R482" s="1658"/>
      <c r="S482" s="1658"/>
      <c r="T482" s="1658"/>
      <c r="U482" s="1658"/>
      <c r="V482" s="1658"/>
      <c r="W482" s="1658"/>
      <c r="X482" s="1658"/>
      <c r="Y482" s="1658"/>
      <c r="Z482" s="1658"/>
      <c r="AA482" s="1658"/>
      <c r="AB482" s="1658"/>
      <c r="AC482" s="1658"/>
      <c r="AD482" s="1658"/>
      <c r="AE482" s="1658"/>
      <c r="AF482" s="1658"/>
      <c r="AG482" s="1658"/>
      <c r="AH482" s="1658"/>
      <c r="AI482" s="1661"/>
      <c r="AJ482" s="2221" t="str">
        <f ca="1">IF(SUM(AS465:AV469)&gt;0,"面積合計及び部分別評点数",IF(AS482=床・天井!Q91+見積拾!T109,"面積合計及び部分別評点数","補助票と面積が違います！"))</f>
        <v>面積合計及び部分別評点数</v>
      </c>
      <c r="AK482" s="2222"/>
      <c r="AL482" s="2222"/>
      <c r="AM482" s="2222"/>
      <c r="AN482" s="2222"/>
      <c r="AO482" s="2222"/>
      <c r="AP482" s="2222"/>
      <c r="AQ482" s="2222"/>
      <c r="AR482" s="2223"/>
      <c r="AS482" s="2254">
        <f ca="1">SUM(AS428:AV474)</f>
        <v>0</v>
      </c>
      <c r="AT482" s="2255"/>
      <c r="AU482" s="2255"/>
      <c r="AV482" s="2256"/>
      <c r="AW482" s="2246">
        <f ca="1">SUM(AW427:AZ481)</f>
        <v>0</v>
      </c>
      <c r="AX482" s="2246"/>
      <c r="AY482" s="2246"/>
      <c r="AZ482" s="2247"/>
      <c r="BA482" s="2200"/>
      <c r="BB482" s="956" t="b">
        <v>1</v>
      </c>
    </row>
    <row r="483" spans="2:54" ht="13.5" customHeight="1">
      <c r="BA483" s="2200"/>
      <c r="BB483" s="956" t="b">
        <v>0</v>
      </c>
    </row>
    <row r="484" spans="2:54" ht="13.5" customHeight="1">
      <c r="BA484" s="2200"/>
      <c r="BB484" s="956" t="b">
        <v>0</v>
      </c>
    </row>
    <row r="485" spans="2:54" ht="13.5" customHeight="1">
      <c r="B485" s="1523"/>
      <c r="C485" s="2089" t="s">
        <v>828</v>
      </c>
      <c r="D485" s="2090"/>
      <c r="E485" s="2090"/>
      <c r="F485" s="2090"/>
      <c r="G485" s="2090"/>
      <c r="H485" s="2090"/>
      <c r="I485" s="2090"/>
      <c r="J485" s="2090"/>
      <c r="BA485" s="2200"/>
      <c r="BB485" s="956" t="b">
        <v>0</v>
      </c>
    </row>
    <row r="486" spans="2:54" ht="13.5" customHeight="1">
      <c r="BA486" s="2200"/>
      <c r="BB486" s="956" t="b">
        <v>0</v>
      </c>
    </row>
    <row r="487" spans="2:54" ht="13.5" customHeight="1">
      <c r="B487" s="1578"/>
      <c r="C487" s="1579"/>
      <c r="D487" s="1580"/>
      <c r="E487" s="1654" t="s">
        <v>663</v>
      </c>
      <c r="F487" s="1591"/>
      <c r="G487" s="1591"/>
      <c r="H487" s="1591"/>
      <c r="I487" s="1591"/>
      <c r="J487" s="1591"/>
      <c r="K487" s="1591"/>
      <c r="L487" s="1591"/>
      <c r="M487" s="1591"/>
      <c r="N487" s="1591"/>
      <c r="O487" s="1591"/>
      <c r="P487" s="1592"/>
      <c r="Q487" s="1591" t="s">
        <v>769</v>
      </c>
      <c r="R487" s="1591"/>
      <c r="S487" s="1591"/>
      <c r="T487" s="1658"/>
      <c r="U487" s="1591" t="s">
        <v>770</v>
      </c>
      <c r="V487" s="1591"/>
      <c r="W487" s="1591"/>
      <c r="X487" s="1658"/>
      <c r="Y487" s="1591" t="s">
        <v>771</v>
      </c>
      <c r="Z487" s="1591"/>
      <c r="AA487" s="1591"/>
      <c r="AB487" s="1658"/>
      <c r="AC487" s="1591" t="s">
        <v>772</v>
      </c>
      <c r="AD487" s="1591"/>
      <c r="AE487" s="1591"/>
      <c r="AF487" s="1591" t="s">
        <v>772</v>
      </c>
      <c r="AG487" s="1591"/>
      <c r="AH487" s="1592"/>
      <c r="AI487" s="1592"/>
      <c r="AJ487" s="1654" t="s">
        <v>773</v>
      </c>
      <c r="AK487" s="1591"/>
      <c r="AL487" s="1592"/>
      <c r="AM487" s="1654" t="s">
        <v>669</v>
      </c>
      <c r="AN487" s="1591"/>
      <c r="AO487" s="1592"/>
      <c r="AP487" s="1654" t="s">
        <v>774</v>
      </c>
      <c r="AQ487" s="1591"/>
      <c r="AR487" s="1592"/>
      <c r="AS487" s="1655" t="s">
        <v>775</v>
      </c>
      <c r="AT487" s="1654"/>
      <c r="AU487" s="1654"/>
      <c r="AV487" s="1654"/>
      <c r="AW487" s="2241" t="s">
        <v>666</v>
      </c>
      <c r="AX487" s="2242"/>
      <c r="AY487" s="2242"/>
      <c r="AZ487" s="2242"/>
      <c r="BA487" s="2200"/>
      <c r="BB487" s="956" t="b">
        <v>0</v>
      </c>
    </row>
    <row r="488" spans="2:54" ht="13.5" customHeight="1">
      <c r="B488" s="2578" t="s">
        <v>829</v>
      </c>
      <c r="C488" s="2579"/>
      <c r="D488" s="2580"/>
      <c r="E488" s="962" t="s">
        <v>777</v>
      </c>
      <c r="F488" s="2909" t="s">
        <v>795</v>
      </c>
      <c r="G488" s="2909"/>
      <c r="H488" s="2909"/>
      <c r="I488" s="2909"/>
      <c r="J488" s="2909"/>
      <c r="K488" s="2909"/>
      <c r="L488" s="2909"/>
      <c r="M488" s="2909"/>
      <c r="N488" s="2909"/>
      <c r="O488" s="2909"/>
      <c r="P488" s="2910"/>
      <c r="Q488" s="2911"/>
      <c r="R488" s="2912"/>
      <c r="S488" s="2912"/>
      <c r="T488" s="520"/>
      <c r="U488" s="2912"/>
      <c r="V488" s="2912"/>
      <c r="W488" s="2912"/>
      <c r="X488" s="520"/>
      <c r="Y488" s="2912"/>
      <c r="Z488" s="2912"/>
      <c r="AA488" s="2912"/>
      <c r="AB488" s="520"/>
      <c r="AC488" s="2912"/>
      <c r="AD488" s="2912"/>
      <c r="AE488" s="2912"/>
      <c r="AF488" s="520"/>
      <c r="AG488" s="2912"/>
      <c r="AH488" s="2912"/>
      <c r="AI488" s="2915"/>
      <c r="AJ488" s="2212">
        <f t="shared" ref="AJ488:AJ518" si="150">ROUNDDOWN(SUM(Q488:AI488),-1)</f>
        <v>0</v>
      </c>
      <c r="AK488" s="2213"/>
      <c r="AL488" s="2214"/>
      <c r="AM488" s="2215">
        <v>1</v>
      </c>
      <c r="AN488" s="2216"/>
      <c r="AO488" s="2217"/>
      <c r="AP488" s="2212">
        <f t="shared" ref="AP488:AP518" si="151">INT(AJ488*AM488)</f>
        <v>0</v>
      </c>
      <c r="AQ488" s="2213"/>
      <c r="AR488" s="2214"/>
      <c r="AS488" s="2218"/>
      <c r="AT488" s="2219"/>
      <c r="AU488" s="2219"/>
      <c r="AV488" s="2220"/>
      <c r="AW488" s="2206">
        <f t="shared" ref="AW488:AW518" si="152">INT(AP488*AS488)</f>
        <v>0</v>
      </c>
      <c r="AX488" s="2207"/>
      <c r="AY488" s="2207"/>
      <c r="AZ488" s="2208"/>
      <c r="BA488" s="2200"/>
      <c r="BB488" s="956" t="b">
        <f ca="1">AW542=0</f>
        <v>1</v>
      </c>
    </row>
    <row r="489" spans="2:54" ht="13.5" customHeight="1">
      <c r="B489" s="2445"/>
      <c r="C489" s="2521"/>
      <c r="D489" s="2500"/>
      <c r="E489" s="519" t="s">
        <v>777</v>
      </c>
      <c r="F489" s="2210" t="s">
        <v>1394</v>
      </c>
      <c r="G489" s="2210"/>
      <c r="H489" s="2210"/>
      <c r="I489" s="2210"/>
      <c r="J489" s="2210"/>
      <c r="K489" s="2210"/>
      <c r="L489" s="2210"/>
      <c r="M489" s="2210"/>
      <c r="N489" s="2210"/>
      <c r="O489" s="2210"/>
      <c r="P489" s="2211"/>
      <c r="Q489" s="2257">
        <v>10202</v>
      </c>
      <c r="R489" s="2224"/>
      <c r="S489" s="2224"/>
      <c r="T489" s="508" t="s">
        <v>1292</v>
      </c>
      <c r="U489" s="2225" t="s">
        <v>1031</v>
      </c>
      <c r="V489" s="2225"/>
      <c r="W489" s="2225"/>
      <c r="X489" s="508" t="s">
        <v>779</v>
      </c>
      <c r="Y489" s="2224">
        <v>1376</v>
      </c>
      <c r="Z489" s="2224"/>
      <c r="AA489" s="2224"/>
      <c r="AB489" s="511" t="s">
        <v>1037</v>
      </c>
      <c r="AC489" s="2224"/>
      <c r="AD489" s="2224"/>
      <c r="AE489" s="2224"/>
      <c r="AF489" s="507" t="s">
        <v>1037</v>
      </c>
      <c r="AG489" s="2224"/>
      <c r="AH489" s="2224"/>
      <c r="AI489" s="2226"/>
      <c r="AJ489" s="2212">
        <f t="shared" si="150"/>
        <v>11570</v>
      </c>
      <c r="AK489" s="2213"/>
      <c r="AL489" s="2214"/>
      <c r="AM489" s="2215">
        <v>1</v>
      </c>
      <c r="AN489" s="2216"/>
      <c r="AO489" s="2217"/>
      <c r="AP489" s="2209">
        <f t="shared" si="151"/>
        <v>11570</v>
      </c>
      <c r="AQ489" s="2210"/>
      <c r="AR489" s="2211"/>
      <c r="AS489" s="2203">
        <f ca="1">SUMIF(床・天井!T$6:T$89,F489,床・天井!I$6:I$89)+SUMIF(見積拾!C$112:D$116,F489,見積拾!T$112:T$116)</f>
        <v>0</v>
      </c>
      <c r="AT489" s="2204"/>
      <c r="AU489" s="2204"/>
      <c r="AV489" s="2205"/>
      <c r="AW489" s="2206">
        <f t="shared" ca="1" si="152"/>
        <v>0</v>
      </c>
      <c r="AX489" s="2207"/>
      <c r="AY489" s="2207"/>
      <c r="AZ489" s="2208"/>
      <c r="BA489" s="2200"/>
      <c r="BB489" s="956" t="b">
        <f t="shared" ref="BB489:BB519" ca="1" si="153">AW489&lt;&gt;0</f>
        <v>0</v>
      </c>
    </row>
    <row r="490" spans="2:54" ht="13.5" customHeight="1">
      <c r="B490" s="2445"/>
      <c r="C490" s="2521"/>
      <c r="D490" s="2500"/>
      <c r="E490" s="519" t="s">
        <v>777</v>
      </c>
      <c r="F490" s="2210" t="s">
        <v>1395</v>
      </c>
      <c r="G490" s="2210"/>
      <c r="H490" s="2210"/>
      <c r="I490" s="2210"/>
      <c r="J490" s="2210"/>
      <c r="K490" s="2210"/>
      <c r="L490" s="2210"/>
      <c r="M490" s="2210"/>
      <c r="N490" s="2210"/>
      <c r="O490" s="2210"/>
      <c r="P490" s="2211"/>
      <c r="Q490" s="2257">
        <v>5205</v>
      </c>
      <c r="R490" s="2224"/>
      <c r="S490" s="2224"/>
      <c r="T490" s="508" t="s">
        <v>1292</v>
      </c>
      <c r="U490" s="2225" t="s">
        <v>1031</v>
      </c>
      <c r="V490" s="2225"/>
      <c r="W490" s="2225"/>
      <c r="X490" s="508" t="s">
        <v>779</v>
      </c>
      <c r="Y490" s="2224">
        <v>1376</v>
      </c>
      <c r="Z490" s="2224"/>
      <c r="AA490" s="2224"/>
      <c r="AB490" s="511" t="s">
        <v>1037</v>
      </c>
      <c r="AC490" s="2224"/>
      <c r="AD490" s="2224"/>
      <c r="AE490" s="2224"/>
      <c r="AF490" s="507" t="s">
        <v>1037</v>
      </c>
      <c r="AG490" s="2224"/>
      <c r="AH490" s="2224"/>
      <c r="AI490" s="2226"/>
      <c r="AJ490" s="2212">
        <f t="shared" si="150"/>
        <v>6580</v>
      </c>
      <c r="AK490" s="2213"/>
      <c r="AL490" s="2214"/>
      <c r="AM490" s="2215">
        <v>1</v>
      </c>
      <c r="AN490" s="2216"/>
      <c r="AO490" s="2217"/>
      <c r="AP490" s="2209">
        <f t="shared" si="151"/>
        <v>6580</v>
      </c>
      <c r="AQ490" s="2210"/>
      <c r="AR490" s="2211"/>
      <c r="AS490" s="2203">
        <f ca="1">SUMIF(床・天井!T$6:T$89,F490,床・天井!I$6:I$89)+SUMIF(見積拾!C$112:D$116,F490,見積拾!T$112:T$116)</f>
        <v>0</v>
      </c>
      <c r="AT490" s="2204"/>
      <c r="AU490" s="2204"/>
      <c r="AV490" s="2205"/>
      <c r="AW490" s="2206">
        <f t="shared" ca="1" si="152"/>
        <v>0</v>
      </c>
      <c r="AX490" s="2207"/>
      <c r="AY490" s="2207"/>
      <c r="AZ490" s="2208"/>
      <c r="BA490" s="2200"/>
      <c r="BB490" s="956" t="b">
        <f t="shared" ca="1" si="153"/>
        <v>0</v>
      </c>
    </row>
    <row r="491" spans="2:54" ht="13.5" customHeight="1">
      <c r="B491" s="2445"/>
      <c r="C491" s="2521"/>
      <c r="D491" s="2500"/>
      <c r="E491" s="519" t="s">
        <v>777</v>
      </c>
      <c r="F491" s="2210" t="s">
        <v>1396</v>
      </c>
      <c r="G491" s="2210"/>
      <c r="H491" s="2210"/>
      <c r="I491" s="2210"/>
      <c r="J491" s="2210"/>
      <c r="K491" s="2210"/>
      <c r="L491" s="2210"/>
      <c r="M491" s="2210"/>
      <c r="N491" s="2210"/>
      <c r="O491" s="2210"/>
      <c r="P491" s="2211"/>
      <c r="Q491" s="2257">
        <v>3347</v>
      </c>
      <c r="R491" s="2224"/>
      <c r="S491" s="2224"/>
      <c r="T491" s="508" t="s">
        <v>1292</v>
      </c>
      <c r="U491" s="2225" t="s">
        <v>1031</v>
      </c>
      <c r="V491" s="2225"/>
      <c r="W491" s="2225"/>
      <c r="X491" s="508" t="s">
        <v>779</v>
      </c>
      <c r="Y491" s="2224">
        <v>1376</v>
      </c>
      <c r="Z491" s="2224"/>
      <c r="AA491" s="2224"/>
      <c r="AB491" s="511" t="s">
        <v>1037</v>
      </c>
      <c r="AC491" s="2224"/>
      <c r="AD491" s="2224"/>
      <c r="AE491" s="2224"/>
      <c r="AF491" s="507" t="s">
        <v>1037</v>
      </c>
      <c r="AG491" s="2224"/>
      <c r="AH491" s="2224"/>
      <c r="AI491" s="2226"/>
      <c r="AJ491" s="2212">
        <f t="shared" si="150"/>
        <v>4720</v>
      </c>
      <c r="AK491" s="2213"/>
      <c r="AL491" s="2214"/>
      <c r="AM491" s="2215">
        <v>1</v>
      </c>
      <c r="AN491" s="2216"/>
      <c r="AO491" s="2217"/>
      <c r="AP491" s="2209">
        <f t="shared" si="151"/>
        <v>4720</v>
      </c>
      <c r="AQ491" s="2210"/>
      <c r="AR491" s="2211"/>
      <c r="AS491" s="2203">
        <f ca="1">SUMIF(床・天井!T$6:T$89,F491,床・天井!I$6:I$89)+SUMIF(見積拾!C$112:D$116,F491,見積拾!T$112:T$116)</f>
        <v>0</v>
      </c>
      <c r="AT491" s="2204"/>
      <c r="AU491" s="2204"/>
      <c r="AV491" s="2205"/>
      <c r="AW491" s="2206">
        <f t="shared" ca="1" si="152"/>
        <v>0</v>
      </c>
      <c r="AX491" s="2207"/>
      <c r="AY491" s="2207"/>
      <c r="AZ491" s="2208"/>
      <c r="BA491" s="2200"/>
      <c r="BB491" s="956" t="b">
        <f t="shared" ca="1" si="153"/>
        <v>0</v>
      </c>
    </row>
    <row r="492" spans="2:54" ht="13.5" customHeight="1">
      <c r="B492" s="2445"/>
      <c r="C492" s="2521"/>
      <c r="D492" s="2500"/>
      <c r="E492" s="519" t="s">
        <v>777</v>
      </c>
      <c r="F492" s="2210" t="s">
        <v>1397</v>
      </c>
      <c r="G492" s="2210"/>
      <c r="H492" s="2210"/>
      <c r="I492" s="2210"/>
      <c r="J492" s="2210"/>
      <c r="K492" s="2210"/>
      <c r="L492" s="2210"/>
      <c r="M492" s="2210"/>
      <c r="N492" s="2210"/>
      <c r="O492" s="2210"/>
      <c r="P492" s="2211"/>
      <c r="Q492" s="2257">
        <v>1269</v>
      </c>
      <c r="R492" s="2224"/>
      <c r="S492" s="2224"/>
      <c r="T492" s="508" t="s">
        <v>1292</v>
      </c>
      <c r="U492" s="2225" t="s">
        <v>1031</v>
      </c>
      <c r="V492" s="2225"/>
      <c r="W492" s="2225"/>
      <c r="X492" s="508" t="s">
        <v>779</v>
      </c>
      <c r="Y492" s="2224">
        <v>1376</v>
      </c>
      <c r="Z492" s="2224"/>
      <c r="AA492" s="2224"/>
      <c r="AB492" s="511" t="s">
        <v>1037</v>
      </c>
      <c r="AC492" s="2224"/>
      <c r="AD492" s="2224"/>
      <c r="AE492" s="2224"/>
      <c r="AF492" s="507" t="s">
        <v>1037</v>
      </c>
      <c r="AG492" s="2224"/>
      <c r="AH492" s="2224"/>
      <c r="AI492" s="2226"/>
      <c r="AJ492" s="2212">
        <f t="shared" si="150"/>
        <v>2640</v>
      </c>
      <c r="AK492" s="2213"/>
      <c r="AL492" s="2214"/>
      <c r="AM492" s="2215">
        <v>1</v>
      </c>
      <c r="AN492" s="2216"/>
      <c r="AO492" s="2217"/>
      <c r="AP492" s="2209">
        <f t="shared" si="151"/>
        <v>2640</v>
      </c>
      <c r="AQ492" s="2210"/>
      <c r="AR492" s="2211"/>
      <c r="AS492" s="2203">
        <f ca="1">SUMIF(床・天井!T$6:T$89,F492,床・天井!I$6:I$89)+SUMIF(見積拾!C$112:D$116,F492,見積拾!T$112:T$116)</f>
        <v>0</v>
      </c>
      <c r="AT492" s="2204"/>
      <c r="AU492" s="2204"/>
      <c r="AV492" s="2205"/>
      <c r="AW492" s="2206">
        <f t="shared" ca="1" si="152"/>
        <v>0</v>
      </c>
      <c r="AX492" s="2207"/>
      <c r="AY492" s="2207"/>
      <c r="AZ492" s="2208"/>
      <c r="BA492" s="2200"/>
      <c r="BB492" s="956" t="b">
        <f t="shared" ca="1" si="153"/>
        <v>0</v>
      </c>
    </row>
    <row r="493" spans="2:54" ht="13.5" customHeight="1">
      <c r="B493" s="2445"/>
      <c r="C493" s="2521"/>
      <c r="D493" s="2500"/>
      <c r="E493" s="519" t="s">
        <v>777</v>
      </c>
      <c r="F493" s="2210" t="s">
        <v>1036</v>
      </c>
      <c r="G493" s="2210"/>
      <c r="H493" s="2210"/>
      <c r="I493" s="2210"/>
      <c r="J493" s="2210"/>
      <c r="K493" s="2210"/>
      <c r="L493" s="2210"/>
      <c r="M493" s="2210"/>
      <c r="N493" s="2210"/>
      <c r="O493" s="2210"/>
      <c r="P493" s="2211"/>
      <c r="Q493" s="2257">
        <v>613</v>
      </c>
      <c r="R493" s="2224"/>
      <c r="S493" s="2224"/>
      <c r="T493" s="508" t="s">
        <v>1292</v>
      </c>
      <c r="U493" s="2224">
        <v>1400</v>
      </c>
      <c r="V493" s="2224"/>
      <c r="W493" s="2224"/>
      <c r="X493" s="508" t="s">
        <v>779</v>
      </c>
      <c r="Y493" s="2224">
        <v>1376</v>
      </c>
      <c r="Z493" s="2224"/>
      <c r="AA493" s="2224"/>
      <c r="AB493" s="511" t="s">
        <v>1037</v>
      </c>
      <c r="AC493" s="2224"/>
      <c r="AD493" s="2224"/>
      <c r="AE493" s="2224"/>
      <c r="AF493" s="507" t="s">
        <v>1037</v>
      </c>
      <c r="AG493" s="2224"/>
      <c r="AH493" s="2224"/>
      <c r="AI493" s="2226"/>
      <c r="AJ493" s="2212">
        <f t="shared" si="150"/>
        <v>3380</v>
      </c>
      <c r="AK493" s="2213"/>
      <c r="AL493" s="2214"/>
      <c r="AM493" s="2215">
        <v>1</v>
      </c>
      <c r="AN493" s="2216"/>
      <c r="AO493" s="2217"/>
      <c r="AP493" s="2209">
        <f t="shared" si="151"/>
        <v>3380</v>
      </c>
      <c r="AQ493" s="2210"/>
      <c r="AR493" s="2211"/>
      <c r="AS493" s="2203">
        <f ca="1">SUMIF(床・天井!T$6:T$89,F493,床・天井!I$6:I$89)+SUMIF(見積拾!C$112:D$116,F493,見積拾!T$112:T$116)</f>
        <v>0</v>
      </c>
      <c r="AT493" s="2204"/>
      <c r="AU493" s="2204"/>
      <c r="AV493" s="2205"/>
      <c r="AW493" s="2206">
        <f t="shared" ca="1" si="152"/>
        <v>0</v>
      </c>
      <c r="AX493" s="2207"/>
      <c r="AY493" s="2207"/>
      <c r="AZ493" s="2208"/>
      <c r="BA493" s="2200"/>
      <c r="BB493" s="956" t="b">
        <f t="shared" ca="1" si="153"/>
        <v>0</v>
      </c>
    </row>
    <row r="494" spans="2:54" ht="13.5" customHeight="1">
      <c r="B494" s="2445"/>
      <c r="C494" s="2521"/>
      <c r="D494" s="2500"/>
      <c r="E494" s="519" t="s">
        <v>777</v>
      </c>
      <c r="F494" s="2210" t="s">
        <v>1398</v>
      </c>
      <c r="G494" s="2210"/>
      <c r="H494" s="2210"/>
      <c r="I494" s="2210"/>
      <c r="J494" s="2210"/>
      <c r="K494" s="2210"/>
      <c r="L494" s="2210"/>
      <c r="M494" s="2210"/>
      <c r="N494" s="2210"/>
      <c r="O494" s="2210"/>
      <c r="P494" s="2211"/>
      <c r="Q494" s="2257">
        <v>446</v>
      </c>
      <c r="R494" s="2224"/>
      <c r="S494" s="2224"/>
      <c r="T494" s="508" t="s">
        <v>1292</v>
      </c>
      <c r="U494" s="2224">
        <v>840</v>
      </c>
      <c r="V494" s="2224"/>
      <c r="W494" s="2224"/>
      <c r="X494" s="508" t="s">
        <v>779</v>
      </c>
      <c r="Y494" s="2224">
        <v>1376</v>
      </c>
      <c r="Z494" s="2224"/>
      <c r="AA494" s="2224"/>
      <c r="AB494" s="511" t="s">
        <v>1037</v>
      </c>
      <c r="AC494" s="2224"/>
      <c r="AD494" s="2224"/>
      <c r="AE494" s="2224"/>
      <c r="AF494" s="507" t="s">
        <v>1037</v>
      </c>
      <c r="AG494" s="2224"/>
      <c r="AH494" s="2224"/>
      <c r="AI494" s="2226"/>
      <c r="AJ494" s="2212">
        <f t="shared" si="150"/>
        <v>2660</v>
      </c>
      <c r="AK494" s="2213"/>
      <c r="AL494" s="2214"/>
      <c r="AM494" s="2215">
        <v>1</v>
      </c>
      <c r="AN494" s="2216"/>
      <c r="AO494" s="2217"/>
      <c r="AP494" s="2209">
        <f t="shared" si="151"/>
        <v>2660</v>
      </c>
      <c r="AQ494" s="2210"/>
      <c r="AR494" s="2211"/>
      <c r="AS494" s="2203">
        <f ca="1">SUMIF(床・天井!T$6:T$89,F494,床・天井!I$6:I$89)+SUMIF(見積拾!C$112:D$116,F494,見積拾!T$112:T$116)</f>
        <v>0</v>
      </c>
      <c r="AT494" s="2204"/>
      <c r="AU494" s="2204"/>
      <c r="AV494" s="2205"/>
      <c r="AW494" s="2206">
        <f t="shared" ca="1" si="152"/>
        <v>0</v>
      </c>
      <c r="AX494" s="2207"/>
      <c r="AY494" s="2207"/>
      <c r="AZ494" s="2208"/>
      <c r="BA494" s="2200"/>
      <c r="BB494" s="956" t="b">
        <f t="shared" ca="1" si="153"/>
        <v>0</v>
      </c>
    </row>
    <row r="495" spans="2:54" ht="13.5" customHeight="1">
      <c r="B495" s="2445"/>
      <c r="C495" s="2521"/>
      <c r="D495" s="2500"/>
      <c r="E495" s="519" t="s">
        <v>777</v>
      </c>
      <c r="F495" s="2210" t="s">
        <v>1399</v>
      </c>
      <c r="G495" s="2210"/>
      <c r="H495" s="2210"/>
      <c r="I495" s="2210"/>
      <c r="J495" s="2210"/>
      <c r="K495" s="2210"/>
      <c r="L495" s="2210"/>
      <c r="M495" s="2210"/>
      <c r="N495" s="2210"/>
      <c r="O495" s="2210"/>
      <c r="P495" s="2211"/>
      <c r="Q495" s="2257">
        <v>609</v>
      </c>
      <c r="R495" s="2224"/>
      <c r="S495" s="2224"/>
      <c r="T495" s="508" t="s">
        <v>1292</v>
      </c>
      <c r="U495" s="2224">
        <v>840</v>
      </c>
      <c r="V495" s="2224"/>
      <c r="W495" s="2224"/>
      <c r="X495" s="508" t="s">
        <v>779</v>
      </c>
      <c r="Y495" s="2322" t="s">
        <v>1032</v>
      </c>
      <c r="Z495" s="2322"/>
      <c r="AA495" s="2322"/>
      <c r="AB495" s="511" t="s">
        <v>1037</v>
      </c>
      <c r="AC495" s="2224"/>
      <c r="AD495" s="2224"/>
      <c r="AE495" s="2224"/>
      <c r="AF495" s="507" t="s">
        <v>1037</v>
      </c>
      <c r="AG495" s="2224"/>
      <c r="AH495" s="2224"/>
      <c r="AI495" s="2226"/>
      <c r="AJ495" s="2212">
        <f t="shared" si="150"/>
        <v>1440</v>
      </c>
      <c r="AK495" s="2213"/>
      <c r="AL495" s="2214"/>
      <c r="AM495" s="2215">
        <v>1</v>
      </c>
      <c r="AN495" s="2216"/>
      <c r="AO495" s="2217"/>
      <c r="AP495" s="2209">
        <f t="shared" si="151"/>
        <v>1440</v>
      </c>
      <c r="AQ495" s="2210"/>
      <c r="AR495" s="2211"/>
      <c r="AS495" s="2203">
        <f ca="1">SUMIF(床・天井!T$6:T$89,F495,床・天井!I$6:I$89)+SUMIF(見積拾!C$112:D$116,F495,見積拾!T$112:T$116)</f>
        <v>0</v>
      </c>
      <c r="AT495" s="2204"/>
      <c r="AU495" s="2204"/>
      <c r="AV495" s="2205"/>
      <c r="AW495" s="2206">
        <f t="shared" ca="1" si="152"/>
        <v>0</v>
      </c>
      <c r="AX495" s="2207"/>
      <c r="AY495" s="2207"/>
      <c r="AZ495" s="2208"/>
      <c r="BA495" s="2200"/>
      <c r="BB495" s="956" t="b">
        <f t="shared" ca="1" si="153"/>
        <v>0</v>
      </c>
    </row>
    <row r="496" spans="2:54" ht="13.5" customHeight="1">
      <c r="B496" s="2445"/>
      <c r="C496" s="2521"/>
      <c r="D496" s="2500"/>
      <c r="E496" s="519" t="s">
        <v>777</v>
      </c>
      <c r="F496" s="2210" t="s">
        <v>1357</v>
      </c>
      <c r="G496" s="2210"/>
      <c r="H496" s="2210"/>
      <c r="I496" s="2210"/>
      <c r="J496" s="2210"/>
      <c r="K496" s="2210"/>
      <c r="L496" s="2210"/>
      <c r="M496" s="2210"/>
      <c r="N496" s="2210"/>
      <c r="O496" s="2210"/>
      <c r="P496" s="2211"/>
      <c r="Q496" s="2257">
        <v>1000</v>
      </c>
      <c r="R496" s="2224"/>
      <c r="S496" s="2224"/>
      <c r="T496" s="508" t="s">
        <v>1292</v>
      </c>
      <c r="U496" s="2225" t="s">
        <v>1031</v>
      </c>
      <c r="V496" s="2225"/>
      <c r="W496" s="2225"/>
      <c r="X496" s="508" t="s">
        <v>779</v>
      </c>
      <c r="Y496" s="2224">
        <v>1376</v>
      </c>
      <c r="Z496" s="2224"/>
      <c r="AA496" s="2224"/>
      <c r="AB496" s="511" t="s">
        <v>1037</v>
      </c>
      <c r="AC496" s="2224"/>
      <c r="AD496" s="2224"/>
      <c r="AE496" s="2224"/>
      <c r="AF496" s="507" t="s">
        <v>1037</v>
      </c>
      <c r="AG496" s="2224"/>
      <c r="AH496" s="2224"/>
      <c r="AI496" s="2226"/>
      <c r="AJ496" s="2212">
        <f t="shared" si="150"/>
        <v>2370</v>
      </c>
      <c r="AK496" s="2213"/>
      <c r="AL496" s="2214"/>
      <c r="AM496" s="2215">
        <v>1</v>
      </c>
      <c r="AN496" s="2216"/>
      <c r="AO496" s="2217"/>
      <c r="AP496" s="2209">
        <f t="shared" si="151"/>
        <v>2370</v>
      </c>
      <c r="AQ496" s="2210"/>
      <c r="AR496" s="2211"/>
      <c r="AS496" s="2203">
        <f ca="1">SUMIF(床・天井!T$6:T$89,F496,床・天井!I$6:I$89)+SUMIF(見積拾!C$112:D$116,F496,見積拾!T$112:T$116)</f>
        <v>0</v>
      </c>
      <c r="AT496" s="2204"/>
      <c r="AU496" s="2204"/>
      <c r="AV496" s="2205"/>
      <c r="AW496" s="2206">
        <f t="shared" ca="1" si="152"/>
        <v>0</v>
      </c>
      <c r="AX496" s="2207"/>
      <c r="AY496" s="2207"/>
      <c r="AZ496" s="2208"/>
      <c r="BA496" s="2200"/>
      <c r="BB496" s="956" t="b">
        <f t="shared" ca="1" si="153"/>
        <v>0</v>
      </c>
    </row>
    <row r="497" spans="2:54" ht="13.5" customHeight="1">
      <c r="B497" s="2445"/>
      <c r="C497" s="2521"/>
      <c r="D497" s="2500"/>
      <c r="E497" s="519" t="s">
        <v>777</v>
      </c>
      <c r="F497" s="2210" t="s">
        <v>1400</v>
      </c>
      <c r="G497" s="2210"/>
      <c r="H497" s="2210"/>
      <c r="I497" s="2210"/>
      <c r="J497" s="2210"/>
      <c r="K497" s="2210"/>
      <c r="L497" s="2210"/>
      <c r="M497" s="2210"/>
      <c r="N497" s="2210"/>
      <c r="O497" s="2210"/>
      <c r="P497" s="2211"/>
      <c r="Q497" s="2257">
        <v>1650</v>
      </c>
      <c r="R497" s="2224"/>
      <c r="S497" s="2224"/>
      <c r="T497" s="508" t="s">
        <v>1292</v>
      </c>
      <c r="U497" s="2225" t="s">
        <v>1031</v>
      </c>
      <c r="V497" s="2225"/>
      <c r="W497" s="2225"/>
      <c r="X497" s="508" t="s">
        <v>779</v>
      </c>
      <c r="Y497" s="2224">
        <v>1376</v>
      </c>
      <c r="Z497" s="2224"/>
      <c r="AA497" s="2224"/>
      <c r="AB497" s="511" t="s">
        <v>1037</v>
      </c>
      <c r="AC497" s="2224"/>
      <c r="AD497" s="2224"/>
      <c r="AE497" s="2224"/>
      <c r="AF497" s="507" t="s">
        <v>1037</v>
      </c>
      <c r="AG497" s="2224"/>
      <c r="AH497" s="2224"/>
      <c r="AI497" s="2226"/>
      <c r="AJ497" s="2212">
        <f t="shared" si="150"/>
        <v>3020</v>
      </c>
      <c r="AK497" s="2213"/>
      <c r="AL497" s="2214"/>
      <c r="AM497" s="2215">
        <v>1</v>
      </c>
      <c r="AN497" s="2216"/>
      <c r="AO497" s="2217"/>
      <c r="AP497" s="2209">
        <f t="shared" si="151"/>
        <v>3020</v>
      </c>
      <c r="AQ497" s="2210"/>
      <c r="AR497" s="2211"/>
      <c r="AS497" s="2203">
        <f ca="1">SUMIF(床・天井!T$6:T$89,F497,床・天井!I$6:I$89)+SUMIF(見積拾!C$112:D$116,F497,見積拾!T$112:T$116)</f>
        <v>0</v>
      </c>
      <c r="AT497" s="2204"/>
      <c r="AU497" s="2204"/>
      <c r="AV497" s="2205"/>
      <c r="AW497" s="2206">
        <f t="shared" ca="1" si="152"/>
        <v>0</v>
      </c>
      <c r="AX497" s="2207"/>
      <c r="AY497" s="2207"/>
      <c r="AZ497" s="2208"/>
      <c r="BA497" s="2200"/>
      <c r="BB497" s="956" t="b">
        <f t="shared" ca="1" si="153"/>
        <v>0</v>
      </c>
    </row>
    <row r="498" spans="2:54" ht="13.5" customHeight="1">
      <c r="B498" s="2445"/>
      <c r="C498" s="2521"/>
      <c r="D498" s="2500"/>
      <c r="E498" s="519" t="s">
        <v>777</v>
      </c>
      <c r="F498" s="2210" t="s">
        <v>1362</v>
      </c>
      <c r="G498" s="2210"/>
      <c r="H498" s="2210"/>
      <c r="I498" s="2210"/>
      <c r="J498" s="2210"/>
      <c r="K498" s="2210"/>
      <c r="L498" s="2210"/>
      <c r="M498" s="2210"/>
      <c r="N498" s="2210"/>
      <c r="O498" s="2210"/>
      <c r="P498" s="2211"/>
      <c r="Q498" s="2257">
        <v>30528</v>
      </c>
      <c r="R498" s="2224"/>
      <c r="S498" s="2224"/>
      <c r="T498" s="508" t="s">
        <v>1292</v>
      </c>
      <c r="U498" s="2224">
        <v>1400</v>
      </c>
      <c r="V498" s="2224"/>
      <c r="W498" s="2224"/>
      <c r="X498" s="508" t="s">
        <v>779</v>
      </c>
      <c r="Y498" s="2224">
        <v>1376</v>
      </c>
      <c r="Z498" s="2224"/>
      <c r="AA498" s="2224"/>
      <c r="AB498" s="511" t="s">
        <v>1037</v>
      </c>
      <c r="AC498" s="2224"/>
      <c r="AD498" s="2224"/>
      <c r="AE498" s="2224"/>
      <c r="AF498" s="507" t="s">
        <v>1037</v>
      </c>
      <c r="AG498" s="2224"/>
      <c r="AH498" s="2224"/>
      <c r="AI498" s="2226"/>
      <c r="AJ498" s="2212">
        <f t="shared" si="150"/>
        <v>33300</v>
      </c>
      <c r="AK498" s="2213"/>
      <c r="AL498" s="2214"/>
      <c r="AM498" s="2215">
        <v>1</v>
      </c>
      <c r="AN498" s="2216"/>
      <c r="AO498" s="2217"/>
      <c r="AP498" s="2209">
        <f t="shared" si="151"/>
        <v>33300</v>
      </c>
      <c r="AQ498" s="2210"/>
      <c r="AR498" s="2211"/>
      <c r="AS498" s="2203">
        <f ca="1">SUMIF(床・天井!T$6:T$89,F498,床・天井!I$6:I$89)+SUMIF(見積拾!C$112:D$116,F498,見積拾!T$112:T$116)</f>
        <v>0</v>
      </c>
      <c r="AT498" s="2204"/>
      <c r="AU498" s="2204"/>
      <c r="AV498" s="2205"/>
      <c r="AW498" s="2206">
        <f t="shared" ca="1" si="152"/>
        <v>0</v>
      </c>
      <c r="AX498" s="2207"/>
      <c r="AY498" s="2207"/>
      <c r="AZ498" s="2208"/>
      <c r="BA498" s="2200"/>
      <c r="BB498" s="956" t="b">
        <f t="shared" ca="1" si="153"/>
        <v>0</v>
      </c>
    </row>
    <row r="499" spans="2:54" ht="13.5" customHeight="1">
      <c r="B499" s="2445"/>
      <c r="C499" s="2521"/>
      <c r="D499" s="2500"/>
      <c r="E499" s="519" t="s">
        <v>777</v>
      </c>
      <c r="F499" s="2210" t="s">
        <v>1363</v>
      </c>
      <c r="G499" s="2210"/>
      <c r="H499" s="2210"/>
      <c r="I499" s="2210"/>
      <c r="J499" s="2210"/>
      <c r="K499" s="2210"/>
      <c r="L499" s="2210"/>
      <c r="M499" s="2210"/>
      <c r="N499" s="2210"/>
      <c r="O499" s="2210"/>
      <c r="P499" s="2211"/>
      <c r="Q499" s="2257">
        <v>18209</v>
      </c>
      <c r="R499" s="2224"/>
      <c r="S499" s="2224"/>
      <c r="T499" s="508" t="s">
        <v>1292</v>
      </c>
      <c r="U499" s="2224">
        <v>1400</v>
      </c>
      <c r="V499" s="2224"/>
      <c r="W499" s="2224"/>
      <c r="X499" s="508" t="s">
        <v>779</v>
      </c>
      <c r="Y499" s="2224">
        <v>1376</v>
      </c>
      <c r="Z499" s="2224"/>
      <c r="AA499" s="2224"/>
      <c r="AB499" s="511" t="s">
        <v>1037</v>
      </c>
      <c r="AC499" s="2224"/>
      <c r="AD499" s="2224"/>
      <c r="AE499" s="2224"/>
      <c r="AF499" s="507" t="s">
        <v>1037</v>
      </c>
      <c r="AG499" s="2224"/>
      <c r="AH499" s="2224"/>
      <c r="AI499" s="2226"/>
      <c r="AJ499" s="2212">
        <f t="shared" si="150"/>
        <v>20980</v>
      </c>
      <c r="AK499" s="2213"/>
      <c r="AL499" s="2214"/>
      <c r="AM499" s="2215">
        <v>1</v>
      </c>
      <c r="AN499" s="2216"/>
      <c r="AO499" s="2217"/>
      <c r="AP499" s="2209">
        <f t="shared" si="151"/>
        <v>20980</v>
      </c>
      <c r="AQ499" s="2210"/>
      <c r="AR499" s="2211"/>
      <c r="AS499" s="2203">
        <f ca="1">SUMIF(床・天井!T$6:T$89,F499,床・天井!I$6:I$89)+SUMIF(見積拾!C$112:D$116,F499,見積拾!T$112:T$116)</f>
        <v>0</v>
      </c>
      <c r="AT499" s="2204"/>
      <c r="AU499" s="2204"/>
      <c r="AV499" s="2205"/>
      <c r="AW499" s="2206">
        <f t="shared" ca="1" si="152"/>
        <v>0</v>
      </c>
      <c r="AX499" s="2207"/>
      <c r="AY499" s="2207"/>
      <c r="AZ499" s="2208"/>
      <c r="BA499" s="2200"/>
      <c r="BB499" s="956" t="b">
        <f t="shared" ca="1" si="153"/>
        <v>0</v>
      </c>
    </row>
    <row r="500" spans="2:54" ht="13.5" customHeight="1">
      <c r="B500" s="2445"/>
      <c r="C500" s="2521"/>
      <c r="D500" s="2500"/>
      <c r="E500" s="519" t="s">
        <v>777</v>
      </c>
      <c r="F500" s="2210" t="s">
        <v>1338</v>
      </c>
      <c r="G500" s="2210"/>
      <c r="H500" s="2210"/>
      <c r="I500" s="2210"/>
      <c r="J500" s="2210"/>
      <c r="K500" s="2210"/>
      <c r="L500" s="2210"/>
      <c r="M500" s="2210"/>
      <c r="N500" s="2210"/>
      <c r="O500" s="2210"/>
      <c r="P500" s="2211"/>
      <c r="Q500" s="2257">
        <v>511</v>
      </c>
      <c r="R500" s="2224"/>
      <c r="S500" s="2224"/>
      <c r="T500" s="508" t="s">
        <v>1292</v>
      </c>
      <c r="U500" s="2224">
        <v>2352</v>
      </c>
      <c r="V500" s="2224"/>
      <c r="W500" s="2224"/>
      <c r="X500" s="508" t="s">
        <v>779</v>
      </c>
      <c r="Y500" s="2224">
        <v>1376</v>
      </c>
      <c r="Z500" s="2224"/>
      <c r="AA500" s="2224"/>
      <c r="AB500" s="511" t="s">
        <v>1037</v>
      </c>
      <c r="AC500" s="2224"/>
      <c r="AD500" s="2224"/>
      <c r="AE500" s="2224"/>
      <c r="AF500" s="507" t="s">
        <v>1037</v>
      </c>
      <c r="AG500" s="2224"/>
      <c r="AH500" s="2224"/>
      <c r="AI500" s="2226"/>
      <c r="AJ500" s="2212">
        <f t="shared" si="150"/>
        <v>4230</v>
      </c>
      <c r="AK500" s="2213"/>
      <c r="AL500" s="2214"/>
      <c r="AM500" s="2215">
        <v>1</v>
      </c>
      <c r="AN500" s="2216"/>
      <c r="AO500" s="2217"/>
      <c r="AP500" s="2209">
        <f t="shared" si="151"/>
        <v>4230</v>
      </c>
      <c r="AQ500" s="2210"/>
      <c r="AR500" s="2211"/>
      <c r="AS500" s="2203">
        <f ca="1">SUMIF(床・天井!T$6:T$89,F500,床・天井!I$6:I$89)+SUMIF(見積拾!C$112:D$116,F500,見積拾!T$112:T$116)</f>
        <v>0</v>
      </c>
      <c r="AT500" s="2204"/>
      <c r="AU500" s="2204"/>
      <c r="AV500" s="2205"/>
      <c r="AW500" s="2206">
        <f t="shared" ca="1" si="152"/>
        <v>0</v>
      </c>
      <c r="AX500" s="2207"/>
      <c r="AY500" s="2207"/>
      <c r="AZ500" s="2208"/>
      <c r="BA500" s="2200"/>
      <c r="BB500" s="956" t="b">
        <f t="shared" ca="1" si="153"/>
        <v>0</v>
      </c>
    </row>
    <row r="501" spans="2:54" ht="13.5" customHeight="1">
      <c r="B501" s="2445"/>
      <c r="C501" s="2521"/>
      <c r="D501" s="2500"/>
      <c r="E501" s="519" t="s">
        <v>777</v>
      </c>
      <c r="F501" s="2210" t="s">
        <v>1339</v>
      </c>
      <c r="G501" s="2210"/>
      <c r="H501" s="2210"/>
      <c r="I501" s="2210"/>
      <c r="J501" s="2210"/>
      <c r="K501" s="2210"/>
      <c r="L501" s="2210"/>
      <c r="M501" s="2210"/>
      <c r="N501" s="2210"/>
      <c r="O501" s="2210"/>
      <c r="P501" s="2211"/>
      <c r="Q501" s="2257">
        <v>2085</v>
      </c>
      <c r="R501" s="2224"/>
      <c r="S501" s="2224"/>
      <c r="T501" s="508" t="s">
        <v>1292</v>
      </c>
      <c r="U501" s="2224">
        <v>2352</v>
      </c>
      <c r="V501" s="2224"/>
      <c r="W501" s="2224"/>
      <c r="X501" s="508" t="s">
        <v>779</v>
      </c>
      <c r="Y501" s="2224">
        <v>1376</v>
      </c>
      <c r="Z501" s="2224"/>
      <c r="AA501" s="2224"/>
      <c r="AB501" s="511" t="s">
        <v>1037</v>
      </c>
      <c r="AC501" s="2224"/>
      <c r="AD501" s="2224"/>
      <c r="AE501" s="2224"/>
      <c r="AF501" s="507" t="s">
        <v>1037</v>
      </c>
      <c r="AG501" s="2224"/>
      <c r="AH501" s="2224"/>
      <c r="AI501" s="2226"/>
      <c r="AJ501" s="2212">
        <f t="shared" si="150"/>
        <v>5810</v>
      </c>
      <c r="AK501" s="2213"/>
      <c r="AL501" s="2214"/>
      <c r="AM501" s="2215">
        <v>1</v>
      </c>
      <c r="AN501" s="2216"/>
      <c r="AO501" s="2217"/>
      <c r="AP501" s="2209">
        <f t="shared" si="151"/>
        <v>5810</v>
      </c>
      <c r="AQ501" s="2210"/>
      <c r="AR501" s="2211"/>
      <c r="AS501" s="2203">
        <f ca="1">SUMIF(床・天井!T$6:T$89,F501,床・天井!I$6:I$89)+SUMIF(見積拾!C$112:D$116,F501,見積拾!T$112:T$116)</f>
        <v>0</v>
      </c>
      <c r="AT501" s="2204"/>
      <c r="AU501" s="2204"/>
      <c r="AV501" s="2205"/>
      <c r="AW501" s="2206">
        <f t="shared" ca="1" si="152"/>
        <v>0</v>
      </c>
      <c r="AX501" s="2207"/>
      <c r="AY501" s="2207"/>
      <c r="AZ501" s="2208"/>
      <c r="BA501" s="2200"/>
      <c r="BB501" s="956" t="b">
        <f t="shared" ca="1" si="153"/>
        <v>0</v>
      </c>
    </row>
    <row r="502" spans="2:54" ht="13.5" customHeight="1">
      <c r="B502" s="2445"/>
      <c r="C502" s="2521"/>
      <c r="D502" s="2500"/>
      <c r="E502" s="519" t="s">
        <v>777</v>
      </c>
      <c r="F502" s="2210" t="s">
        <v>1340</v>
      </c>
      <c r="G502" s="2210"/>
      <c r="H502" s="2210"/>
      <c r="I502" s="2210"/>
      <c r="J502" s="2210"/>
      <c r="K502" s="2210"/>
      <c r="L502" s="2210"/>
      <c r="M502" s="2210"/>
      <c r="N502" s="2210"/>
      <c r="O502" s="2210"/>
      <c r="P502" s="2211"/>
      <c r="Q502" s="2257">
        <v>6702</v>
      </c>
      <c r="R502" s="2224"/>
      <c r="S502" s="2224"/>
      <c r="T502" s="508" t="s">
        <v>1292</v>
      </c>
      <c r="U502" s="2224">
        <v>2352</v>
      </c>
      <c r="V502" s="2224"/>
      <c r="W502" s="2224"/>
      <c r="X502" s="508" t="s">
        <v>779</v>
      </c>
      <c r="Y502" s="2224">
        <v>1376</v>
      </c>
      <c r="Z502" s="2224"/>
      <c r="AA502" s="2224"/>
      <c r="AB502" s="511" t="s">
        <v>1037</v>
      </c>
      <c r="AC502" s="2224"/>
      <c r="AD502" s="2224"/>
      <c r="AE502" s="2224"/>
      <c r="AF502" s="507" t="s">
        <v>1037</v>
      </c>
      <c r="AG502" s="2224"/>
      <c r="AH502" s="2224"/>
      <c r="AI502" s="2226"/>
      <c r="AJ502" s="2212">
        <f t="shared" si="150"/>
        <v>10430</v>
      </c>
      <c r="AK502" s="2213"/>
      <c r="AL502" s="2214"/>
      <c r="AM502" s="2215">
        <v>1</v>
      </c>
      <c r="AN502" s="2216"/>
      <c r="AO502" s="2217"/>
      <c r="AP502" s="2209">
        <f t="shared" si="151"/>
        <v>10430</v>
      </c>
      <c r="AQ502" s="2210"/>
      <c r="AR502" s="2211"/>
      <c r="AS502" s="2203">
        <f ca="1">SUMIF(床・天井!T$6:T$89,F502,床・天井!I$6:I$89)+SUMIF(見積拾!C$112:D$116,F502,見積拾!T$112:T$116)</f>
        <v>0</v>
      </c>
      <c r="AT502" s="2204"/>
      <c r="AU502" s="2204"/>
      <c r="AV502" s="2205"/>
      <c r="AW502" s="2206">
        <f t="shared" ca="1" si="152"/>
        <v>0</v>
      </c>
      <c r="AX502" s="2207"/>
      <c r="AY502" s="2207"/>
      <c r="AZ502" s="2208"/>
      <c r="BA502" s="2200"/>
      <c r="BB502" s="956" t="b">
        <f t="shared" ca="1" si="153"/>
        <v>0</v>
      </c>
    </row>
    <row r="503" spans="2:54" ht="13.5" customHeight="1">
      <c r="B503" s="2445"/>
      <c r="C503" s="2521"/>
      <c r="D503" s="2500"/>
      <c r="E503" s="519" t="s">
        <v>777</v>
      </c>
      <c r="F503" s="2210" t="s">
        <v>1334</v>
      </c>
      <c r="G503" s="2210"/>
      <c r="H503" s="2210"/>
      <c r="I503" s="2210"/>
      <c r="J503" s="2210"/>
      <c r="K503" s="2210"/>
      <c r="L503" s="2210"/>
      <c r="M503" s="2210"/>
      <c r="N503" s="2210"/>
      <c r="O503" s="2210"/>
      <c r="P503" s="2211"/>
      <c r="Q503" s="2257">
        <v>3260</v>
      </c>
      <c r="R503" s="2224"/>
      <c r="S503" s="2224"/>
      <c r="T503" s="508" t="s">
        <v>1292</v>
      </c>
      <c r="U503" s="2225" t="s">
        <v>1031</v>
      </c>
      <c r="V503" s="2225"/>
      <c r="W503" s="2225"/>
      <c r="X503" s="508" t="s">
        <v>779</v>
      </c>
      <c r="Y503" s="2224">
        <v>1376</v>
      </c>
      <c r="Z503" s="2224"/>
      <c r="AA503" s="2224"/>
      <c r="AB503" s="511" t="s">
        <v>1037</v>
      </c>
      <c r="AC503" s="2224"/>
      <c r="AD503" s="2224"/>
      <c r="AE503" s="2224"/>
      <c r="AF503" s="507" t="s">
        <v>1037</v>
      </c>
      <c r="AG503" s="2224"/>
      <c r="AH503" s="2224"/>
      <c r="AI503" s="2226"/>
      <c r="AJ503" s="2212">
        <f t="shared" si="150"/>
        <v>4630</v>
      </c>
      <c r="AK503" s="2213"/>
      <c r="AL503" s="2214"/>
      <c r="AM503" s="2215">
        <v>1</v>
      </c>
      <c r="AN503" s="2216"/>
      <c r="AO503" s="2217"/>
      <c r="AP503" s="2209">
        <f t="shared" si="151"/>
        <v>4630</v>
      </c>
      <c r="AQ503" s="2210"/>
      <c r="AR503" s="2211"/>
      <c r="AS503" s="2203">
        <f ca="1">SUMIF(床・天井!T$6:T$89,F503,床・天井!I$6:I$89)+SUMIF(見積拾!C$112:D$116,F503,見積拾!T$112:T$116)</f>
        <v>0</v>
      </c>
      <c r="AT503" s="2204"/>
      <c r="AU503" s="2204"/>
      <c r="AV503" s="2205"/>
      <c r="AW503" s="2206">
        <f t="shared" ca="1" si="152"/>
        <v>0</v>
      </c>
      <c r="AX503" s="2207"/>
      <c r="AY503" s="2207"/>
      <c r="AZ503" s="2208"/>
      <c r="BA503" s="2200"/>
      <c r="BB503" s="956" t="b">
        <f t="shared" ca="1" si="153"/>
        <v>0</v>
      </c>
    </row>
    <row r="504" spans="2:54" ht="13.5" customHeight="1">
      <c r="B504" s="2445"/>
      <c r="C504" s="2521"/>
      <c r="D504" s="2500"/>
      <c r="E504" s="519" t="s">
        <v>777</v>
      </c>
      <c r="F504" s="2210" t="s">
        <v>1354</v>
      </c>
      <c r="G504" s="2210"/>
      <c r="H504" s="2210"/>
      <c r="I504" s="2210"/>
      <c r="J504" s="2210"/>
      <c r="K504" s="2210"/>
      <c r="L504" s="2210"/>
      <c r="M504" s="2210"/>
      <c r="N504" s="2210"/>
      <c r="O504" s="2210"/>
      <c r="P504" s="2211"/>
      <c r="Q504" s="2257">
        <v>2030</v>
      </c>
      <c r="R504" s="2224"/>
      <c r="S504" s="2224"/>
      <c r="T504" s="508" t="s">
        <v>1292</v>
      </c>
      <c r="U504" s="2225" t="s">
        <v>1031</v>
      </c>
      <c r="V504" s="2225"/>
      <c r="W504" s="2225"/>
      <c r="X504" s="508" t="s">
        <v>779</v>
      </c>
      <c r="Y504" s="2224">
        <v>1376</v>
      </c>
      <c r="Z504" s="2224"/>
      <c r="AA504" s="2224"/>
      <c r="AB504" s="511" t="s">
        <v>1037</v>
      </c>
      <c r="AC504" s="2224"/>
      <c r="AD504" s="2224"/>
      <c r="AE504" s="2224"/>
      <c r="AF504" s="507" t="s">
        <v>1037</v>
      </c>
      <c r="AG504" s="2224"/>
      <c r="AH504" s="2224"/>
      <c r="AI504" s="2226"/>
      <c r="AJ504" s="2212">
        <f t="shared" si="150"/>
        <v>3400</v>
      </c>
      <c r="AK504" s="2213"/>
      <c r="AL504" s="2214"/>
      <c r="AM504" s="2215">
        <v>1</v>
      </c>
      <c r="AN504" s="2216"/>
      <c r="AO504" s="2217"/>
      <c r="AP504" s="2209">
        <f t="shared" si="151"/>
        <v>3400</v>
      </c>
      <c r="AQ504" s="2210"/>
      <c r="AR504" s="2211"/>
      <c r="AS504" s="2203">
        <f ca="1">SUMIF(床・天井!T$6:T$89,F504,床・天井!I$6:I$89)+SUMIF(見積拾!C$112:D$116,F504,見積拾!T$112:T$116)</f>
        <v>0</v>
      </c>
      <c r="AT504" s="2204"/>
      <c r="AU504" s="2204"/>
      <c r="AV504" s="2205"/>
      <c r="AW504" s="2206">
        <f t="shared" ca="1" si="152"/>
        <v>0</v>
      </c>
      <c r="AX504" s="2207"/>
      <c r="AY504" s="2207"/>
      <c r="AZ504" s="2208"/>
      <c r="BA504" s="2200"/>
      <c r="BB504" s="956" t="b">
        <f t="shared" ca="1" si="153"/>
        <v>0</v>
      </c>
    </row>
    <row r="505" spans="2:54" ht="13.5" customHeight="1">
      <c r="B505" s="2445"/>
      <c r="C505" s="2521"/>
      <c r="D505" s="2500"/>
      <c r="E505" s="519" t="s">
        <v>777</v>
      </c>
      <c r="F505" s="2210" t="s">
        <v>1401</v>
      </c>
      <c r="G505" s="2210"/>
      <c r="H505" s="2210"/>
      <c r="I505" s="2210"/>
      <c r="J505" s="2210"/>
      <c r="K505" s="2210"/>
      <c r="L505" s="2210"/>
      <c r="M505" s="2210"/>
      <c r="N505" s="2210"/>
      <c r="O505" s="2210"/>
      <c r="P505" s="2211"/>
      <c r="Q505" s="2257">
        <v>1449</v>
      </c>
      <c r="R505" s="2224"/>
      <c r="S505" s="2224"/>
      <c r="T505" s="508" t="s">
        <v>1292</v>
      </c>
      <c r="U505" s="2224">
        <v>1820</v>
      </c>
      <c r="V505" s="2224"/>
      <c r="W505" s="2224"/>
      <c r="X505" s="508" t="s">
        <v>779</v>
      </c>
      <c r="Y505" s="2224">
        <v>2336</v>
      </c>
      <c r="Z505" s="2224"/>
      <c r="AA505" s="2224"/>
      <c r="AB505" s="511" t="s">
        <v>1037</v>
      </c>
      <c r="AC505" s="2224"/>
      <c r="AD505" s="2224"/>
      <c r="AE505" s="2224"/>
      <c r="AF505" s="507" t="s">
        <v>1037</v>
      </c>
      <c r="AG505" s="2224"/>
      <c r="AH505" s="2224"/>
      <c r="AI505" s="2226"/>
      <c r="AJ505" s="2212">
        <f t="shared" si="150"/>
        <v>5600</v>
      </c>
      <c r="AK505" s="2213"/>
      <c r="AL505" s="2214"/>
      <c r="AM505" s="2215">
        <v>1</v>
      </c>
      <c r="AN505" s="2216"/>
      <c r="AO505" s="2217"/>
      <c r="AP505" s="2209">
        <f t="shared" si="151"/>
        <v>5600</v>
      </c>
      <c r="AQ505" s="2210"/>
      <c r="AR505" s="2211"/>
      <c r="AS505" s="2203">
        <f ca="1">SUMIF(床・天井!T$6:T$89,F505,床・天井!I$6:I$89)+SUMIF(見積拾!C$112:D$116,F505,見積拾!T$112:T$116)</f>
        <v>0</v>
      </c>
      <c r="AT505" s="2204"/>
      <c r="AU505" s="2204"/>
      <c r="AV505" s="2205"/>
      <c r="AW505" s="2206">
        <f t="shared" ca="1" si="152"/>
        <v>0</v>
      </c>
      <c r="AX505" s="2207"/>
      <c r="AY505" s="2207"/>
      <c r="AZ505" s="2208"/>
      <c r="BA505" s="2200"/>
      <c r="BB505" s="956" t="b">
        <f t="shared" ca="1" si="153"/>
        <v>0</v>
      </c>
    </row>
    <row r="506" spans="2:54" ht="13.5" customHeight="1">
      <c r="B506" s="2445"/>
      <c r="C506" s="2521"/>
      <c r="D506" s="2500"/>
      <c r="E506" s="519" t="s">
        <v>777</v>
      </c>
      <c r="F506" s="2210" t="s">
        <v>1402</v>
      </c>
      <c r="G506" s="2210"/>
      <c r="H506" s="2210"/>
      <c r="I506" s="2210"/>
      <c r="J506" s="2210"/>
      <c r="K506" s="2210"/>
      <c r="L506" s="2210"/>
      <c r="M506" s="2210"/>
      <c r="N506" s="2210"/>
      <c r="O506" s="2210"/>
      <c r="P506" s="2211"/>
      <c r="Q506" s="2257">
        <v>3640</v>
      </c>
      <c r="R506" s="2224"/>
      <c r="S506" s="2224"/>
      <c r="T506" s="508" t="s">
        <v>1292</v>
      </c>
      <c r="U506" s="2225" t="s">
        <v>1031</v>
      </c>
      <c r="V506" s="2225"/>
      <c r="W506" s="2225"/>
      <c r="X506" s="508" t="s">
        <v>779</v>
      </c>
      <c r="Y506" s="2224">
        <v>2336</v>
      </c>
      <c r="Z506" s="2224"/>
      <c r="AA506" s="2224"/>
      <c r="AB506" s="511" t="s">
        <v>1037</v>
      </c>
      <c r="AC506" s="2224"/>
      <c r="AD506" s="2224"/>
      <c r="AE506" s="2224"/>
      <c r="AF506" s="507" t="s">
        <v>1037</v>
      </c>
      <c r="AG506" s="2224"/>
      <c r="AH506" s="2224"/>
      <c r="AI506" s="2226"/>
      <c r="AJ506" s="2212">
        <f t="shared" si="150"/>
        <v>5970</v>
      </c>
      <c r="AK506" s="2213"/>
      <c r="AL506" s="2214"/>
      <c r="AM506" s="2215">
        <v>1</v>
      </c>
      <c r="AN506" s="2216"/>
      <c r="AO506" s="2217"/>
      <c r="AP506" s="2209">
        <f t="shared" si="151"/>
        <v>5970</v>
      </c>
      <c r="AQ506" s="2210"/>
      <c r="AR506" s="2211"/>
      <c r="AS506" s="2203">
        <f ca="1">SUMIF(床・天井!T$6:T$89,F506,床・天井!I$6:I$89)+SUMIF(見積拾!C$112:D$116,F506,見積拾!T$112:T$116)</f>
        <v>0</v>
      </c>
      <c r="AT506" s="2204"/>
      <c r="AU506" s="2204"/>
      <c r="AV506" s="2205"/>
      <c r="AW506" s="2206">
        <f t="shared" ca="1" si="152"/>
        <v>0</v>
      </c>
      <c r="AX506" s="2207"/>
      <c r="AY506" s="2207"/>
      <c r="AZ506" s="2208"/>
      <c r="BA506" s="2200"/>
      <c r="BB506" s="956" t="b">
        <f t="shared" ca="1" si="153"/>
        <v>0</v>
      </c>
    </row>
    <row r="507" spans="2:54" ht="13.5" customHeight="1">
      <c r="B507" s="2445"/>
      <c r="C507" s="2521"/>
      <c r="D507" s="2500"/>
      <c r="E507" s="519" t="s">
        <v>777</v>
      </c>
      <c r="F507" s="2210" t="s">
        <v>1403</v>
      </c>
      <c r="G507" s="2210"/>
      <c r="H507" s="2210"/>
      <c r="I507" s="2210"/>
      <c r="J507" s="2210"/>
      <c r="K507" s="2210"/>
      <c r="L507" s="2210"/>
      <c r="M507" s="2210"/>
      <c r="N507" s="2210"/>
      <c r="O507" s="2210"/>
      <c r="P507" s="2211"/>
      <c r="Q507" s="2257">
        <v>1650</v>
      </c>
      <c r="R507" s="2224"/>
      <c r="S507" s="2224"/>
      <c r="T507" s="508" t="s">
        <v>1292</v>
      </c>
      <c r="U507" s="2225" t="s">
        <v>1031</v>
      </c>
      <c r="V507" s="2225"/>
      <c r="W507" s="2225"/>
      <c r="X507" s="508" t="s">
        <v>779</v>
      </c>
      <c r="Y507" s="2224">
        <v>2336</v>
      </c>
      <c r="Z507" s="2224"/>
      <c r="AA507" s="2224"/>
      <c r="AB507" s="511" t="s">
        <v>1037</v>
      </c>
      <c r="AC507" s="2224"/>
      <c r="AD507" s="2224"/>
      <c r="AE507" s="2224"/>
      <c r="AF507" s="507" t="s">
        <v>1037</v>
      </c>
      <c r="AG507" s="2224"/>
      <c r="AH507" s="2224"/>
      <c r="AI507" s="2226"/>
      <c r="AJ507" s="2212">
        <f t="shared" si="150"/>
        <v>3980</v>
      </c>
      <c r="AK507" s="2213"/>
      <c r="AL507" s="2214"/>
      <c r="AM507" s="2215">
        <v>1</v>
      </c>
      <c r="AN507" s="2216"/>
      <c r="AO507" s="2217"/>
      <c r="AP507" s="2209">
        <f t="shared" si="151"/>
        <v>3980</v>
      </c>
      <c r="AQ507" s="2210"/>
      <c r="AR507" s="2211"/>
      <c r="AS507" s="2203">
        <f ca="1">SUMIF(床・天井!T$6:T$89,F507,床・天井!I$6:I$89)+SUMIF(見積拾!C$112:D$116,F507,見積拾!T$112:T$116)</f>
        <v>0</v>
      </c>
      <c r="AT507" s="2204"/>
      <c r="AU507" s="2204"/>
      <c r="AV507" s="2205"/>
      <c r="AW507" s="2206">
        <f t="shared" ca="1" si="152"/>
        <v>0</v>
      </c>
      <c r="AX507" s="2207"/>
      <c r="AY507" s="2207"/>
      <c r="AZ507" s="2208"/>
      <c r="BA507" s="2200"/>
      <c r="BB507" s="956" t="b">
        <f t="shared" ca="1" si="153"/>
        <v>0</v>
      </c>
    </row>
    <row r="508" spans="2:54" ht="13.5" customHeight="1">
      <c r="B508" s="2445"/>
      <c r="C508" s="2521"/>
      <c r="D508" s="2500"/>
      <c r="E508" s="519" t="s">
        <v>777</v>
      </c>
      <c r="F508" s="2210" t="s">
        <v>1364</v>
      </c>
      <c r="G508" s="2210"/>
      <c r="H508" s="2210"/>
      <c r="I508" s="2210"/>
      <c r="J508" s="2210"/>
      <c r="K508" s="2210"/>
      <c r="L508" s="2210"/>
      <c r="M508" s="2210"/>
      <c r="N508" s="2210"/>
      <c r="O508" s="2210"/>
      <c r="P508" s="2211"/>
      <c r="Q508" s="2257">
        <v>5280</v>
      </c>
      <c r="R508" s="2224"/>
      <c r="S508" s="2224"/>
      <c r="T508" s="508" t="s">
        <v>1292</v>
      </c>
      <c r="U508" s="2224">
        <v>1540</v>
      </c>
      <c r="V508" s="2224"/>
      <c r="W508" s="2224"/>
      <c r="X508" s="508" t="s">
        <v>779</v>
      </c>
      <c r="Y508" s="2224">
        <v>2336</v>
      </c>
      <c r="Z508" s="2224"/>
      <c r="AA508" s="2224"/>
      <c r="AB508" s="511" t="s">
        <v>1037</v>
      </c>
      <c r="AC508" s="2224"/>
      <c r="AD508" s="2224"/>
      <c r="AE508" s="2224"/>
      <c r="AF508" s="507" t="s">
        <v>1037</v>
      </c>
      <c r="AG508" s="2224"/>
      <c r="AH508" s="2224"/>
      <c r="AI508" s="2226"/>
      <c r="AJ508" s="2212">
        <f t="shared" si="150"/>
        <v>9150</v>
      </c>
      <c r="AK508" s="2213"/>
      <c r="AL508" s="2214"/>
      <c r="AM508" s="2215">
        <v>1</v>
      </c>
      <c r="AN508" s="2216"/>
      <c r="AO508" s="2217"/>
      <c r="AP508" s="2209">
        <f t="shared" si="151"/>
        <v>9150</v>
      </c>
      <c r="AQ508" s="2210"/>
      <c r="AR508" s="2211"/>
      <c r="AS508" s="2203">
        <f ca="1">SUMIF(床・天井!T$6:T$89,F508,床・天井!I$6:I$89)+SUMIF(見積拾!C$112:D$116,F508,見積拾!T$112:T$116)</f>
        <v>0</v>
      </c>
      <c r="AT508" s="2204"/>
      <c r="AU508" s="2204"/>
      <c r="AV508" s="2205"/>
      <c r="AW508" s="2206">
        <f t="shared" ca="1" si="152"/>
        <v>0</v>
      </c>
      <c r="AX508" s="2207"/>
      <c r="AY508" s="2207"/>
      <c r="AZ508" s="2208"/>
      <c r="BA508" s="2200"/>
      <c r="BB508" s="956" t="b">
        <f t="shared" ca="1" si="153"/>
        <v>0</v>
      </c>
    </row>
    <row r="509" spans="2:54" ht="13.5" customHeight="1">
      <c r="B509" s="2445"/>
      <c r="C509" s="2521"/>
      <c r="D509" s="2500"/>
      <c r="E509" s="519" t="s">
        <v>777</v>
      </c>
      <c r="F509" s="2210" t="s">
        <v>1365</v>
      </c>
      <c r="G509" s="2210"/>
      <c r="H509" s="2210"/>
      <c r="I509" s="2210"/>
      <c r="J509" s="2210"/>
      <c r="K509" s="2210"/>
      <c r="L509" s="2210"/>
      <c r="M509" s="2210"/>
      <c r="N509" s="2210"/>
      <c r="O509" s="2210"/>
      <c r="P509" s="2211"/>
      <c r="Q509" s="2257">
        <v>2750</v>
      </c>
      <c r="R509" s="2224"/>
      <c r="S509" s="2224"/>
      <c r="T509" s="508" t="s">
        <v>1292</v>
      </c>
      <c r="U509" s="2225" t="s">
        <v>1031</v>
      </c>
      <c r="V509" s="2225"/>
      <c r="W509" s="2225"/>
      <c r="X509" s="508" t="s">
        <v>779</v>
      </c>
      <c r="Y509" s="2224">
        <v>2336</v>
      </c>
      <c r="Z509" s="2224"/>
      <c r="AA509" s="2224"/>
      <c r="AB509" s="511" t="s">
        <v>1037</v>
      </c>
      <c r="AC509" s="2224"/>
      <c r="AD509" s="2224"/>
      <c r="AE509" s="2224"/>
      <c r="AF509" s="507" t="s">
        <v>1037</v>
      </c>
      <c r="AG509" s="2224"/>
      <c r="AH509" s="2224"/>
      <c r="AI509" s="2226"/>
      <c r="AJ509" s="2212">
        <f t="shared" si="150"/>
        <v>5080</v>
      </c>
      <c r="AK509" s="2213"/>
      <c r="AL509" s="2214"/>
      <c r="AM509" s="2215">
        <v>1</v>
      </c>
      <c r="AN509" s="2216"/>
      <c r="AO509" s="2217"/>
      <c r="AP509" s="2209">
        <f t="shared" si="151"/>
        <v>5080</v>
      </c>
      <c r="AQ509" s="2210"/>
      <c r="AR509" s="2211"/>
      <c r="AS509" s="2203">
        <f ca="1">SUMIF(床・天井!T$6:T$89,F509,床・天井!I$6:I$89)+SUMIF(見積拾!C$112:D$116,F509,見積拾!T$112:T$116)</f>
        <v>0</v>
      </c>
      <c r="AT509" s="2204"/>
      <c r="AU509" s="2204"/>
      <c r="AV509" s="2205"/>
      <c r="AW509" s="2206">
        <f t="shared" ca="1" si="152"/>
        <v>0</v>
      </c>
      <c r="AX509" s="2207"/>
      <c r="AY509" s="2207"/>
      <c r="AZ509" s="2208"/>
      <c r="BA509" s="2200"/>
      <c r="BB509" s="956" t="b">
        <f t="shared" ca="1" si="153"/>
        <v>0</v>
      </c>
    </row>
    <row r="510" spans="2:54" ht="13.5" customHeight="1">
      <c r="B510" s="2445"/>
      <c r="C510" s="2521"/>
      <c r="D510" s="2500"/>
      <c r="E510" s="519" t="s">
        <v>777</v>
      </c>
      <c r="F510" s="2210" t="s">
        <v>1366</v>
      </c>
      <c r="G510" s="2210"/>
      <c r="H510" s="2210"/>
      <c r="I510" s="2210"/>
      <c r="J510" s="2210"/>
      <c r="K510" s="2210"/>
      <c r="L510" s="2210"/>
      <c r="M510" s="2210"/>
      <c r="N510" s="2210"/>
      <c r="O510" s="2210"/>
      <c r="P510" s="2211"/>
      <c r="Q510" s="2257">
        <v>950</v>
      </c>
      <c r="R510" s="2224"/>
      <c r="S510" s="2224"/>
      <c r="T510" s="508" t="s">
        <v>1292</v>
      </c>
      <c r="U510" s="2225" t="s">
        <v>1031</v>
      </c>
      <c r="V510" s="2225"/>
      <c r="W510" s="2225"/>
      <c r="X510" s="508" t="s">
        <v>779</v>
      </c>
      <c r="Y510" s="2224">
        <v>2336</v>
      </c>
      <c r="Z510" s="2224"/>
      <c r="AA510" s="2224"/>
      <c r="AB510" s="511" t="s">
        <v>1037</v>
      </c>
      <c r="AC510" s="2224"/>
      <c r="AD510" s="2224"/>
      <c r="AE510" s="2224"/>
      <c r="AF510" s="507" t="s">
        <v>1037</v>
      </c>
      <c r="AG510" s="2224"/>
      <c r="AH510" s="2224"/>
      <c r="AI510" s="2226"/>
      <c r="AJ510" s="2212">
        <f t="shared" si="150"/>
        <v>3280</v>
      </c>
      <c r="AK510" s="2213"/>
      <c r="AL510" s="2214"/>
      <c r="AM510" s="2215">
        <v>1</v>
      </c>
      <c r="AN510" s="2216"/>
      <c r="AO510" s="2217"/>
      <c r="AP510" s="2209">
        <f t="shared" si="151"/>
        <v>3280</v>
      </c>
      <c r="AQ510" s="2210"/>
      <c r="AR510" s="2211"/>
      <c r="AS510" s="2203">
        <f ca="1">SUMIF(床・天井!T$6:T$89,F510,床・天井!I$6:I$89)+SUMIF(見積拾!C$112:D$116,F510,見積拾!T$112:T$116)</f>
        <v>0</v>
      </c>
      <c r="AT510" s="2204"/>
      <c r="AU510" s="2204"/>
      <c r="AV510" s="2205"/>
      <c r="AW510" s="2206">
        <f t="shared" ca="1" si="152"/>
        <v>0</v>
      </c>
      <c r="AX510" s="2207"/>
      <c r="AY510" s="2207"/>
      <c r="AZ510" s="2208"/>
      <c r="BA510" s="2200"/>
      <c r="BB510" s="956" t="b">
        <f t="shared" ca="1" si="153"/>
        <v>0</v>
      </c>
    </row>
    <row r="511" spans="2:54" ht="13.5" customHeight="1">
      <c r="B511" s="2445"/>
      <c r="C511" s="2521"/>
      <c r="D511" s="2500"/>
      <c r="E511" s="519" t="s">
        <v>777</v>
      </c>
      <c r="F511" s="2210" t="s">
        <v>1352</v>
      </c>
      <c r="G511" s="2210"/>
      <c r="H511" s="2210"/>
      <c r="I511" s="2210"/>
      <c r="J511" s="2210"/>
      <c r="K511" s="2210"/>
      <c r="L511" s="2210"/>
      <c r="M511" s="2210"/>
      <c r="N511" s="2210"/>
      <c r="O511" s="2210"/>
      <c r="P511" s="2211"/>
      <c r="Q511" s="2257">
        <v>9220</v>
      </c>
      <c r="R511" s="2224"/>
      <c r="S511" s="2224"/>
      <c r="T511" s="508" t="s">
        <v>1292</v>
      </c>
      <c r="U511" s="2224">
        <v>7944</v>
      </c>
      <c r="V511" s="2224"/>
      <c r="W511" s="2224"/>
      <c r="X511" s="508" t="s">
        <v>779</v>
      </c>
      <c r="Y511" s="2224">
        <v>1376</v>
      </c>
      <c r="Z511" s="2224"/>
      <c r="AA511" s="2224"/>
      <c r="AB511" s="511" t="s">
        <v>1037</v>
      </c>
      <c r="AC511" s="2224"/>
      <c r="AD511" s="2224"/>
      <c r="AE511" s="2224"/>
      <c r="AF511" s="507" t="s">
        <v>1037</v>
      </c>
      <c r="AG511" s="2224"/>
      <c r="AH511" s="2224"/>
      <c r="AI511" s="2226"/>
      <c r="AJ511" s="2212">
        <f t="shared" si="150"/>
        <v>18540</v>
      </c>
      <c r="AK511" s="2213"/>
      <c r="AL511" s="2214"/>
      <c r="AM511" s="2215">
        <v>1</v>
      </c>
      <c r="AN511" s="2216"/>
      <c r="AO511" s="2217"/>
      <c r="AP511" s="2209">
        <f t="shared" si="151"/>
        <v>18540</v>
      </c>
      <c r="AQ511" s="2210"/>
      <c r="AR511" s="2211"/>
      <c r="AS511" s="2203">
        <f ca="1">SUMIF(床・天井!T$6:T$89,F511,床・天井!I$6:I$89)+SUMIF(見積拾!C$112:D$116,F511,見積拾!T$112:T$116)</f>
        <v>0</v>
      </c>
      <c r="AT511" s="2204"/>
      <c r="AU511" s="2204"/>
      <c r="AV511" s="2205"/>
      <c r="AW511" s="2206">
        <f t="shared" ca="1" si="152"/>
        <v>0</v>
      </c>
      <c r="AX511" s="2207"/>
      <c r="AY511" s="2207"/>
      <c r="AZ511" s="2208"/>
      <c r="BA511" s="2200"/>
      <c r="BB511" s="956" t="b">
        <f t="shared" ca="1" si="153"/>
        <v>0</v>
      </c>
    </row>
    <row r="512" spans="2:54" ht="13.5" customHeight="1">
      <c r="B512" s="2445"/>
      <c r="C512" s="2521"/>
      <c r="D512" s="2500"/>
      <c r="E512" s="519" t="s">
        <v>777</v>
      </c>
      <c r="F512" s="2210" t="s">
        <v>1353</v>
      </c>
      <c r="G512" s="2210"/>
      <c r="H512" s="2210"/>
      <c r="I512" s="2210"/>
      <c r="J512" s="2210"/>
      <c r="K512" s="2210"/>
      <c r="L512" s="2210"/>
      <c r="M512" s="2210"/>
      <c r="N512" s="2210"/>
      <c r="O512" s="2210"/>
      <c r="P512" s="2211"/>
      <c r="Q512" s="2257">
        <v>11208</v>
      </c>
      <c r="R512" s="2224"/>
      <c r="S512" s="2224"/>
      <c r="T512" s="508" t="s">
        <v>1292</v>
      </c>
      <c r="U512" s="2224">
        <v>2444</v>
      </c>
      <c r="V512" s="2224"/>
      <c r="W512" s="2224"/>
      <c r="X512" s="508" t="s">
        <v>779</v>
      </c>
      <c r="Y512" s="2224">
        <v>1376</v>
      </c>
      <c r="Z512" s="2224"/>
      <c r="AA512" s="2224"/>
      <c r="AB512" s="511" t="s">
        <v>1037</v>
      </c>
      <c r="AC512" s="2224"/>
      <c r="AD512" s="2224"/>
      <c r="AE512" s="2224"/>
      <c r="AF512" s="507" t="s">
        <v>1037</v>
      </c>
      <c r="AG512" s="2224"/>
      <c r="AH512" s="2224"/>
      <c r="AI512" s="2226"/>
      <c r="AJ512" s="2212">
        <f t="shared" si="150"/>
        <v>15020</v>
      </c>
      <c r="AK512" s="2213"/>
      <c r="AL512" s="2214"/>
      <c r="AM512" s="2215">
        <v>1</v>
      </c>
      <c r="AN512" s="2216"/>
      <c r="AO512" s="2217"/>
      <c r="AP512" s="2209">
        <f t="shared" si="151"/>
        <v>15020</v>
      </c>
      <c r="AQ512" s="2210"/>
      <c r="AR512" s="2211"/>
      <c r="AS512" s="2203">
        <f ca="1">SUMIF(床・天井!T$6:T$89,F512,床・天井!I$6:I$89)+SUMIF(見積拾!C$112:D$116,F512,見積拾!T$112:T$116)</f>
        <v>0</v>
      </c>
      <c r="AT512" s="2204"/>
      <c r="AU512" s="2204"/>
      <c r="AV512" s="2205"/>
      <c r="AW512" s="2206">
        <f t="shared" ca="1" si="152"/>
        <v>0</v>
      </c>
      <c r="AX512" s="2207"/>
      <c r="AY512" s="2207"/>
      <c r="AZ512" s="2208"/>
      <c r="BA512" s="2200"/>
      <c r="BB512" s="956" t="b">
        <f t="shared" ca="1" si="153"/>
        <v>0</v>
      </c>
    </row>
    <row r="513" spans="2:54" ht="13.5" customHeight="1">
      <c r="B513" s="2445"/>
      <c r="C513" s="2521"/>
      <c r="D513" s="2500"/>
      <c r="E513" s="519" t="s">
        <v>777</v>
      </c>
      <c r="F513" s="2210" t="s">
        <v>1351</v>
      </c>
      <c r="G513" s="2210"/>
      <c r="H513" s="2210"/>
      <c r="I513" s="2210"/>
      <c r="J513" s="2210"/>
      <c r="K513" s="2210"/>
      <c r="L513" s="2210"/>
      <c r="M513" s="2210"/>
      <c r="N513" s="2210"/>
      <c r="O513" s="2210"/>
      <c r="P513" s="2211"/>
      <c r="Q513" s="2257">
        <v>861</v>
      </c>
      <c r="R513" s="2224"/>
      <c r="S513" s="2224"/>
      <c r="T513" s="508" t="s">
        <v>1292</v>
      </c>
      <c r="U513" s="2224">
        <v>2444</v>
      </c>
      <c r="V513" s="2224"/>
      <c r="W513" s="2224"/>
      <c r="X513" s="508" t="s">
        <v>779</v>
      </c>
      <c r="Y513" s="2224">
        <v>1376</v>
      </c>
      <c r="Z513" s="2224"/>
      <c r="AA513" s="2224"/>
      <c r="AB513" s="511" t="s">
        <v>1037</v>
      </c>
      <c r="AC513" s="2224"/>
      <c r="AD513" s="2224"/>
      <c r="AE513" s="2224"/>
      <c r="AF513" s="507" t="s">
        <v>1037</v>
      </c>
      <c r="AG513" s="2224"/>
      <c r="AH513" s="2224"/>
      <c r="AI513" s="2226"/>
      <c r="AJ513" s="2212">
        <f t="shared" si="150"/>
        <v>4680</v>
      </c>
      <c r="AK513" s="2213"/>
      <c r="AL513" s="2214"/>
      <c r="AM513" s="2215">
        <v>1</v>
      </c>
      <c r="AN513" s="2216"/>
      <c r="AO513" s="2217"/>
      <c r="AP513" s="2209">
        <f t="shared" si="151"/>
        <v>4680</v>
      </c>
      <c r="AQ513" s="2210"/>
      <c r="AR513" s="2211"/>
      <c r="AS513" s="2203">
        <f ca="1">SUMIF(床・天井!T$6:T$89,F513,床・天井!I$6:I$89)+SUMIF(見積拾!C$112:D$116,F513,見積拾!T$112:T$116)</f>
        <v>0</v>
      </c>
      <c r="AT513" s="2204"/>
      <c r="AU513" s="2204"/>
      <c r="AV513" s="2205"/>
      <c r="AW513" s="2206">
        <f t="shared" ca="1" si="152"/>
        <v>0</v>
      </c>
      <c r="AX513" s="2207"/>
      <c r="AY513" s="2207"/>
      <c r="AZ513" s="2208"/>
      <c r="BA513" s="2200"/>
      <c r="BB513" s="956" t="b">
        <f t="shared" ca="1" si="153"/>
        <v>0</v>
      </c>
    </row>
    <row r="514" spans="2:54" ht="13.5" customHeight="1">
      <c r="B514" s="2445"/>
      <c r="C514" s="2521"/>
      <c r="D514" s="2500"/>
      <c r="E514" s="519" t="s">
        <v>777</v>
      </c>
      <c r="F514" s="2210" t="s">
        <v>1328</v>
      </c>
      <c r="G514" s="2210"/>
      <c r="H514" s="2210"/>
      <c r="I514" s="2210"/>
      <c r="J514" s="2210"/>
      <c r="K514" s="2210"/>
      <c r="L514" s="2210"/>
      <c r="M514" s="2210"/>
      <c r="N514" s="2210"/>
      <c r="O514" s="2210"/>
      <c r="P514" s="2211"/>
      <c r="Q514" s="2257">
        <v>22500</v>
      </c>
      <c r="R514" s="2224"/>
      <c r="S514" s="2224"/>
      <c r="T514" s="508" t="s">
        <v>1292</v>
      </c>
      <c r="U514" s="2224">
        <v>9166</v>
      </c>
      <c r="V514" s="2224"/>
      <c r="W514" s="2224"/>
      <c r="X514" s="508" t="s">
        <v>779</v>
      </c>
      <c r="Y514" s="2224">
        <v>1376</v>
      </c>
      <c r="Z514" s="2224"/>
      <c r="AA514" s="2224"/>
      <c r="AB514" s="511" t="s">
        <v>1037</v>
      </c>
      <c r="AC514" s="2224"/>
      <c r="AD514" s="2224"/>
      <c r="AE514" s="2224"/>
      <c r="AF514" s="507" t="s">
        <v>1037</v>
      </c>
      <c r="AG514" s="2224"/>
      <c r="AH514" s="2224"/>
      <c r="AI514" s="2226"/>
      <c r="AJ514" s="2212">
        <f t="shared" si="150"/>
        <v>33040</v>
      </c>
      <c r="AK514" s="2213"/>
      <c r="AL514" s="2214"/>
      <c r="AM514" s="2215">
        <v>1</v>
      </c>
      <c r="AN514" s="2216"/>
      <c r="AO514" s="2217"/>
      <c r="AP514" s="2209">
        <f t="shared" si="151"/>
        <v>33040</v>
      </c>
      <c r="AQ514" s="2210"/>
      <c r="AR514" s="2211"/>
      <c r="AS514" s="2203">
        <f ca="1">SUMIF(床・天井!T$6:T$89,F514,床・天井!I$6:I$89)+SUMIF(見積拾!C$112:D$116,F514,見積拾!T$112:T$116)</f>
        <v>0</v>
      </c>
      <c r="AT514" s="2204"/>
      <c r="AU514" s="2204"/>
      <c r="AV514" s="2205"/>
      <c r="AW514" s="2206">
        <f t="shared" ca="1" si="152"/>
        <v>0</v>
      </c>
      <c r="AX514" s="2207"/>
      <c r="AY514" s="2207"/>
      <c r="AZ514" s="2208"/>
      <c r="BA514" s="2200"/>
      <c r="BB514" s="956" t="b">
        <f t="shared" ca="1" si="153"/>
        <v>0</v>
      </c>
    </row>
    <row r="515" spans="2:54" ht="13.5" customHeight="1">
      <c r="B515" s="2445"/>
      <c r="C515" s="2521"/>
      <c r="D515" s="2500"/>
      <c r="E515" s="519" t="s">
        <v>777</v>
      </c>
      <c r="F515" s="2210" t="s">
        <v>1329</v>
      </c>
      <c r="G515" s="2210"/>
      <c r="H515" s="2210"/>
      <c r="I515" s="2210"/>
      <c r="J515" s="2210"/>
      <c r="K515" s="2210"/>
      <c r="L515" s="2210"/>
      <c r="M515" s="2210"/>
      <c r="N515" s="2210"/>
      <c r="O515" s="2210"/>
      <c r="P515" s="2211"/>
      <c r="Q515" s="2257">
        <v>2534</v>
      </c>
      <c r="R515" s="2224"/>
      <c r="S515" s="2224"/>
      <c r="T515" s="508" t="s">
        <v>1292</v>
      </c>
      <c r="U515" s="2224">
        <v>7420</v>
      </c>
      <c r="V515" s="2224"/>
      <c r="W515" s="2224"/>
      <c r="X515" s="508" t="s">
        <v>779</v>
      </c>
      <c r="Y515" s="2224">
        <v>1376</v>
      </c>
      <c r="Z515" s="2224"/>
      <c r="AA515" s="2224"/>
      <c r="AB515" s="511" t="s">
        <v>1037</v>
      </c>
      <c r="AC515" s="2224"/>
      <c r="AD515" s="2224"/>
      <c r="AE515" s="2224"/>
      <c r="AF515" s="507" t="s">
        <v>1037</v>
      </c>
      <c r="AG515" s="2224"/>
      <c r="AH515" s="2224"/>
      <c r="AI515" s="2226"/>
      <c r="AJ515" s="2212">
        <f t="shared" si="150"/>
        <v>11330</v>
      </c>
      <c r="AK515" s="2213"/>
      <c r="AL515" s="2214"/>
      <c r="AM515" s="2215">
        <v>1</v>
      </c>
      <c r="AN515" s="2216"/>
      <c r="AO515" s="2217"/>
      <c r="AP515" s="2209">
        <f t="shared" si="151"/>
        <v>11330</v>
      </c>
      <c r="AQ515" s="2210"/>
      <c r="AR515" s="2211"/>
      <c r="AS515" s="2203">
        <f ca="1">SUMIF(床・天井!T$6:T$89,F515,床・天井!I$6:I$89)+SUMIF(見積拾!C$112:D$116,F515,見積拾!T$112:T$116)</f>
        <v>0</v>
      </c>
      <c r="AT515" s="2204"/>
      <c r="AU515" s="2204"/>
      <c r="AV515" s="2205"/>
      <c r="AW515" s="2206">
        <f t="shared" ca="1" si="152"/>
        <v>0</v>
      </c>
      <c r="AX515" s="2207"/>
      <c r="AY515" s="2207"/>
      <c r="AZ515" s="2208"/>
      <c r="BA515" s="2200"/>
      <c r="BB515" s="956" t="b">
        <f t="shared" ca="1" si="153"/>
        <v>0</v>
      </c>
    </row>
    <row r="516" spans="2:54" ht="13.5" customHeight="1">
      <c r="B516" s="2445"/>
      <c r="C516" s="2521"/>
      <c r="D516" s="2500"/>
      <c r="E516" s="519" t="s">
        <v>777</v>
      </c>
      <c r="F516" s="2210" t="s">
        <v>1330</v>
      </c>
      <c r="G516" s="2210"/>
      <c r="H516" s="2210"/>
      <c r="I516" s="2210"/>
      <c r="J516" s="2210"/>
      <c r="K516" s="2210"/>
      <c r="L516" s="2210"/>
      <c r="M516" s="2210"/>
      <c r="N516" s="2210"/>
      <c r="O516" s="2210"/>
      <c r="P516" s="2211"/>
      <c r="Q516" s="2257">
        <v>580</v>
      </c>
      <c r="R516" s="2224"/>
      <c r="S516" s="2224"/>
      <c r="T516" s="508" t="s">
        <v>1292</v>
      </c>
      <c r="U516" s="2224">
        <v>7420</v>
      </c>
      <c r="V516" s="2224"/>
      <c r="W516" s="2224"/>
      <c r="X516" s="508" t="s">
        <v>779</v>
      </c>
      <c r="Y516" s="2224">
        <v>1376</v>
      </c>
      <c r="Z516" s="2224"/>
      <c r="AA516" s="2224"/>
      <c r="AB516" s="511" t="s">
        <v>1037</v>
      </c>
      <c r="AC516" s="2224"/>
      <c r="AD516" s="2224"/>
      <c r="AE516" s="2224"/>
      <c r="AF516" s="507" t="s">
        <v>1037</v>
      </c>
      <c r="AG516" s="2224"/>
      <c r="AH516" s="2224"/>
      <c r="AI516" s="2226"/>
      <c r="AJ516" s="2212">
        <f t="shared" si="150"/>
        <v>9370</v>
      </c>
      <c r="AK516" s="2213"/>
      <c r="AL516" s="2214"/>
      <c r="AM516" s="2215">
        <v>1</v>
      </c>
      <c r="AN516" s="2216"/>
      <c r="AO516" s="2217"/>
      <c r="AP516" s="2209">
        <f t="shared" si="151"/>
        <v>9370</v>
      </c>
      <c r="AQ516" s="2210"/>
      <c r="AR516" s="2211"/>
      <c r="AS516" s="2203">
        <f ca="1">SUMIF(床・天井!T$6:T$89,F516,床・天井!I$6:I$89)+SUMIF(見積拾!C$112:D$116,F516,見積拾!T$112:T$116)</f>
        <v>0</v>
      </c>
      <c r="AT516" s="2204"/>
      <c r="AU516" s="2204"/>
      <c r="AV516" s="2205"/>
      <c r="AW516" s="2206">
        <f t="shared" ca="1" si="152"/>
        <v>0</v>
      </c>
      <c r="AX516" s="2207"/>
      <c r="AY516" s="2207"/>
      <c r="AZ516" s="2208"/>
      <c r="BA516" s="2200"/>
      <c r="BB516" s="956" t="b">
        <f t="shared" ca="1" si="153"/>
        <v>0</v>
      </c>
    </row>
    <row r="517" spans="2:54" ht="13.5" customHeight="1">
      <c r="B517" s="2445"/>
      <c r="C517" s="2521"/>
      <c r="D517" s="2500"/>
      <c r="E517" s="519" t="s">
        <v>777</v>
      </c>
      <c r="F517" s="2210" t="s">
        <v>1331</v>
      </c>
      <c r="G517" s="2210"/>
      <c r="H517" s="2210"/>
      <c r="I517" s="2210"/>
      <c r="J517" s="2210"/>
      <c r="K517" s="2210"/>
      <c r="L517" s="2210"/>
      <c r="M517" s="2210"/>
      <c r="N517" s="2210"/>
      <c r="O517" s="2210"/>
      <c r="P517" s="2211"/>
      <c r="Q517" s="2257">
        <v>25161</v>
      </c>
      <c r="R517" s="2224"/>
      <c r="S517" s="2224"/>
      <c r="T517" s="508" t="s">
        <v>1292</v>
      </c>
      <c r="U517" s="2224">
        <v>9166</v>
      </c>
      <c r="V517" s="2224"/>
      <c r="W517" s="2224"/>
      <c r="X517" s="508" t="s">
        <v>779</v>
      </c>
      <c r="Y517" s="2224">
        <v>1376</v>
      </c>
      <c r="Z517" s="2224"/>
      <c r="AA517" s="2224"/>
      <c r="AB517" s="511" t="s">
        <v>1037</v>
      </c>
      <c r="AC517" s="2224"/>
      <c r="AD517" s="2224"/>
      <c r="AE517" s="2224"/>
      <c r="AF517" s="507" t="s">
        <v>1037</v>
      </c>
      <c r="AG517" s="2224"/>
      <c r="AH517" s="2224"/>
      <c r="AI517" s="2226"/>
      <c r="AJ517" s="2212">
        <f t="shared" si="150"/>
        <v>35700</v>
      </c>
      <c r="AK517" s="2213"/>
      <c r="AL517" s="2214"/>
      <c r="AM517" s="2215">
        <v>1</v>
      </c>
      <c r="AN517" s="2216"/>
      <c r="AO517" s="2217"/>
      <c r="AP517" s="2209">
        <f t="shared" si="151"/>
        <v>35700</v>
      </c>
      <c r="AQ517" s="2210"/>
      <c r="AR517" s="2211"/>
      <c r="AS517" s="2203">
        <f ca="1">SUMIF(床・天井!T$6:T$89,F517,床・天井!I$6:I$89)+SUMIF(見積拾!C$112:D$116,F517,見積拾!T$112:T$116)</f>
        <v>0</v>
      </c>
      <c r="AT517" s="2204"/>
      <c r="AU517" s="2204"/>
      <c r="AV517" s="2205"/>
      <c r="AW517" s="2206">
        <f t="shared" ca="1" si="152"/>
        <v>0</v>
      </c>
      <c r="AX517" s="2207"/>
      <c r="AY517" s="2207"/>
      <c r="AZ517" s="2208"/>
      <c r="BA517" s="2200"/>
      <c r="BB517" s="956" t="b">
        <f t="shared" ca="1" si="153"/>
        <v>0</v>
      </c>
    </row>
    <row r="518" spans="2:54" ht="13.5" customHeight="1">
      <c r="B518" s="2445"/>
      <c r="C518" s="2521"/>
      <c r="D518" s="2500"/>
      <c r="E518" s="519" t="s">
        <v>777</v>
      </c>
      <c r="F518" s="2210" t="s">
        <v>1108</v>
      </c>
      <c r="G518" s="2210"/>
      <c r="H518" s="2210"/>
      <c r="I518" s="2210"/>
      <c r="J518" s="2210"/>
      <c r="K518" s="2210"/>
      <c r="L518" s="2210"/>
      <c r="M518" s="2210"/>
      <c r="N518" s="2210"/>
      <c r="O518" s="2210"/>
      <c r="P518" s="2211"/>
      <c r="Q518" s="2257">
        <v>4450</v>
      </c>
      <c r="R518" s="2224"/>
      <c r="S518" s="2224"/>
      <c r="T518" s="508" t="s">
        <v>1292</v>
      </c>
      <c r="U518" s="2225" t="s">
        <v>1031</v>
      </c>
      <c r="V518" s="2225"/>
      <c r="W518" s="2225"/>
      <c r="X518" s="508" t="s">
        <v>779</v>
      </c>
      <c r="Y518" s="2322" t="s">
        <v>1032</v>
      </c>
      <c r="Z518" s="2322"/>
      <c r="AA518" s="2322"/>
      <c r="AB518" s="511" t="s">
        <v>1037</v>
      </c>
      <c r="AC518" s="2224"/>
      <c r="AD518" s="2224"/>
      <c r="AE518" s="2224"/>
      <c r="AF518" s="507" t="s">
        <v>1037</v>
      </c>
      <c r="AG518" s="2224"/>
      <c r="AH518" s="2224"/>
      <c r="AI518" s="2226"/>
      <c r="AJ518" s="2212">
        <f t="shared" si="150"/>
        <v>4450</v>
      </c>
      <c r="AK518" s="2213"/>
      <c r="AL518" s="2214"/>
      <c r="AM518" s="2215">
        <v>1</v>
      </c>
      <c r="AN518" s="2216"/>
      <c r="AO518" s="2217"/>
      <c r="AP518" s="2209">
        <f t="shared" si="151"/>
        <v>4450</v>
      </c>
      <c r="AQ518" s="2210"/>
      <c r="AR518" s="2211"/>
      <c r="AS518" s="2203">
        <f ca="1">SUMIF(床・天井!T$6:T$89,F518,床・天井!I$6:I$89)+SUMIF(見積拾!C$112:D$116,F518,見積拾!T$112:T$116)</f>
        <v>0</v>
      </c>
      <c r="AT518" s="2204"/>
      <c r="AU518" s="2204"/>
      <c r="AV518" s="2205"/>
      <c r="AW518" s="2206">
        <f t="shared" ca="1" si="152"/>
        <v>0</v>
      </c>
      <c r="AX518" s="2207"/>
      <c r="AY518" s="2207"/>
      <c r="AZ518" s="2208"/>
      <c r="BA518" s="2200"/>
      <c r="BB518" s="956" t="b">
        <f t="shared" ca="1" si="153"/>
        <v>0</v>
      </c>
    </row>
    <row r="519" spans="2:54" ht="13.5" customHeight="1">
      <c r="B519" s="2445"/>
      <c r="C519" s="2521"/>
      <c r="D519" s="2500"/>
      <c r="E519" s="519" t="s">
        <v>777</v>
      </c>
      <c r="F519" s="2210" t="s">
        <v>1404</v>
      </c>
      <c r="G519" s="2210"/>
      <c r="H519" s="2210"/>
      <c r="I519" s="2210"/>
      <c r="J519" s="2210"/>
      <c r="K519" s="2210"/>
      <c r="L519" s="2210"/>
      <c r="M519" s="2210"/>
      <c r="N519" s="2210"/>
      <c r="O519" s="2210"/>
      <c r="P519" s="2211"/>
      <c r="Q519" s="2257">
        <v>6130</v>
      </c>
      <c r="R519" s="2224"/>
      <c r="S519" s="2224"/>
      <c r="T519" s="508" t="s">
        <v>1292</v>
      </c>
      <c r="U519" s="2225" t="s">
        <v>1031</v>
      </c>
      <c r="V519" s="2225"/>
      <c r="W519" s="2225"/>
      <c r="X519" s="508" t="s">
        <v>779</v>
      </c>
      <c r="Y519" s="2322" t="s">
        <v>1032</v>
      </c>
      <c r="Z519" s="2322"/>
      <c r="AA519" s="2322"/>
      <c r="AB519" s="511" t="s">
        <v>1037</v>
      </c>
      <c r="AC519" s="2224"/>
      <c r="AD519" s="2224"/>
      <c r="AE519" s="2224"/>
      <c r="AF519" s="507" t="s">
        <v>1037</v>
      </c>
      <c r="AG519" s="2224"/>
      <c r="AH519" s="2224"/>
      <c r="AI519" s="2226"/>
      <c r="AJ519" s="2212">
        <f t="shared" ref="AJ519:AJ531" si="154">ROUNDDOWN(SUM(Q519:AI519),-1)</f>
        <v>6130</v>
      </c>
      <c r="AK519" s="2213"/>
      <c r="AL519" s="2214"/>
      <c r="AM519" s="2215">
        <v>1</v>
      </c>
      <c r="AN519" s="2216"/>
      <c r="AO519" s="2217"/>
      <c r="AP519" s="2209">
        <f t="shared" ref="AP519:AP531" si="155">INT(AJ519*AM519)</f>
        <v>6130</v>
      </c>
      <c r="AQ519" s="2210"/>
      <c r="AR519" s="2211"/>
      <c r="AS519" s="2203">
        <f ca="1">SUMIF(床・天井!T$6:T$89,F519,床・天井!I$6:I$89)+SUMIF(見積拾!C$112:D$116,F519,見積拾!T$112:T$116)</f>
        <v>0</v>
      </c>
      <c r="AT519" s="2204"/>
      <c r="AU519" s="2204"/>
      <c r="AV519" s="2205"/>
      <c r="AW519" s="2206">
        <f t="shared" ref="AW519:AW531" ca="1" si="156">INT(AP519*AS519)</f>
        <v>0</v>
      </c>
      <c r="AX519" s="2207"/>
      <c r="AY519" s="2207"/>
      <c r="AZ519" s="2208"/>
      <c r="BA519" s="2200"/>
      <c r="BB519" s="956" t="b">
        <f t="shared" ca="1" si="153"/>
        <v>0</v>
      </c>
    </row>
    <row r="520" spans="2:54" ht="13.5" customHeight="1">
      <c r="B520" s="2445"/>
      <c r="C520" s="2521"/>
      <c r="D520" s="2500"/>
      <c r="E520" s="519" t="s">
        <v>777</v>
      </c>
      <c r="F520" s="2210" t="s">
        <v>1405</v>
      </c>
      <c r="G520" s="2210"/>
      <c r="H520" s="2210"/>
      <c r="I520" s="2210"/>
      <c r="J520" s="2210"/>
      <c r="K520" s="2210"/>
      <c r="L520" s="2210"/>
      <c r="M520" s="2210"/>
      <c r="N520" s="2210"/>
      <c r="O520" s="2210"/>
      <c r="P520" s="2211"/>
      <c r="Q520" s="2257">
        <v>59862</v>
      </c>
      <c r="R520" s="2224"/>
      <c r="S520" s="2224"/>
      <c r="T520" s="508" t="s">
        <v>1292</v>
      </c>
      <c r="U520" s="2225" t="s">
        <v>1031</v>
      </c>
      <c r="V520" s="2225"/>
      <c r="W520" s="2225"/>
      <c r="X520" s="508" t="s">
        <v>779</v>
      </c>
      <c r="Y520" s="2224">
        <v>4541</v>
      </c>
      <c r="Z520" s="2224"/>
      <c r="AA520" s="2224"/>
      <c r="AB520" s="511" t="s">
        <v>1037</v>
      </c>
      <c r="AC520" s="2224"/>
      <c r="AD520" s="2224"/>
      <c r="AE520" s="2224"/>
      <c r="AF520" s="507" t="s">
        <v>1037</v>
      </c>
      <c r="AG520" s="2224"/>
      <c r="AH520" s="2224"/>
      <c r="AI520" s="2226"/>
      <c r="AJ520" s="2212">
        <f t="shared" si="154"/>
        <v>64400</v>
      </c>
      <c r="AK520" s="2213"/>
      <c r="AL520" s="2214"/>
      <c r="AM520" s="2215">
        <v>1</v>
      </c>
      <c r="AN520" s="2216"/>
      <c r="AO520" s="2217"/>
      <c r="AP520" s="2209">
        <f t="shared" si="155"/>
        <v>64400</v>
      </c>
      <c r="AQ520" s="2210"/>
      <c r="AR520" s="2211"/>
      <c r="AS520" s="2203">
        <f ca="1">SUMIF(床・天井!T$6:T$89,F520,床・天井!I$6:I$89)+SUMIF(見積拾!C$112:D$116,F520,見積拾!T$112:T$116)</f>
        <v>0</v>
      </c>
      <c r="AT520" s="2204"/>
      <c r="AU520" s="2204"/>
      <c r="AV520" s="2205"/>
      <c r="AW520" s="2206">
        <f t="shared" ca="1" si="156"/>
        <v>0</v>
      </c>
      <c r="AX520" s="2207"/>
      <c r="AY520" s="2207"/>
      <c r="AZ520" s="2208"/>
      <c r="BA520" s="2200"/>
      <c r="BB520" s="956" t="b">
        <f t="shared" ref="BB520:BB531" ca="1" si="157">AW520&lt;&gt;0</f>
        <v>0</v>
      </c>
    </row>
    <row r="521" spans="2:54" ht="13.5" customHeight="1">
      <c r="B521" s="2445"/>
      <c r="C521" s="2521"/>
      <c r="D521" s="2500"/>
      <c r="E521" s="519" t="s">
        <v>777</v>
      </c>
      <c r="F521" s="2210" t="s">
        <v>1406</v>
      </c>
      <c r="G521" s="2210"/>
      <c r="H521" s="2210"/>
      <c r="I521" s="2210"/>
      <c r="J521" s="2210"/>
      <c r="K521" s="2210"/>
      <c r="L521" s="2210"/>
      <c r="M521" s="2210"/>
      <c r="N521" s="2210"/>
      <c r="O521" s="2210"/>
      <c r="P521" s="2211"/>
      <c r="Q521" s="2257">
        <v>18824</v>
      </c>
      <c r="R521" s="2224"/>
      <c r="S521" s="2224"/>
      <c r="T521" s="508" t="s">
        <v>1292</v>
      </c>
      <c r="U521" s="2225" t="s">
        <v>1031</v>
      </c>
      <c r="V521" s="2225"/>
      <c r="W521" s="2225"/>
      <c r="X521" s="508" t="s">
        <v>779</v>
      </c>
      <c r="Y521" s="2224">
        <v>4541</v>
      </c>
      <c r="Z521" s="2224"/>
      <c r="AA521" s="2224"/>
      <c r="AB521" s="511" t="s">
        <v>1037</v>
      </c>
      <c r="AC521" s="2224"/>
      <c r="AD521" s="2224"/>
      <c r="AE521" s="2224"/>
      <c r="AF521" s="507" t="s">
        <v>1037</v>
      </c>
      <c r="AG521" s="2224"/>
      <c r="AH521" s="2224"/>
      <c r="AI521" s="2226"/>
      <c r="AJ521" s="2212">
        <f t="shared" si="154"/>
        <v>23360</v>
      </c>
      <c r="AK521" s="2213"/>
      <c r="AL521" s="2214"/>
      <c r="AM521" s="2215">
        <v>1</v>
      </c>
      <c r="AN521" s="2216"/>
      <c r="AO521" s="2217"/>
      <c r="AP521" s="2209">
        <f t="shared" si="155"/>
        <v>23360</v>
      </c>
      <c r="AQ521" s="2210"/>
      <c r="AR521" s="2211"/>
      <c r="AS521" s="2203">
        <f ca="1">SUMIF(床・天井!T$6:T$89,F521,床・天井!I$6:I$89)+SUMIF(見積拾!C$112:D$116,F521,見積拾!T$112:T$116)</f>
        <v>0</v>
      </c>
      <c r="AT521" s="2204"/>
      <c r="AU521" s="2204"/>
      <c r="AV521" s="2205"/>
      <c r="AW521" s="2206">
        <f t="shared" ca="1" si="156"/>
        <v>0</v>
      </c>
      <c r="AX521" s="2207"/>
      <c r="AY521" s="2207"/>
      <c r="AZ521" s="2208"/>
      <c r="BA521" s="2200"/>
      <c r="BB521" s="956" t="b">
        <f t="shared" ca="1" si="157"/>
        <v>0</v>
      </c>
    </row>
    <row r="522" spans="2:54" ht="13.5" customHeight="1">
      <c r="B522" s="2445"/>
      <c r="C522" s="2521"/>
      <c r="D522" s="2500"/>
      <c r="E522" s="519" t="s">
        <v>777</v>
      </c>
      <c r="F522" s="2210" t="s">
        <v>1407</v>
      </c>
      <c r="G522" s="2210"/>
      <c r="H522" s="2210"/>
      <c r="I522" s="2210"/>
      <c r="J522" s="2210"/>
      <c r="K522" s="2210"/>
      <c r="L522" s="2210"/>
      <c r="M522" s="2210"/>
      <c r="N522" s="2210"/>
      <c r="O522" s="2210"/>
      <c r="P522" s="2211"/>
      <c r="Q522" s="2257">
        <v>14735</v>
      </c>
      <c r="R522" s="2224"/>
      <c r="S522" s="2224"/>
      <c r="T522" s="508" t="s">
        <v>1292</v>
      </c>
      <c r="U522" s="2225" t="s">
        <v>1031</v>
      </c>
      <c r="V522" s="2225"/>
      <c r="W522" s="2225"/>
      <c r="X522" s="508" t="s">
        <v>779</v>
      </c>
      <c r="Y522" s="2224">
        <v>4541</v>
      </c>
      <c r="Z522" s="2224"/>
      <c r="AA522" s="2224"/>
      <c r="AB522" s="511" t="s">
        <v>1037</v>
      </c>
      <c r="AC522" s="2224"/>
      <c r="AD522" s="2224"/>
      <c r="AE522" s="2224"/>
      <c r="AF522" s="507" t="s">
        <v>1037</v>
      </c>
      <c r="AG522" s="2224"/>
      <c r="AH522" s="2224"/>
      <c r="AI522" s="2226"/>
      <c r="AJ522" s="2212">
        <f t="shared" si="154"/>
        <v>19270</v>
      </c>
      <c r="AK522" s="2213"/>
      <c r="AL522" s="2214"/>
      <c r="AM522" s="2215">
        <v>1</v>
      </c>
      <c r="AN522" s="2216"/>
      <c r="AO522" s="2217"/>
      <c r="AP522" s="2209">
        <f t="shared" si="155"/>
        <v>19270</v>
      </c>
      <c r="AQ522" s="2210"/>
      <c r="AR522" s="2211"/>
      <c r="AS522" s="2203">
        <f ca="1">SUMIF(床・天井!T$6:T$89,F522,床・天井!I$6:I$89)+SUMIF(見積拾!C$112:D$116,F522,見積拾!T$112:T$116)</f>
        <v>0</v>
      </c>
      <c r="AT522" s="2204"/>
      <c r="AU522" s="2204"/>
      <c r="AV522" s="2205"/>
      <c r="AW522" s="2206">
        <f t="shared" ca="1" si="156"/>
        <v>0</v>
      </c>
      <c r="AX522" s="2207"/>
      <c r="AY522" s="2207"/>
      <c r="AZ522" s="2208"/>
      <c r="BA522" s="2200"/>
      <c r="BB522" s="956" t="b">
        <f t="shared" ca="1" si="157"/>
        <v>0</v>
      </c>
    </row>
    <row r="523" spans="2:54" ht="13.5" customHeight="1">
      <c r="B523" s="2445"/>
      <c r="C523" s="2521"/>
      <c r="D523" s="2500"/>
      <c r="E523" s="519" t="s">
        <v>777</v>
      </c>
      <c r="F523" s="2210" t="s">
        <v>1323</v>
      </c>
      <c r="G523" s="2210"/>
      <c r="H523" s="2210"/>
      <c r="I523" s="2210"/>
      <c r="J523" s="2210"/>
      <c r="K523" s="2210"/>
      <c r="L523" s="2210"/>
      <c r="M523" s="2210"/>
      <c r="N523" s="2210"/>
      <c r="O523" s="2210"/>
      <c r="P523" s="2211"/>
      <c r="Q523" s="2315" t="s">
        <v>5686</v>
      </c>
      <c r="R523" s="2225"/>
      <c r="S523" s="2225"/>
      <c r="T523" s="508" t="s">
        <v>1292</v>
      </c>
      <c r="U523" s="2224">
        <v>4798</v>
      </c>
      <c r="V523" s="2224"/>
      <c r="W523" s="2224"/>
      <c r="X523" s="508" t="s">
        <v>779</v>
      </c>
      <c r="Y523" s="2224">
        <v>389</v>
      </c>
      <c r="Z523" s="2224"/>
      <c r="AA523" s="2224"/>
      <c r="AB523" s="511" t="s">
        <v>1037</v>
      </c>
      <c r="AC523" s="2224"/>
      <c r="AD523" s="2224"/>
      <c r="AE523" s="2224"/>
      <c r="AF523" s="507" t="s">
        <v>1037</v>
      </c>
      <c r="AG523" s="2224"/>
      <c r="AH523" s="2224"/>
      <c r="AI523" s="2226"/>
      <c r="AJ523" s="2212">
        <f t="shared" si="154"/>
        <v>5180</v>
      </c>
      <c r="AK523" s="2213"/>
      <c r="AL523" s="2214"/>
      <c r="AM523" s="2215">
        <v>1</v>
      </c>
      <c r="AN523" s="2216"/>
      <c r="AO523" s="2217"/>
      <c r="AP523" s="2209">
        <f t="shared" si="155"/>
        <v>5180</v>
      </c>
      <c r="AQ523" s="2210"/>
      <c r="AR523" s="2211"/>
      <c r="AS523" s="2203">
        <f ca="1">SUMIF(床・天井!T$6:T$89,F523,床・天井!I$6:I$89)+SUMIF(見積拾!C$112:D$116,F523,見積拾!T$112:T$116)</f>
        <v>0</v>
      </c>
      <c r="AT523" s="2204"/>
      <c r="AU523" s="2204"/>
      <c r="AV523" s="2205"/>
      <c r="AW523" s="2206">
        <f t="shared" ca="1" si="156"/>
        <v>0</v>
      </c>
      <c r="AX523" s="2207"/>
      <c r="AY523" s="2207"/>
      <c r="AZ523" s="2208"/>
      <c r="BA523" s="2200"/>
      <c r="BB523" s="956" t="b">
        <f t="shared" ca="1" si="157"/>
        <v>0</v>
      </c>
    </row>
    <row r="524" spans="2:54" ht="13.5" customHeight="1">
      <c r="B524" s="2445"/>
      <c r="C524" s="2521"/>
      <c r="D524" s="2500"/>
      <c r="E524" s="519" t="s">
        <v>777</v>
      </c>
      <c r="F524" s="2210" t="s">
        <v>1324</v>
      </c>
      <c r="G524" s="2210"/>
      <c r="H524" s="2210"/>
      <c r="I524" s="2210"/>
      <c r="J524" s="2210"/>
      <c r="K524" s="2210"/>
      <c r="L524" s="2210"/>
      <c r="M524" s="2210"/>
      <c r="N524" s="2210"/>
      <c r="O524" s="2210"/>
      <c r="P524" s="2211"/>
      <c r="Q524" s="2315" t="s">
        <v>5686</v>
      </c>
      <c r="R524" s="2225"/>
      <c r="S524" s="2225"/>
      <c r="T524" s="508" t="s">
        <v>1292</v>
      </c>
      <c r="U524" s="2224">
        <v>3890</v>
      </c>
      <c r="V524" s="2224"/>
      <c r="W524" s="2224"/>
      <c r="X524" s="508" t="s">
        <v>779</v>
      </c>
      <c r="Y524" s="2224">
        <v>339</v>
      </c>
      <c r="Z524" s="2224"/>
      <c r="AA524" s="2224"/>
      <c r="AB524" s="511" t="s">
        <v>1037</v>
      </c>
      <c r="AC524" s="2224"/>
      <c r="AD524" s="2224"/>
      <c r="AE524" s="2224"/>
      <c r="AF524" s="507" t="s">
        <v>1037</v>
      </c>
      <c r="AG524" s="2224"/>
      <c r="AH524" s="2224"/>
      <c r="AI524" s="2226"/>
      <c r="AJ524" s="2212">
        <f t="shared" si="154"/>
        <v>4220</v>
      </c>
      <c r="AK524" s="2213"/>
      <c r="AL524" s="2214"/>
      <c r="AM524" s="2215">
        <v>1</v>
      </c>
      <c r="AN524" s="2216"/>
      <c r="AO524" s="2217"/>
      <c r="AP524" s="2209">
        <f t="shared" si="155"/>
        <v>4220</v>
      </c>
      <c r="AQ524" s="2210"/>
      <c r="AR524" s="2211"/>
      <c r="AS524" s="2203">
        <f ca="1">SUMIF(床・天井!T$6:T$89,F524,床・天井!I$6:I$89)+SUMIF(見積拾!C$112:D$116,F524,見積拾!T$112:T$116)</f>
        <v>0</v>
      </c>
      <c r="AT524" s="2204"/>
      <c r="AU524" s="2204"/>
      <c r="AV524" s="2205"/>
      <c r="AW524" s="2206">
        <f t="shared" ca="1" si="156"/>
        <v>0</v>
      </c>
      <c r="AX524" s="2207"/>
      <c r="AY524" s="2207"/>
      <c r="AZ524" s="2208"/>
      <c r="BA524" s="2200"/>
      <c r="BB524" s="956" t="b">
        <f t="shared" ca="1" si="157"/>
        <v>0</v>
      </c>
    </row>
    <row r="525" spans="2:54" ht="13.5" customHeight="1">
      <c r="B525" s="2445"/>
      <c r="C525" s="2521"/>
      <c r="D525" s="2500"/>
      <c r="E525" s="519" t="s">
        <v>777</v>
      </c>
      <c r="F525" s="2210" t="s">
        <v>1408</v>
      </c>
      <c r="G525" s="2210"/>
      <c r="H525" s="2210"/>
      <c r="I525" s="2210"/>
      <c r="J525" s="2210"/>
      <c r="K525" s="2210"/>
      <c r="L525" s="2210"/>
      <c r="M525" s="2210"/>
      <c r="N525" s="2210"/>
      <c r="O525" s="2210"/>
      <c r="P525" s="2211"/>
      <c r="Q525" s="2257">
        <v>4830</v>
      </c>
      <c r="R525" s="2224"/>
      <c r="S525" s="2224"/>
      <c r="T525" s="508" t="s">
        <v>1292</v>
      </c>
      <c r="U525" s="2225" t="s">
        <v>1031</v>
      </c>
      <c r="V525" s="2225"/>
      <c r="W525" s="2225"/>
      <c r="X525" s="508" t="s">
        <v>779</v>
      </c>
      <c r="Y525" s="2224">
        <v>1376</v>
      </c>
      <c r="Z525" s="2224"/>
      <c r="AA525" s="2224"/>
      <c r="AB525" s="511" t="s">
        <v>1030</v>
      </c>
      <c r="AC525" s="2224"/>
      <c r="AD525" s="2224"/>
      <c r="AE525" s="2224"/>
      <c r="AF525" s="507" t="s">
        <v>1030</v>
      </c>
      <c r="AG525" s="2224"/>
      <c r="AH525" s="2224"/>
      <c r="AI525" s="2226"/>
      <c r="AJ525" s="2212">
        <f t="shared" ref="AJ525:AJ527" si="158">ROUNDDOWN(SUM(Q525:AI525),-1)</f>
        <v>6200</v>
      </c>
      <c r="AK525" s="2213"/>
      <c r="AL525" s="2214"/>
      <c r="AM525" s="2215">
        <v>1</v>
      </c>
      <c r="AN525" s="2216"/>
      <c r="AO525" s="2217"/>
      <c r="AP525" s="2209">
        <f t="shared" ref="AP525:AP527" si="159">INT(AJ525*AM525)</f>
        <v>6200</v>
      </c>
      <c r="AQ525" s="2210"/>
      <c r="AR525" s="2211"/>
      <c r="AS525" s="2203">
        <f ca="1">SUMIF(床・天井!T$6:T$89,F525,床・天井!I$6:I$89)+SUMIF(見積拾!C$112:D$116,F525,見積拾!T$112:T$116)</f>
        <v>0</v>
      </c>
      <c r="AT525" s="2204"/>
      <c r="AU525" s="2204"/>
      <c r="AV525" s="2205"/>
      <c r="AW525" s="2206">
        <f t="shared" ref="AW525:AW527" ca="1" si="160">INT(AP525*AS525)</f>
        <v>0</v>
      </c>
      <c r="AX525" s="2207"/>
      <c r="AY525" s="2207"/>
      <c r="AZ525" s="2208"/>
      <c r="BA525" s="2200"/>
      <c r="BB525" s="956" t="b">
        <f t="shared" ref="BB525:BB527" ca="1" si="161">AW525&lt;&gt;0</f>
        <v>0</v>
      </c>
    </row>
    <row r="526" spans="2:54" ht="13.5" customHeight="1">
      <c r="B526" s="2445"/>
      <c r="C526" s="2521"/>
      <c r="D526" s="2500"/>
      <c r="E526" s="519" t="s">
        <v>777</v>
      </c>
      <c r="F526" s="2210" t="s">
        <v>5678</v>
      </c>
      <c r="G526" s="2210"/>
      <c r="H526" s="2210"/>
      <c r="I526" s="2210"/>
      <c r="J526" s="2210"/>
      <c r="K526" s="2210"/>
      <c r="L526" s="2210"/>
      <c r="M526" s="2210"/>
      <c r="N526" s="2210"/>
      <c r="O526" s="2210"/>
      <c r="P526" s="2211"/>
      <c r="Q526" s="2257">
        <v>4820</v>
      </c>
      <c r="R526" s="2224"/>
      <c r="S526" s="2224"/>
      <c r="T526" s="508" t="s">
        <v>1292</v>
      </c>
      <c r="U526" s="2322" t="s">
        <v>1032</v>
      </c>
      <c r="V526" s="2322"/>
      <c r="W526" s="2322"/>
      <c r="X526" s="508" t="s">
        <v>779</v>
      </c>
      <c r="Y526" s="2322" t="s">
        <v>1032</v>
      </c>
      <c r="Z526" s="2322"/>
      <c r="AA526" s="2322"/>
      <c r="AB526" s="511" t="s">
        <v>1030</v>
      </c>
      <c r="AC526" s="2224"/>
      <c r="AD526" s="2224"/>
      <c r="AE526" s="2224"/>
      <c r="AF526" s="507" t="s">
        <v>1030</v>
      </c>
      <c r="AG526" s="2224"/>
      <c r="AH526" s="2224"/>
      <c r="AI526" s="2226"/>
      <c r="AJ526" s="2212">
        <f t="shared" si="158"/>
        <v>4820</v>
      </c>
      <c r="AK526" s="2213"/>
      <c r="AL526" s="2214"/>
      <c r="AM526" s="2215">
        <v>1</v>
      </c>
      <c r="AN526" s="2216"/>
      <c r="AO526" s="2217"/>
      <c r="AP526" s="2209">
        <f t="shared" si="159"/>
        <v>4820</v>
      </c>
      <c r="AQ526" s="2210"/>
      <c r="AR526" s="2211"/>
      <c r="AS526" s="2406">
        <f ca="1">IF(F526=床・天井!T$6,調書!E$10,SUMIF(床・天井!T$6:T$89,F526,床・天井!I$6:I$89)+SUMIF(見積拾!C$112:D$116,F526,見積拾!T$112:T$116))</f>
        <v>0</v>
      </c>
      <c r="AT526" s="2407"/>
      <c r="AU526" s="2407"/>
      <c r="AV526" s="2408"/>
      <c r="AW526" s="2206">
        <f t="shared" ca="1" si="160"/>
        <v>0</v>
      </c>
      <c r="AX526" s="2207"/>
      <c r="AY526" s="2207"/>
      <c r="AZ526" s="2208"/>
      <c r="BA526" s="2200"/>
      <c r="BB526" s="956" t="b">
        <f t="shared" ca="1" si="161"/>
        <v>0</v>
      </c>
    </row>
    <row r="527" spans="2:54" ht="13.5" customHeight="1">
      <c r="B527" s="2445"/>
      <c r="C527" s="2521"/>
      <c r="D527" s="2500"/>
      <c r="E527" s="519" t="s">
        <v>777</v>
      </c>
      <c r="F527" s="2210" t="s">
        <v>5679</v>
      </c>
      <c r="G527" s="2210"/>
      <c r="H527" s="2210"/>
      <c r="I527" s="2210"/>
      <c r="J527" s="2210"/>
      <c r="K527" s="2210"/>
      <c r="L527" s="2210"/>
      <c r="M527" s="2210"/>
      <c r="N527" s="2210"/>
      <c r="O527" s="2210"/>
      <c r="P527" s="2211"/>
      <c r="Q527" s="2257">
        <v>3420</v>
      </c>
      <c r="R527" s="2224"/>
      <c r="S527" s="2224"/>
      <c r="T527" s="508" t="s">
        <v>1292</v>
      </c>
      <c r="U527" s="2322" t="s">
        <v>1032</v>
      </c>
      <c r="V527" s="2322"/>
      <c r="W527" s="2322"/>
      <c r="X527" s="508" t="s">
        <v>779</v>
      </c>
      <c r="Y527" s="2322" t="s">
        <v>1032</v>
      </c>
      <c r="Z527" s="2322"/>
      <c r="AA527" s="2322"/>
      <c r="AB527" s="511" t="s">
        <v>1030</v>
      </c>
      <c r="AC527" s="2224"/>
      <c r="AD527" s="2224"/>
      <c r="AE527" s="2224"/>
      <c r="AF527" s="507" t="s">
        <v>1030</v>
      </c>
      <c r="AG527" s="2224"/>
      <c r="AH527" s="2224"/>
      <c r="AI527" s="2226"/>
      <c r="AJ527" s="2212">
        <f t="shared" si="158"/>
        <v>3420</v>
      </c>
      <c r="AK527" s="2213"/>
      <c r="AL527" s="2214"/>
      <c r="AM527" s="2215">
        <v>1</v>
      </c>
      <c r="AN527" s="2216"/>
      <c r="AO527" s="2217"/>
      <c r="AP527" s="2209">
        <f t="shared" si="159"/>
        <v>3420</v>
      </c>
      <c r="AQ527" s="2210"/>
      <c r="AR527" s="2211"/>
      <c r="AS527" s="2406">
        <f ca="1">IF(F527=床・天井!T$6,調書!E$10,SUMIF(床・天井!T$6:T$89,F527,床・天井!I$6:I$89)+SUMIF(見積拾!C$112:D$116,F527,見積拾!T$112:T$116))</f>
        <v>0</v>
      </c>
      <c r="AT527" s="2407"/>
      <c r="AU527" s="2407"/>
      <c r="AV527" s="2408"/>
      <c r="AW527" s="2206">
        <f t="shared" ca="1" si="160"/>
        <v>0</v>
      </c>
      <c r="AX527" s="2207"/>
      <c r="AY527" s="2207"/>
      <c r="AZ527" s="2208"/>
      <c r="BA527" s="2200"/>
      <c r="BB527" s="956" t="b">
        <f t="shared" ca="1" si="161"/>
        <v>0</v>
      </c>
    </row>
    <row r="528" spans="2:54" ht="13.5" customHeight="1">
      <c r="B528" s="2445"/>
      <c r="C528" s="2521"/>
      <c r="D528" s="2500"/>
      <c r="E528" s="519" t="s">
        <v>777</v>
      </c>
      <c r="F528" s="2210" t="s">
        <v>5680</v>
      </c>
      <c r="G528" s="2210"/>
      <c r="H528" s="2210"/>
      <c r="I528" s="2210"/>
      <c r="J528" s="2210"/>
      <c r="K528" s="2210"/>
      <c r="L528" s="2210"/>
      <c r="M528" s="2210"/>
      <c r="N528" s="2210"/>
      <c r="O528" s="2210"/>
      <c r="P528" s="2211"/>
      <c r="Q528" s="2257">
        <v>4750</v>
      </c>
      <c r="R528" s="2224"/>
      <c r="S528" s="2224"/>
      <c r="T528" s="508" t="s">
        <v>1292</v>
      </c>
      <c r="U528" s="2322" t="s">
        <v>1032</v>
      </c>
      <c r="V528" s="2322"/>
      <c r="W528" s="2322"/>
      <c r="X528" s="508" t="s">
        <v>779</v>
      </c>
      <c r="Y528" s="2322" t="s">
        <v>1032</v>
      </c>
      <c r="Z528" s="2322"/>
      <c r="AA528" s="2322"/>
      <c r="AB528" s="511" t="s">
        <v>1037</v>
      </c>
      <c r="AC528" s="2224"/>
      <c r="AD528" s="2224"/>
      <c r="AE528" s="2224"/>
      <c r="AF528" s="507" t="s">
        <v>1037</v>
      </c>
      <c r="AG528" s="2224"/>
      <c r="AH528" s="2224"/>
      <c r="AI528" s="2226"/>
      <c r="AJ528" s="2212">
        <f t="shared" si="154"/>
        <v>4750</v>
      </c>
      <c r="AK528" s="2213"/>
      <c r="AL528" s="2214"/>
      <c r="AM528" s="2215">
        <v>1</v>
      </c>
      <c r="AN528" s="2216"/>
      <c r="AO528" s="2217"/>
      <c r="AP528" s="2209">
        <f t="shared" si="155"/>
        <v>4750</v>
      </c>
      <c r="AQ528" s="2210"/>
      <c r="AR528" s="2211"/>
      <c r="AS528" s="2406">
        <f ca="1">IF(F528=床・天井!T$6,調書!E$10,SUMIF(床・天井!T$6:T$89,F528,床・天井!I$6:I$89)+SUMIF(見積拾!C$112:D$116,F528,見積拾!T$112:T$116))</f>
        <v>0</v>
      </c>
      <c r="AT528" s="2407"/>
      <c r="AU528" s="2407"/>
      <c r="AV528" s="2408"/>
      <c r="AW528" s="2206">
        <f t="shared" ca="1" si="156"/>
        <v>0</v>
      </c>
      <c r="AX528" s="2207"/>
      <c r="AY528" s="2207"/>
      <c r="AZ528" s="2208"/>
      <c r="BA528" s="2200"/>
      <c r="BB528" s="956" t="b">
        <f t="shared" ca="1" si="157"/>
        <v>0</v>
      </c>
    </row>
    <row r="529" spans="2:54" ht="13.5" customHeight="1">
      <c r="B529" s="2445"/>
      <c r="C529" s="2521"/>
      <c r="D529" s="2500"/>
      <c r="E529" s="1703" t="s">
        <v>339</v>
      </c>
      <c r="F529" s="2917" t="s">
        <v>782</v>
      </c>
      <c r="G529" s="2918"/>
      <c r="H529" s="2918"/>
      <c r="I529" s="2918"/>
      <c r="J529" s="2918"/>
      <c r="K529" s="2918"/>
      <c r="L529" s="2918"/>
      <c r="M529" s="2918"/>
      <c r="N529" s="2918"/>
      <c r="O529" s="2918"/>
      <c r="P529" s="2919"/>
      <c r="Q529" s="2916"/>
      <c r="R529" s="2330"/>
      <c r="S529" s="2330"/>
      <c r="T529" s="120" t="s">
        <v>40</v>
      </c>
      <c r="U529" s="2329"/>
      <c r="V529" s="2330"/>
      <c r="W529" s="2330"/>
      <c r="X529" s="120" t="s">
        <v>40</v>
      </c>
      <c r="Y529" s="2329"/>
      <c r="Z529" s="2330"/>
      <c r="AA529" s="2330"/>
      <c r="AB529" s="120" t="s">
        <v>40</v>
      </c>
      <c r="AC529" s="2329"/>
      <c r="AD529" s="2330"/>
      <c r="AE529" s="2330"/>
      <c r="AF529" s="120" t="s">
        <v>40</v>
      </c>
      <c r="AG529" s="2329"/>
      <c r="AH529" s="2330"/>
      <c r="AI529" s="2332"/>
      <c r="AJ529" s="2212">
        <f t="shared" si="154"/>
        <v>0</v>
      </c>
      <c r="AK529" s="2213"/>
      <c r="AL529" s="2214"/>
      <c r="AM529" s="2215">
        <v>1</v>
      </c>
      <c r="AN529" s="2216"/>
      <c r="AO529" s="2217"/>
      <c r="AP529" s="2209">
        <f t="shared" si="155"/>
        <v>0</v>
      </c>
      <c r="AQ529" s="2210"/>
      <c r="AR529" s="2211"/>
      <c r="AS529" s="2203">
        <f ca="1">SUMIF(床・天井!T$6:T$89,F529,床・天井!I$6:I$89)+SUMIF(見積拾!C$112:D$116,F529,見積拾!T$112:T$116)</f>
        <v>0</v>
      </c>
      <c r="AT529" s="2204"/>
      <c r="AU529" s="2204"/>
      <c r="AV529" s="2205"/>
      <c r="AW529" s="2206">
        <f t="shared" ca="1" si="156"/>
        <v>0</v>
      </c>
      <c r="AX529" s="2207"/>
      <c r="AY529" s="2207"/>
      <c r="AZ529" s="2208"/>
      <c r="BA529" s="2200"/>
      <c r="BB529" s="956" t="b">
        <f t="shared" ca="1" si="157"/>
        <v>0</v>
      </c>
    </row>
    <row r="530" spans="2:54" ht="13.5" customHeight="1">
      <c r="B530" s="2445"/>
      <c r="C530" s="2521"/>
      <c r="D530" s="2500"/>
      <c r="E530" s="1703" t="s">
        <v>339</v>
      </c>
      <c r="F530" s="2917" t="s">
        <v>782</v>
      </c>
      <c r="G530" s="2918"/>
      <c r="H530" s="2918"/>
      <c r="I530" s="2918"/>
      <c r="J530" s="2918"/>
      <c r="K530" s="2918"/>
      <c r="L530" s="2918"/>
      <c r="M530" s="2918"/>
      <c r="N530" s="2918"/>
      <c r="O530" s="2918"/>
      <c r="P530" s="2919"/>
      <c r="Q530" s="2916"/>
      <c r="R530" s="2330"/>
      <c r="S530" s="2330"/>
      <c r="T530" s="120" t="s">
        <v>40</v>
      </c>
      <c r="U530" s="2329"/>
      <c r="V530" s="2330"/>
      <c r="W530" s="2330"/>
      <c r="X530" s="120" t="s">
        <v>40</v>
      </c>
      <c r="Y530" s="2329"/>
      <c r="Z530" s="2330"/>
      <c r="AA530" s="2330"/>
      <c r="AB530" s="120" t="s">
        <v>40</v>
      </c>
      <c r="AC530" s="2329"/>
      <c r="AD530" s="2330"/>
      <c r="AE530" s="2330"/>
      <c r="AF530" s="120" t="s">
        <v>40</v>
      </c>
      <c r="AG530" s="2329"/>
      <c r="AH530" s="2330"/>
      <c r="AI530" s="2332"/>
      <c r="AJ530" s="2212">
        <f t="shared" si="154"/>
        <v>0</v>
      </c>
      <c r="AK530" s="2213"/>
      <c r="AL530" s="2214"/>
      <c r="AM530" s="2215">
        <v>1</v>
      </c>
      <c r="AN530" s="2216"/>
      <c r="AO530" s="2217"/>
      <c r="AP530" s="2209">
        <f t="shared" si="155"/>
        <v>0</v>
      </c>
      <c r="AQ530" s="2210"/>
      <c r="AR530" s="2211"/>
      <c r="AS530" s="2203">
        <f ca="1">SUMIF(床・天井!T$6:T$89,F530,床・天井!I$6:I$89)+SUMIF(見積拾!C$112:D$116,F530,見積拾!T$112:T$116)</f>
        <v>0</v>
      </c>
      <c r="AT530" s="2204"/>
      <c r="AU530" s="2204"/>
      <c r="AV530" s="2205"/>
      <c r="AW530" s="2206">
        <f t="shared" ca="1" si="156"/>
        <v>0</v>
      </c>
      <c r="AX530" s="2207"/>
      <c r="AY530" s="2207"/>
      <c r="AZ530" s="2208"/>
      <c r="BA530" s="2200"/>
      <c r="BB530" s="956" t="b">
        <f t="shared" ca="1" si="157"/>
        <v>0</v>
      </c>
    </row>
    <row r="531" spans="2:54" ht="13.5" customHeight="1">
      <c r="B531" s="2445"/>
      <c r="C531" s="2521"/>
      <c r="D531" s="2500"/>
      <c r="E531" s="1703" t="s">
        <v>339</v>
      </c>
      <c r="F531" s="2917" t="s">
        <v>782</v>
      </c>
      <c r="G531" s="2918"/>
      <c r="H531" s="2918"/>
      <c r="I531" s="2918"/>
      <c r="J531" s="2918"/>
      <c r="K531" s="2918"/>
      <c r="L531" s="2918"/>
      <c r="M531" s="2918"/>
      <c r="N531" s="2918"/>
      <c r="O531" s="2918"/>
      <c r="P531" s="2919"/>
      <c r="Q531" s="2916"/>
      <c r="R531" s="2330"/>
      <c r="S531" s="2330"/>
      <c r="T531" s="120" t="s">
        <v>40</v>
      </c>
      <c r="U531" s="2329"/>
      <c r="V531" s="2330"/>
      <c r="W531" s="2330"/>
      <c r="X531" s="120" t="s">
        <v>40</v>
      </c>
      <c r="Y531" s="2329"/>
      <c r="Z531" s="2330"/>
      <c r="AA531" s="2330"/>
      <c r="AB531" s="120" t="s">
        <v>40</v>
      </c>
      <c r="AC531" s="2329"/>
      <c r="AD531" s="2330"/>
      <c r="AE531" s="2330"/>
      <c r="AF531" s="120" t="s">
        <v>40</v>
      </c>
      <c r="AG531" s="2329"/>
      <c r="AH531" s="2330"/>
      <c r="AI531" s="2332"/>
      <c r="AJ531" s="2212">
        <f t="shared" si="154"/>
        <v>0</v>
      </c>
      <c r="AK531" s="2213"/>
      <c r="AL531" s="2214"/>
      <c r="AM531" s="2215">
        <v>1</v>
      </c>
      <c r="AN531" s="2216"/>
      <c r="AO531" s="2217"/>
      <c r="AP531" s="2209">
        <f t="shared" si="155"/>
        <v>0</v>
      </c>
      <c r="AQ531" s="2210"/>
      <c r="AR531" s="2211"/>
      <c r="AS531" s="2203">
        <f ca="1">SUMIF(床・天井!T$6:T$89,F531,床・天井!I$6:I$89)+SUMIF(見積拾!C$112:D$116,F531,見積拾!T$112:T$116)</f>
        <v>0</v>
      </c>
      <c r="AT531" s="2204"/>
      <c r="AU531" s="2204"/>
      <c r="AV531" s="2205"/>
      <c r="AW531" s="2206">
        <f t="shared" ca="1" si="156"/>
        <v>0</v>
      </c>
      <c r="AX531" s="2207"/>
      <c r="AY531" s="2207"/>
      <c r="AZ531" s="2208"/>
      <c r="BA531" s="2200"/>
      <c r="BB531" s="956" t="b">
        <f t="shared" ca="1" si="157"/>
        <v>0</v>
      </c>
    </row>
    <row r="532" spans="2:54" ht="13.5" customHeight="1">
      <c r="B532" s="2445"/>
      <c r="C532" s="2521"/>
      <c r="D532" s="2500"/>
      <c r="E532" s="1703" t="s">
        <v>799</v>
      </c>
      <c r="F532" s="2917" t="s">
        <v>782</v>
      </c>
      <c r="G532" s="2918"/>
      <c r="H532" s="2918"/>
      <c r="I532" s="2918"/>
      <c r="J532" s="2918"/>
      <c r="K532" s="2918"/>
      <c r="L532" s="2918"/>
      <c r="M532" s="2918"/>
      <c r="N532" s="2918"/>
      <c r="O532" s="2918"/>
      <c r="P532" s="2919"/>
      <c r="Q532" s="2916"/>
      <c r="R532" s="2330"/>
      <c r="S532" s="2330"/>
      <c r="T532" s="120" t="s">
        <v>789</v>
      </c>
      <c r="U532" s="2329"/>
      <c r="V532" s="2330"/>
      <c r="W532" s="2330"/>
      <c r="X532" s="120" t="s">
        <v>789</v>
      </c>
      <c r="Y532" s="2329"/>
      <c r="Z532" s="2330"/>
      <c r="AA532" s="2330"/>
      <c r="AB532" s="120" t="s">
        <v>789</v>
      </c>
      <c r="AC532" s="2329"/>
      <c r="AD532" s="2330"/>
      <c r="AE532" s="2330"/>
      <c r="AF532" s="120" t="s">
        <v>789</v>
      </c>
      <c r="AG532" s="2329"/>
      <c r="AH532" s="2330"/>
      <c r="AI532" s="2332"/>
      <c r="AJ532" s="2212">
        <f t="shared" ref="AJ532:AJ541" si="162">ROUNDDOWN(SUM(Q532:AI532),-1)</f>
        <v>0</v>
      </c>
      <c r="AK532" s="2213"/>
      <c r="AL532" s="2214"/>
      <c r="AM532" s="2215">
        <v>1</v>
      </c>
      <c r="AN532" s="2216"/>
      <c r="AO532" s="2217"/>
      <c r="AP532" s="2209">
        <f t="shared" ref="AP532:AP541" si="163">INT(AJ532*AM532)</f>
        <v>0</v>
      </c>
      <c r="AQ532" s="2210"/>
      <c r="AR532" s="2211"/>
      <c r="AS532" s="2203">
        <f ca="1">SUMIF(床・天井!T$6:T$89,F532,床・天井!I$6:I$89)+SUMIF(見積拾!C$112:D$116,F532,見積拾!T$112:T$116)</f>
        <v>0</v>
      </c>
      <c r="AT532" s="2204"/>
      <c r="AU532" s="2204"/>
      <c r="AV532" s="2205"/>
      <c r="AW532" s="2206">
        <f t="shared" ref="AW532:AW541" ca="1" si="164">INT(AP532*AS532)</f>
        <v>0</v>
      </c>
      <c r="AX532" s="2207"/>
      <c r="AY532" s="2207"/>
      <c r="AZ532" s="2208"/>
      <c r="BA532" s="2200"/>
      <c r="BB532" s="956" t="b">
        <f t="shared" ref="BB532:BB541" ca="1" si="165">AW532&lt;&gt;0</f>
        <v>0</v>
      </c>
    </row>
    <row r="533" spans="2:54" ht="13.5" customHeight="1">
      <c r="B533" s="2445"/>
      <c r="C533" s="2521"/>
      <c r="D533" s="2500"/>
      <c r="E533" s="1703" t="s">
        <v>799</v>
      </c>
      <c r="F533" s="2917" t="s">
        <v>782</v>
      </c>
      <c r="G533" s="2918"/>
      <c r="H533" s="2918"/>
      <c r="I533" s="2918"/>
      <c r="J533" s="2918"/>
      <c r="K533" s="2918"/>
      <c r="L533" s="2918"/>
      <c r="M533" s="2918"/>
      <c r="N533" s="2918"/>
      <c r="O533" s="2918"/>
      <c r="P533" s="2919"/>
      <c r="Q533" s="2916"/>
      <c r="R533" s="2330"/>
      <c r="S533" s="2330"/>
      <c r="T533" s="120" t="s">
        <v>789</v>
      </c>
      <c r="U533" s="2329"/>
      <c r="V533" s="2330"/>
      <c r="W533" s="2330"/>
      <c r="X533" s="120" t="s">
        <v>789</v>
      </c>
      <c r="Y533" s="2329"/>
      <c r="Z533" s="2330"/>
      <c r="AA533" s="2330"/>
      <c r="AB533" s="120" t="s">
        <v>789</v>
      </c>
      <c r="AC533" s="2329"/>
      <c r="AD533" s="2330"/>
      <c r="AE533" s="2330"/>
      <c r="AF533" s="120" t="s">
        <v>789</v>
      </c>
      <c r="AG533" s="2329"/>
      <c r="AH533" s="2330"/>
      <c r="AI533" s="2332"/>
      <c r="AJ533" s="2212">
        <f t="shared" si="162"/>
        <v>0</v>
      </c>
      <c r="AK533" s="2213"/>
      <c r="AL533" s="2214"/>
      <c r="AM533" s="2215">
        <v>1</v>
      </c>
      <c r="AN533" s="2216"/>
      <c r="AO533" s="2217"/>
      <c r="AP533" s="2209">
        <f t="shared" si="163"/>
        <v>0</v>
      </c>
      <c r="AQ533" s="2210"/>
      <c r="AR533" s="2211"/>
      <c r="AS533" s="2203">
        <f ca="1">SUMIF(床・天井!T$6:T$89,F533,床・天井!I$6:I$89)+SUMIF(見積拾!C$112:D$116,F533,見積拾!T$112:T$116)</f>
        <v>0</v>
      </c>
      <c r="AT533" s="2204"/>
      <c r="AU533" s="2204"/>
      <c r="AV533" s="2205"/>
      <c r="AW533" s="2206">
        <f t="shared" ca="1" si="164"/>
        <v>0</v>
      </c>
      <c r="AX533" s="2207"/>
      <c r="AY533" s="2207"/>
      <c r="AZ533" s="2208"/>
      <c r="BA533" s="2200"/>
      <c r="BB533" s="956" t="b">
        <f t="shared" ca="1" si="165"/>
        <v>0</v>
      </c>
    </row>
    <row r="534" spans="2:54" ht="13.5" customHeight="1">
      <c r="B534" s="2445"/>
      <c r="C534" s="2521"/>
      <c r="D534" s="2500"/>
      <c r="E534" s="1704" t="s">
        <v>799</v>
      </c>
      <c r="F534" s="2921" t="s">
        <v>782</v>
      </c>
      <c r="G534" s="2922"/>
      <c r="H534" s="2922"/>
      <c r="I534" s="2922"/>
      <c r="J534" s="2922"/>
      <c r="K534" s="2922"/>
      <c r="L534" s="2922"/>
      <c r="M534" s="2922"/>
      <c r="N534" s="2922"/>
      <c r="O534" s="2922"/>
      <c r="P534" s="2923"/>
      <c r="Q534" s="2920"/>
      <c r="R534" s="2334"/>
      <c r="S534" s="2334"/>
      <c r="T534" s="121" t="s">
        <v>789</v>
      </c>
      <c r="U534" s="2333"/>
      <c r="V534" s="2334"/>
      <c r="W534" s="2334"/>
      <c r="X534" s="121" t="s">
        <v>789</v>
      </c>
      <c r="Y534" s="2333"/>
      <c r="Z534" s="2334"/>
      <c r="AA534" s="2334"/>
      <c r="AB534" s="121" t="s">
        <v>789</v>
      </c>
      <c r="AC534" s="2333"/>
      <c r="AD534" s="2334"/>
      <c r="AE534" s="2334"/>
      <c r="AF534" s="121" t="s">
        <v>789</v>
      </c>
      <c r="AG534" s="2333"/>
      <c r="AH534" s="2334"/>
      <c r="AI534" s="2335"/>
      <c r="AJ534" s="2229">
        <f t="shared" si="162"/>
        <v>0</v>
      </c>
      <c r="AK534" s="2230"/>
      <c r="AL534" s="2231"/>
      <c r="AM534" s="2262">
        <v>1</v>
      </c>
      <c r="AN534" s="2263"/>
      <c r="AO534" s="2264"/>
      <c r="AP534" s="2229">
        <f t="shared" si="163"/>
        <v>0</v>
      </c>
      <c r="AQ534" s="2230"/>
      <c r="AR534" s="2231"/>
      <c r="AS534" s="2203">
        <f ca="1">SUMIF(床・天井!T$6:T$89,F534,床・天井!I$6:I$89)+SUMIF(見積拾!C$112:D$116,F534,見積拾!T$112:T$116)</f>
        <v>0</v>
      </c>
      <c r="AT534" s="2204"/>
      <c r="AU534" s="2204"/>
      <c r="AV534" s="2205"/>
      <c r="AW534" s="2248">
        <f t="shared" ca="1" si="164"/>
        <v>0</v>
      </c>
      <c r="AX534" s="2249"/>
      <c r="AY534" s="2249"/>
      <c r="AZ534" s="2250"/>
      <c r="BA534" s="2200"/>
      <c r="BB534" s="956" t="b">
        <f t="shared" ca="1" si="165"/>
        <v>0</v>
      </c>
    </row>
    <row r="535" spans="2:54" ht="13.5" customHeight="1">
      <c r="B535" s="2445"/>
      <c r="C535" s="2521"/>
      <c r="D535" s="2500"/>
      <c r="E535" s="2429" t="s">
        <v>1107</v>
      </c>
      <c r="F535" s="2430"/>
      <c r="G535" s="122" t="s">
        <v>777</v>
      </c>
      <c r="H535" s="2252" t="s">
        <v>819</v>
      </c>
      <c r="I535" s="2252"/>
      <c r="J535" s="2252"/>
      <c r="K535" s="2252"/>
      <c r="L535" s="2252"/>
      <c r="M535" s="2252"/>
      <c r="N535" s="2252"/>
      <c r="O535" s="2252"/>
      <c r="P535" s="2253"/>
      <c r="Q535" s="2326">
        <v>2900</v>
      </c>
      <c r="R535" s="2327"/>
      <c r="S535" s="2327"/>
      <c r="T535" s="123" t="s">
        <v>40</v>
      </c>
      <c r="U535" s="2913" t="s">
        <v>1031</v>
      </c>
      <c r="V535" s="2913"/>
      <c r="W535" s="2913"/>
      <c r="X535" s="123" t="s">
        <v>40</v>
      </c>
      <c r="Y535" s="2914" t="s">
        <v>1032</v>
      </c>
      <c r="Z535" s="2914"/>
      <c r="AA535" s="2914"/>
      <c r="AB535" s="123" t="s">
        <v>40</v>
      </c>
      <c r="AC535" s="2327"/>
      <c r="AD535" s="2327"/>
      <c r="AE535" s="2327"/>
      <c r="AF535" s="123" t="s">
        <v>40</v>
      </c>
      <c r="AG535" s="2327"/>
      <c r="AH535" s="2327"/>
      <c r="AI535" s="2327"/>
      <c r="AJ535" s="2251">
        <f t="shared" si="162"/>
        <v>2900</v>
      </c>
      <c r="AK535" s="2252"/>
      <c r="AL535" s="2253"/>
      <c r="AM535" s="2265">
        <v>1</v>
      </c>
      <c r="AN535" s="2266"/>
      <c r="AO535" s="2267"/>
      <c r="AP535" s="2251">
        <f t="shared" si="163"/>
        <v>2900</v>
      </c>
      <c r="AQ535" s="2252"/>
      <c r="AR535" s="2253"/>
      <c r="AS535" s="2243">
        <f>SUMIF(床・天井!U$6:U$89,H535,床・天井!I$6:I$89)+SUMIF(床・天井!V$6:V$89,H535,床・天井!I$6:I$89)+SUMIF(見積拾!D$117:D$121,H535,見積拾!T$117:T$121)</f>
        <v>0</v>
      </c>
      <c r="AT535" s="2244"/>
      <c r="AU535" s="2244"/>
      <c r="AV535" s="2245"/>
      <c r="AW535" s="2235">
        <f t="shared" si="164"/>
        <v>0</v>
      </c>
      <c r="AX535" s="2236"/>
      <c r="AY535" s="2236"/>
      <c r="AZ535" s="2237"/>
      <c r="BA535" s="2200"/>
      <c r="BB535" s="956" t="b">
        <f t="shared" si="165"/>
        <v>0</v>
      </c>
    </row>
    <row r="536" spans="2:54" ht="13.5" customHeight="1">
      <c r="B536" s="2445"/>
      <c r="C536" s="2521"/>
      <c r="D536" s="2500"/>
      <c r="E536" s="2338"/>
      <c r="F536" s="2337"/>
      <c r="G536" s="124" t="s">
        <v>777</v>
      </c>
      <c r="H536" s="2210" t="s">
        <v>820</v>
      </c>
      <c r="I536" s="2210"/>
      <c r="J536" s="2210"/>
      <c r="K536" s="2210"/>
      <c r="L536" s="2210"/>
      <c r="M536" s="2210"/>
      <c r="N536" s="2210"/>
      <c r="O536" s="2210"/>
      <c r="P536" s="2211"/>
      <c r="Q536" s="2328">
        <v>1360</v>
      </c>
      <c r="R536" s="2261"/>
      <c r="S536" s="2261"/>
      <c r="T536" s="120" t="s">
        <v>40</v>
      </c>
      <c r="U536" s="2322" t="s">
        <v>1031</v>
      </c>
      <c r="V536" s="2322"/>
      <c r="W536" s="2322"/>
      <c r="X536" s="120" t="s">
        <v>40</v>
      </c>
      <c r="Y536" s="2322" t="s">
        <v>1032</v>
      </c>
      <c r="Z536" s="2322"/>
      <c r="AA536" s="2322"/>
      <c r="AB536" s="120" t="s">
        <v>40</v>
      </c>
      <c r="AC536" s="2261"/>
      <c r="AD536" s="2261"/>
      <c r="AE536" s="2261"/>
      <c r="AF536" s="120" t="s">
        <v>40</v>
      </c>
      <c r="AG536" s="2261"/>
      <c r="AH536" s="2261"/>
      <c r="AI536" s="2261"/>
      <c r="AJ536" s="2209">
        <f t="shared" si="162"/>
        <v>1360</v>
      </c>
      <c r="AK536" s="2210"/>
      <c r="AL536" s="2211"/>
      <c r="AM536" s="2232">
        <v>1</v>
      </c>
      <c r="AN536" s="2233"/>
      <c r="AO536" s="2234"/>
      <c r="AP536" s="2209">
        <f t="shared" si="163"/>
        <v>1360</v>
      </c>
      <c r="AQ536" s="2210"/>
      <c r="AR536" s="2211"/>
      <c r="AS536" s="2203">
        <f>SUMIF(床・天井!U$6:U$89,H536,床・天井!I$6:I$89)+SUMIF(床・天井!V$6:V$89,H536,床・天井!I$6:I$89)+SUMIF(見積拾!D$117:D$121,H536,見積拾!T$117:T$121)</f>
        <v>0</v>
      </c>
      <c r="AT536" s="2204"/>
      <c r="AU536" s="2204"/>
      <c r="AV536" s="2205"/>
      <c r="AW536" s="2238">
        <f t="shared" si="164"/>
        <v>0</v>
      </c>
      <c r="AX536" s="2239"/>
      <c r="AY536" s="2239"/>
      <c r="AZ536" s="2240"/>
      <c r="BA536" s="2200"/>
      <c r="BB536" s="956" t="b">
        <f t="shared" si="165"/>
        <v>0</v>
      </c>
    </row>
    <row r="537" spans="2:54" ht="13.5" customHeight="1">
      <c r="B537" s="2445"/>
      <c r="C537" s="2521"/>
      <c r="D537" s="2500"/>
      <c r="E537" s="2338"/>
      <c r="F537" s="2337"/>
      <c r="G537" s="124" t="s">
        <v>777</v>
      </c>
      <c r="H537" s="2210" t="s">
        <v>821</v>
      </c>
      <c r="I537" s="2210"/>
      <c r="J537" s="2210"/>
      <c r="K537" s="2210"/>
      <c r="L537" s="2210"/>
      <c r="M537" s="2210"/>
      <c r="N537" s="2210"/>
      <c r="O537" s="2210"/>
      <c r="P537" s="2211"/>
      <c r="Q537" s="2328">
        <v>930</v>
      </c>
      <c r="R537" s="2261"/>
      <c r="S537" s="2261"/>
      <c r="T537" s="120" t="s">
        <v>40</v>
      </c>
      <c r="U537" s="2322" t="s">
        <v>1031</v>
      </c>
      <c r="V537" s="2322"/>
      <c r="W537" s="2322"/>
      <c r="X537" s="120" t="s">
        <v>40</v>
      </c>
      <c r="Y537" s="2322" t="s">
        <v>1032</v>
      </c>
      <c r="Z537" s="2322"/>
      <c r="AA537" s="2322"/>
      <c r="AB537" s="120" t="s">
        <v>40</v>
      </c>
      <c r="AC537" s="2261"/>
      <c r="AD537" s="2261"/>
      <c r="AE537" s="2261"/>
      <c r="AF537" s="120" t="s">
        <v>40</v>
      </c>
      <c r="AG537" s="2261"/>
      <c r="AH537" s="2261"/>
      <c r="AI537" s="2261"/>
      <c r="AJ537" s="2209">
        <f t="shared" si="162"/>
        <v>930</v>
      </c>
      <c r="AK537" s="2210"/>
      <c r="AL537" s="2211"/>
      <c r="AM537" s="2232">
        <v>1</v>
      </c>
      <c r="AN537" s="2233"/>
      <c r="AO537" s="2234"/>
      <c r="AP537" s="2209">
        <f t="shared" si="163"/>
        <v>930</v>
      </c>
      <c r="AQ537" s="2210"/>
      <c r="AR537" s="2211"/>
      <c r="AS537" s="2203">
        <f>SUMIF(床・天井!U$6:U$89,H537,床・天井!I$6:I$89)+SUMIF(床・天井!V$6:V$89,H537,床・天井!I$6:I$89)+SUMIF(見積拾!D$117:D$121,H537,見積拾!T$117:T$121)</f>
        <v>0</v>
      </c>
      <c r="AT537" s="2204"/>
      <c r="AU537" s="2204"/>
      <c r="AV537" s="2205"/>
      <c r="AW537" s="2238">
        <f t="shared" si="164"/>
        <v>0</v>
      </c>
      <c r="AX537" s="2239"/>
      <c r="AY537" s="2239"/>
      <c r="AZ537" s="2240"/>
      <c r="BA537" s="2200"/>
      <c r="BB537" s="956" t="b">
        <f t="shared" si="165"/>
        <v>0</v>
      </c>
    </row>
    <row r="538" spans="2:54" ht="13.5" customHeight="1">
      <c r="B538" s="2445"/>
      <c r="C538" s="2521"/>
      <c r="D538" s="2500"/>
      <c r="E538" s="2338"/>
      <c r="F538" s="2431"/>
      <c r="G538" s="124" t="s">
        <v>777</v>
      </c>
      <c r="H538" s="2210" t="s">
        <v>5605</v>
      </c>
      <c r="I538" s="2210"/>
      <c r="J538" s="2210"/>
      <c r="K538" s="2210"/>
      <c r="L538" s="2210"/>
      <c r="M538" s="2210"/>
      <c r="N538" s="2210"/>
      <c r="O538" s="2210"/>
      <c r="P538" s="2211"/>
      <c r="Q538" s="2328">
        <v>1890</v>
      </c>
      <c r="R538" s="2261"/>
      <c r="S538" s="2261"/>
      <c r="T538" s="120" t="s">
        <v>40</v>
      </c>
      <c r="U538" s="2322" t="s">
        <v>1031</v>
      </c>
      <c r="V538" s="2322"/>
      <c r="W538" s="2322"/>
      <c r="X538" s="120" t="s">
        <v>40</v>
      </c>
      <c r="Y538" s="2322" t="s">
        <v>1032</v>
      </c>
      <c r="Z538" s="2322"/>
      <c r="AA538" s="2322"/>
      <c r="AB538" s="120" t="s">
        <v>40</v>
      </c>
      <c r="AC538" s="2261"/>
      <c r="AD538" s="2261"/>
      <c r="AE538" s="2261"/>
      <c r="AF538" s="120" t="s">
        <v>40</v>
      </c>
      <c r="AG538" s="2261"/>
      <c r="AH538" s="2261"/>
      <c r="AI538" s="2261"/>
      <c r="AJ538" s="2209">
        <f t="shared" ref="AJ538:AJ540" si="166">ROUNDDOWN(SUM(Q538:AI538),-1)</f>
        <v>1890</v>
      </c>
      <c r="AK538" s="2210"/>
      <c r="AL538" s="2211"/>
      <c r="AM538" s="2232">
        <v>1</v>
      </c>
      <c r="AN538" s="2233"/>
      <c r="AO538" s="2234"/>
      <c r="AP538" s="2209">
        <f t="shared" si="163"/>
        <v>1890</v>
      </c>
      <c r="AQ538" s="2210"/>
      <c r="AR538" s="2211"/>
      <c r="AS538" s="2203">
        <f>SUMIF(床・天井!U$6:U$89,H538,床・天井!I$6:I$89)+SUMIF(床・天井!V$6:V$89,H538,床・天井!I$6:I$89)+SUMIF(見積拾!D$117:D$121,H538,見積拾!T$117:T$121)</f>
        <v>0</v>
      </c>
      <c r="AT538" s="2204"/>
      <c r="AU538" s="2204"/>
      <c r="AV538" s="2205"/>
      <c r="AW538" s="2238">
        <f t="shared" si="164"/>
        <v>0</v>
      </c>
      <c r="AX538" s="2239"/>
      <c r="AY538" s="2239"/>
      <c r="AZ538" s="2240"/>
      <c r="BA538" s="2200"/>
      <c r="BB538" s="956" t="b">
        <f t="shared" si="165"/>
        <v>0</v>
      </c>
    </row>
    <row r="539" spans="2:54" ht="13.5" customHeight="1">
      <c r="B539" s="2445"/>
      <c r="C539" s="2521"/>
      <c r="D539" s="2500"/>
      <c r="E539" s="2338"/>
      <c r="F539" s="2431"/>
      <c r="G539" s="124" t="s">
        <v>777</v>
      </c>
      <c r="H539" s="2210" t="s">
        <v>5606</v>
      </c>
      <c r="I539" s="2210"/>
      <c r="J539" s="2210"/>
      <c r="K539" s="2210"/>
      <c r="L539" s="2210"/>
      <c r="M539" s="2210"/>
      <c r="N539" s="2210"/>
      <c r="O539" s="2210"/>
      <c r="P539" s="2211"/>
      <c r="Q539" s="2328">
        <v>910</v>
      </c>
      <c r="R539" s="2261"/>
      <c r="S539" s="2261"/>
      <c r="T539" s="120" t="s">
        <v>40</v>
      </c>
      <c r="U539" s="2322" t="s">
        <v>1031</v>
      </c>
      <c r="V539" s="2322"/>
      <c r="W539" s="2322"/>
      <c r="X539" s="120" t="s">
        <v>40</v>
      </c>
      <c r="Y539" s="2322" t="s">
        <v>1032</v>
      </c>
      <c r="Z539" s="2322"/>
      <c r="AA539" s="2322"/>
      <c r="AB539" s="120" t="s">
        <v>40</v>
      </c>
      <c r="AC539" s="2261"/>
      <c r="AD539" s="2261"/>
      <c r="AE539" s="2261"/>
      <c r="AF539" s="120" t="s">
        <v>40</v>
      </c>
      <c r="AG539" s="2261"/>
      <c r="AH539" s="2261"/>
      <c r="AI539" s="2261"/>
      <c r="AJ539" s="2209">
        <f t="shared" si="166"/>
        <v>910</v>
      </c>
      <c r="AK539" s="2210"/>
      <c r="AL539" s="2211"/>
      <c r="AM539" s="2232">
        <v>1</v>
      </c>
      <c r="AN539" s="2233"/>
      <c r="AO539" s="2234"/>
      <c r="AP539" s="2209">
        <f t="shared" si="163"/>
        <v>910</v>
      </c>
      <c r="AQ539" s="2210"/>
      <c r="AR539" s="2211"/>
      <c r="AS539" s="2203">
        <f>SUMIF(床・天井!U$6:U$89,H539,床・天井!I$6:I$89)+SUMIF(床・天井!V$6:V$89,H539,床・天井!I$6:I$89)+SUMIF(見積拾!D$117:D$121,H539,見積拾!T$117:T$121)</f>
        <v>0</v>
      </c>
      <c r="AT539" s="2204"/>
      <c r="AU539" s="2204"/>
      <c r="AV539" s="2205"/>
      <c r="AW539" s="2238">
        <f t="shared" si="164"/>
        <v>0</v>
      </c>
      <c r="AX539" s="2239"/>
      <c r="AY539" s="2239"/>
      <c r="AZ539" s="2240"/>
      <c r="BA539" s="2200"/>
      <c r="BB539" s="956" t="b">
        <f t="shared" si="165"/>
        <v>0</v>
      </c>
    </row>
    <row r="540" spans="2:54" ht="13.5" customHeight="1">
      <c r="B540" s="2445"/>
      <c r="C540" s="2521"/>
      <c r="D540" s="2500"/>
      <c r="E540" s="2338"/>
      <c r="F540" s="2431"/>
      <c r="G540" s="124" t="s">
        <v>777</v>
      </c>
      <c r="H540" s="2210" t="s">
        <v>1503</v>
      </c>
      <c r="I540" s="2210"/>
      <c r="J540" s="2210"/>
      <c r="K540" s="2210"/>
      <c r="L540" s="2210"/>
      <c r="M540" s="2210"/>
      <c r="N540" s="2210"/>
      <c r="O540" s="2210"/>
      <c r="P540" s="2211"/>
      <c r="Q540" s="2328">
        <v>837</v>
      </c>
      <c r="R540" s="2261"/>
      <c r="S540" s="2261"/>
      <c r="T540" s="120" t="s">
        <v>40</v>
      </c>
      <c r="U540" s="2322" t="s">
        <v>1031</v>
      </c>
      <c r="V540" s="2322"/>
      <c r="W540" s="2322"/>
      <c r="X540" s="120" t="s">
        <v>40</v>
      </c>
      <c r="Y540" s="2322" t="s">
        <v>1032</v>
      </c>
      <c r="Z540" s="2322"/>
      <c r="AA540" s="2322"/>
      <c r="AB540" s="120" t="s">
        <v>40</v>
      </c>
      <c r="AC540" s="2261"/>
      <c r="AD540" s="2261"/>
      <c r="AE540" s="2261"/>
      <c r="AF540" s="120" t="s">
        <v>40</v>
      </c>
      <c r="AG540" s="2261"/>
      <c r="AH540" s="2261"/>
      <c r="AI540" s="2261"/>
      <c r="AJ540" s="2209">
        <f t="shared" si="166"/>
        <v>830</v>
      </c>
      <c r="AK540" s="2210"/>
      <c r="AL540" s="2211"/>
      <c r="AM540" s="2232">
        <v>1</v>
      </c>
      <c r="AN540" s="2233"/>
      <c r="AO540" s="2234"/>
      <c r="AP540" s="2209">
        <f t="shared" si="163"/>
        <v>830</v>
      </c>
      <c r="AQ540" s="2210"/>
      <c r="AR540" s="2211"/>
      <c r="AS540" s="2203">
        <f>SUMIF(床・天井!U$6:U$89,H540,床・天井!I$6:I$89)+SUMIF(床・天井!V$6:V$89,H540,床・天井!I$6:I$89)+SUMIF(見積拾!D$117:D$121,H540,見積拾!T$117:T$121)</f>
        <v>0</v>
      </c>
      <c r="AT540" s="2204"/>
      <c r="AU540" s="2204"/>
      <c r="AV540" s="2205"/>
      <c r="AW540" s="2238">
        <f t="shared" si="164"/>
        <v>0</v>
      </c>
      <c r="AX540" s="2239"/>
      <c r="AY540" s="2239"/>
      <c r="AZ540" s="2240"/>
      <c r="BA540" s="2200"/>
      <c r="BB540" s="956" t="b">
        <f t="shared" si="165"/>
        <v>0</v>
      </c>
    </row>
    <row r="541" spans="2:54" ht="13.5" customHeight="1" thickBot="1">
      <c r="B541" s="2445"/>
      <c r="C541" s="2521"/>
      <c r="D541" s="2500"/>
      <c r="E541" s="2338"/>
      <c r="F541" s="2337"/>
      <c r="G541" s="125" t="s">
        <v>41</v>
      </c>
      <c r="H541" s="2230" t="s">
        <v>822</v>
      </c>
      <c r="I541" s="2230"/>
      <c r="J541" s="2230"/>
      <c r="K541" s="2230"/>
      <c r="L541" s="2230"/>
      <c r="M541" s="2230"/>
      <c r="N541" s="2230"/>
      <c r="O541" s="2230"/>
      <c r="P541" s="2231"/>
      <c r="Q541" s="2432"/>
      <c r="R541" s="2325"/>
      <c r="S541" s="2325"/>
      <c r="T541" s="121"/>
      <c r="U541" s="2325"/>
      <c r="V541" s="2325"/>
      <c r="W541" s="2325"/>
      <c r="X541" s="121"/>
      <c r="Y541" s="2325"/>
      <c r="Z541" s="2325"/>
      <c r="AA541" s="2325"/>
      <c r="AB541" s="121"/>
      <c r="AC541" s="2325"/>
      <c r="AD541" s="2325"/>
      <c r="AE541" s="2325"/>
      <c r="AF541" s="121"/>
      <c r="AG541" s="2325"/>
      <c r="AH541" s="2325"/>
      <c r="AI541" s="2325"/>
      <c r="AJ541" s="2229">
        <f t="shared" si="162"/>
        <v>0</v>
      </c>
      <c r="AK541" s="2230"/>
      <c r="AL541" s="2231"/>
      <c r="AM541" s="2262">
        <v>1</v>
      </c>
      <c r="AN541" s="2263"/>
      <c r="AO541" s="2264"/>
      <c r="AP541" s="2229">
        <f t="shared" si="163"/>
        <v>0</v>
      </c>
      <c r="AQ541" s="2230"/>
      <c r="AR541" s="2231"/>
      <c r="AS541" s="2268"/>
      <c r="AT541" s="2269"/>
      <c r="AU541" s="2269"/>
      <c r="AV541" s="2270"/>
      <c r="AW541" s="2248">
        <f t="shared" si="164"/>
        <v>0</v>
      </c>
      <c r="AX541" s="2249"/>
      <c r="AY541" s="2249"/>
      <c r="AZ541" s="2250"/>
      <c r="BA541" s="2200"/>
      <c r="BB541" s="956" t="b">
        <f t="shared" si="165"/>
        <v>0</v>
      </c>
    </row>
    <row r="542" spans="2:54" ht="13.5" customHeight="1" thickBot="1">
      <c r="B542" s="2581"/>
      <c r="C542" s="2582"/>
      <c r="D542" s="2502"/>
      <c r="E542" s="1660"/>
      <c r="F542" s="1658"/>
      <c r="G542" s="1658"/>
      <c r="H542" s="1658"/>
      <c r="I542" s="1658"/>
      <c r="J542" s="1658"/>
      <c r="K542" s="1658"/>
      <c r="L542" s="1658"/>
      <c r="M542" s="1658"/>
      <c r="N542" s="1658"/>
      <c r="O542" s="1658"/>
      <c r="P542" s="1658"/>
      <c r="Q542" s="1660"/>
      <c r="R542" s="1658"/>
      <c r="S542" s="1658"/>
      <c r="T542" s="1658"/>
      <c r="U542" s="1658"/>
      <c r="V542" s="1658"/>
      <c r="W542" s="1658"/>
      <c r="X542" s="1658"/>
      <c r="Y542" s="1658"/>
      <c r="Z542" s="1658"/>
      <c r="AA542" s="1658"/>
      <c r="AB542" s="1658"/>
      <c r="AC542" s="1658"/>
      <c r="AD542" s="1658"/>
      <c r="AE542" s="1658"/>
      <c r="AF542" s="1658"/>
      <c r="AG542" s="1658"/>
      <c r="AH542" s="1658"/>
      <c r="AI542" s="1661"/>
      <c r="AJ542" s="2221" t="str">
        <f ca="1">IF(SUM(AS526:AV528)&gt;0,"面積合計及び部分別評点数",IF(AS542=床・天井!T91+見積拾!T122,"面積合計及び部分別評点数","補助票と面積が違います！"))</f>
        <v>面積合計及び部分別評点数</v>
      </c>
      <c r="AK542" s="2222"/>
      <c r="AL542" s="2222"/>
      <c r="AM542" s="2222"/>
      <c r="AN542" s="2222"/>
      <c r="AO542" s="2222"/>
      <c r="AP542" s="2222"/>
      <c r="AQ542" s="2222"/>
      <c r="AR542" s="2223"/>
      <c r="AS542" s="2254">
        <f ca="1">SUM(AS489:AV534)</f>
        <v>0</v>
      </c>
      <c r="AT542" s="2255"/>
      <c r="AU542" s="2255"/>
      <c r="AV542" s="2256"/>
      <c r="AW542" s="2246">
        <f ca="1">SUM(AW488:AZ541)</f>
        <v>0</v>
      </c>
      <c r="AX542" s="2246"/>
      <c r="AY542" s="2246"/>
      <c r="AZ542" s="2247"/>
      <c r="BA542" s="2200"/>
      <c r="BB542" s="956" t="b">
        <v>1</v>
      </c>
    </row>
    <row r="543" spans="2:54" ht="13.5" customHeight="1">
      <c r="BA543" s="2200"/>
      <c r="BB543" s="956" t="b">
        <v>0</v>
      </c>
    </row>
    <row r="544" spans="2:54" ht="13.5" customHeight="1">
      <c r="BA544" s="2200"/>
      <c r="BB544" s="956" t="b">
        <v>0</v>
      </c>
    </row>
    <row r="545" spans="2:54" ht="13.5" customHeight="1">
      <c r="B545" s="1523"/>
      <c r="C545" s="2089" t="s">
        <v>837</v>
      </c>
      <c r="D545" s="2090"/>
      <c r="E545" s="2090"/>
      <c r="F545" s="2090"/>
      <c r="G545" s="2090"/>
      <c r="H545" s="2090"/>
      <c r="I545" s="2090"/>
      <c r="J545" s="2090"/>
      <c r="BA545" s="2200"/>
      <c r="BB545" s="956" t="b">
        <v>0</v>
      </c>
    </row>
    <row r="546" spans="2:54" ht="13.5" customHeight="1">
      <c r="BA546" s="2200"/>
      <c r="BB546" s="956" t="b">
        <v>0</v>
      </c>
    </row>
    <row r="547" spans="2:54" ht="13.5" customHeight="1">
      <c r="B547" s="1578"/>
      <c r="C547" s="1579"/>
      <c r="D547" s="1580"/>
      <c r="E547" s="1654" t="s">
        <v>663</v>
      </c>
      <c r="F547" s="1591"/>
      <c r="G547" s="1591"/>
      <c r="H547" s="1591"/>
      <c r="I547" s="1591"/>
      <c r="J547" s="1591"/>
      <c r="K547" s="1591"/>
      <c r="L547" s="1591"/>
      <c r="M547" s="1591"/>
      <c r="N547" s="1591"/>
      <c r="O547" s="1591"/>
      <c r="P547" s="1592"/>
      <c r="Q547" s="1591" t="s">
        <v>769</v>
      </c>
      <c r="R547" s="1591"/>
      <c r="S547" s="1591"/>
      <c r="T547" s="1658"/>
      <c r="U547" s="1591" t="s">
        <v>770</v>
      </c>
      <c r="V547" s="1591"/>
      <c r="W547" s="1591"/>
      <c r="X547" s="1658"/>
      <c r="Y547" s="1591" t="s">
        <v>771</v>
      </c>
      <c r="Z547" s="1591"/>
      <c r="AA547" s="1591"/>
      <c r="AB547" s="1658"/>
      <c r="AC547" s="1591" t="s">
        <v>772</v>
      </c>
      <c r="AD547" s="1591"/>
      <c r="AE547" s="1591"/>
      <c r="AF547" s="1591" t="s">
        <v>772</v>
      </c>
      <c r="AG547" s="1591"/>
      <c r="AH547" s="1592"/>
      <c r="AI547" s="1592"/>
      <c r="AJ547" s="1654" t="s">
        <v>773</v>
      </c>
      <c r="AK547" s="1591"/>
      <c r="AL547" s="1592"/>
      <c r="AM547" s="1654" t="s">
        <v>669</v>
      </c>
      <c r="AN547" s="1591"/>
      <c r="AO547" s="1592"/>
      <c r="AP547" s="1654" t="s">
        <v>774</v>
      </c>
      <c r="AQ547" s="1591"/>
      <c r="AR547" s="1592"/>
      <c r="AS547" s="1655" t="s">
        <v>775</v>
      </c>
      <c r="AT547" s="1654"/>
      <c r="AU547" s="1654"/>
      <c r="AV547" s="1654"/>
      <c r="AW547" s="2241" t="s">
        <v>666</v>
      </c>
      <c r="AX547" s="2242"/>
      <c r="AY547" s="2242"/>
      <c r="AZ547" s="2242"/>
      <c r="BA547" s="2200"/>
      <c r="BB547" s="956" t="b">
        <v>0</v>
      </c>
    </row>
    <row r="548" spans="2:54" ht="13.5" customHeight="1">
      <c r="B548" s="2578" t="s">
        <v>838</v>
      </c>
      <c r="C548" s="2579"/>
      <c r="D548" s="2580"/>
      <c r="E548" s="122" t="s">
        <v>777</v>
      </c>
      <c r="F548" s="2931" t="s">
        <v>795</v>
      </c>
      <c r="G548" s="2931"/>
      <c r="H548" s="2931"/>
      <c r="I548" s="2931"/>
      <c r="J548" s="2931"/>
      <c r="K548" s="2931"/>
      <c r="L548" s="2931"/>
      <c r="M548" s="2931"/>
      <c r="N548" s="2931"/>
      <c r="O548" s="2931"/>
      <c r="P548" s="2932"/>
      <c r="Q548" s="2320"/>
      <c r="R548" s="2275"/>
      <c r="S548" s="2275"/>
      <c r="T548" s="521"/>
      <c r="U548" s="2275"/>
      <c r="V548" s="2275"/>
      <c r="W548" s="2275"/>
      <c r="X548" s="521"/>
      <c r="Y548" s="2275"/>
      <c r="Z548" s="2275"/>
      <c r="AA548" s="2275"/>
      <c r="AB548" s="521"/>
      <c r="AC548" s="2275"/>
      <c r="AD548" s="2275"/>
      <c r="AE548" s="2275"/>
      <c r="AF548" s="522"/>
      <c r="AG548" s="2409"/>
      <c r="AH548" s="2409"/>
      <c r="AI548" s="2410"/>
      <c r="AJ548" s="2212">
        <f t="shared" ref="AJ548:AJ575" si="167">ROUNDDOWN(SUM(Q548:AI548),-1)</f>
        <v>0</v>
      </c>
      <c r="AK548" s="2213"/>
      <c r="AL548" s="2214"/>
      <c r="AM548" s="2215">
        <v>1</v>
      </c>
      <c r="AN548" s="2216"/>
      <c r="AO548" s="2217"/>
      <c r="AP548" s="2212">
        <f t="shared" ref="AP548:AP575" si="168">INT(AJ548*AM548)</f>
        <v>0</v>
      </c>
      <c r="AQ548" s="2213"/>
      <c r="AR548" s="2214"/>
      <c r="AS548" s="2218"/>
      <c r="AT548" s="2219"/>
      <c r="AU548" s="2219"/>
      <c r="AV548" s="2220"/>
      <c r="AW548" s="2206">
        <f t="shared" ref="AW548:AW575" si="169">INT(AP548*AS548)</f>
        <v>0</v>
      </c>
      <c r="AX548" s="2207"/>
      <c r="AY548" s="2207"/>
      <c r="AZ548" s="2208"/>
      <c r="BA548" s="2200"/>
      <c r="BB548" s="956" t="b">
        <f ca="1">AW601=0</f>
        <v>1</v>
      </c>
    </row>
    <row r="549" spans="2:54" ht="13.5" customHeight="1">
      <c r="B549" s="2445"/>
      <c r="C549" s="2521"/>
      <c r="D549" s="2500"/>
      <c r="E549" s="957" t="s">
        <v>777</v>
      </c>
      <c r="F549" s="2210" t="s">
        <v>1409</v>
      </c>
      <c r="G549" s="2210"/>
      <c r="H549" s="2210"/>
      <c r="I549" s="2210"/>
      <c r="J549" s="2210"/>
      <c r="K549" s="2210"/>
      <c r="L549" s="2210"/>
      <c r="M549" s="2210"/>
      <c r="N549" s="2210"/>
      <c r="O549" s="2210"/>
      <c r="P549" s="2211"/>
      <c r="Q549" s="2257">
        <v>2345</v>
      </c>
      <c r="R549" s="2224"/>
      <c r="S549" s="2224"/>
      <c r="T549" s="508" t="s">
        <v>1292</v>
      </c>
      <c r="U549" s="2225" t="s">
        <v>1031</v>
      </c>
      <c r="V549" s="2225"/>
      <c r="W549" s="2225"/>
      <c r="X549" s="508" t="s">
        <v>779</v>
      </c>
      <c r="Y549" s="2224">
        <v>5880</v>
      </c>
      <c r="Z549" s="2224"/>
      <c r="AA549" s="2224"/>
      <c r="AB549" s="508" t="s">
        <v>839</v>
      </c>
      <c r="AC549" s="2224"/>
      <c r="AD549" s="2224"/>
      <c r="AE549" s="2224"/>
      <c r="AF549" s="508" t="s">
        <v>839</v>
      </c>
      <c r="AG549" s="2224"/>
      <c r="AH549" s="2224"/>
      <c r="AI549" s="2226"/>
      <c r="AJ549" s="2212">
        <f t="shared" si="167"/>
        <v>8220</v>
      </c>
      <c r="AK549" s="2213"/>
      <c r="AL549" s="2214"/>
      <c r="AM549" s="2215">
        <v>1</v>
      </c>
      <c r="AN549" s="2216"/>
      <c r="AO549" s="2217"/>
      <c r="AP549" s="2209">
        <f t="shared" si="168"/>
        <v>8220</v>
      </c>
      <c r="AQ549" s="2210"/>
      <c r="AR549" s="2211"/>
      <c r="AS549" s="2203">
        <f ca="1">SUMIF(基礎・屋根・外壁!B$85:AE$85,F549,基礎・屋根・外壁!B$91:AE$91)+SUMIF(基礎・屋根・外壁!B$111:AE$111,F549,基礎・屋根・外壁!B$117:AE$117)+SUMIF(見積拾!C$125:D$129,F549,見積拾!T$125:T$129)</f>
        <v>0</v>
      </c>
      <c r="AT549" s="2204"/>
      <c r="AU549" s="2204"/>
      <c r="AV549" s="2205"/>
      <c r="AW549" s="2206">
        <f t="shared" ca="1" si="169"/>
        <v>0</v>
      </c>
      <c r="AX549" s="2207"/>
      <c r="AY549" s="2207"/>
      <c r="AZ549" s="2208"/>
      <c r="BA549" s="2200"/>
      <c r="BB549" s="956" t="b">
        <f t="shared" ref="BB549:BB576" ca="1" si="170">AW549&lt;&gt;0</f>
        <v>0</v>
      </c>
    </row>
    <row r="550" spans="2:54" ht="13.5" customHeight="1">
      <c r="B550" s="2445"/>
      <c r="C550" s="2521"/>
      <c r="D550" s="2500"/>
      <c r="E550" s="957" t="s">
        <v>777</v>
      </c>
      <c r="F550" s="2210" t="s">
        <v>1410</v>
      </c>
      <c r="G550" s="2210"/>
      <c r="H550" s="2210"/>
      <c r="I550" s="2210"/>
      <c r="J550" s="2210"/>
      <c r="K550" s="2210"/>
      <c r="L550" s="2210"/>
      <c r="M550" s="2210"/>
      <c r="N550" s="2210"/>
      <c r="O550" s="2210"/>
      <c r="P550" s="2211"/>
      <c r="Q550" s="2257">
        <v>4660</v>
      </c>
      <c r="R550" s="2224"/>
      <c r="S550" s="2224"/>
      <c r="T550" s="508" t="s">
        <v>1292</v>
      </c>
      <c r="U550" s="2225" t="s">
        <v>1031</v>
      </c>
      <c r="V550" s="2225"/>
      <c r="W550" s="2225"/>
      <c r="X550" s="508" t="s">
        <v>779</v>
      </c>
      <c r="Y550" s="2224">
        <v>1850</v>
      </c>
      <c r="Z550" s="2224"/>
      <c r="AA550" s="2224"/>
      <c r="AB550" s="508" t="s">
        <v>786</v>
      </c>
      <c r="AC550" s="2224"/>
      <c r="AD550" s="2224"/>
      <c r="AE550" s="2224"/>
      <c r="AF550" s="508" t="s">
        <v>786</v>
      </c>
      <c r="AG550" s="2224"/>
      <c r="AH550" s="2224"/>
      <c r="AI550" s="2226"/>
      <c r="AJ550" s="2212">
        <f t="shared" si="167"/>
        <v>6510</v>
      </c>
      <c r="AK550" s="2213"/>
      <c r="AL550" s="2214"/>
      <c r="AM550" s="2215">
        <v>1</v>
      </c>
      <c r="AN550" s="2216"/>
      <c r="AO550" s="2217"/>
      <c r="AP550" s="2209">
        <f t="shared" si="168"/>
        <v>6510</v>
      </c>
      <c r="AQ550" s="2210"/>
      <c r="AR550" s="2211"/>
      <c r="AS550" s="2203">
        <f ca="1">SUMIF(基礎・屋根・外壁!B$85:AE$85,F550,基礎・屋根・外壁!B$91:AE$91)+SUMIF(基礎・屋根・外壁!B$111:AE$111,F550,基礎・屋根・外壁!B$117:AE$117)+SUMIF(見積拾!C$125:D$129,F550,見積拾!T$125:T$129)</f>
        <v>0</v>
      </c>
      <c r="AT550" s="2204"/>
      <c r="AU550" s="2204"/>
      <c r="AV550" s="2205"/>
      <c r="AW550" s="2206">
        <f t="shared" ca="1" si="169"/>
        <v>0</v>
      </c>
      <c r="AX550" s="2207"/>
      <c r="AY550" s="2207"/>
      <c r="AZ550" s="2208"/>
      <c r="BA550" s="2200"/>
      <c r="BB550" s="956" t="b">
        <f t="shared" ca="1" si="170"/>
        <v>0</v>
      </c>
    </row>
    <row r="551" spans="2:54" ht="13.5" customHeight="1">
      <c r="B551" s="2445"/>
      <c r="C551" s="2521"/>
      <c r="D551" s="2500"/>
      <c r="E551" s="957" t="s">
        <v>777</v>
      </c>
      <c r="F551" s="2210" t="s">
        <v>1411</v>
      </c>
      <c r="G551" s="2210"/>
      <c r="H551" s="2210"/>
      <c r="I551" s="2210"/>
      <c r="J551" s="2210"/>
      <c r="K551" s="2210"/>
      <c r="L551" s="2210"/>
      <c r="M551" s="2210"/>
      <c r="N551" s="2210"/>
      <c r="O551" s="2210"/>
      <c r="P551" s="2211"/>
      <c r="Q551" s="2257">
        <v>3930</v>
      </c>
      <c r="R551" s="2224"/>
      <c r="S551" s="2224"/>
      <c r="T551" s="508" t="s">
        <v>1292</v>
      </c>
      <c r="U551" s="2225" t="s">
        <v>1031</v>
      </c>
      <c r="V551" s="2225"/>
      <c r="W551" s="2225"/>
      <c r="X551" s="508" t="s">
        <v>779</v>
      </c>
      <c r="Y551" s="2224">
        <v>1500</v>
      </c>
      <c r="Z551" s="2224"/>
      <c r="AA551" s="2224"/>
      <c r="AB551" s="508" t="s">
        <v>787</v>
      </c>
      <c r="AC551" s="2224"/>
      <c r="AD551" s="2224"/>
      <c r="AE551" s="2224"/>
      <c r="AF551" s="508" t="s">
        <v>787</v>
      </c>
      <c r="AG551" s="2224"/>
      <c r="AH551" s="2224"/>
      <c r="AI551" s="2226"/>
      <c r="AJ551" s="2212">
        <f t="shared" si="167"/>
        <v>5430</v>
      </c>
      <c r="AK551" s="2213"/>
      <c r="AL551" s="2214"/>
      <c r="AM551" s="2215">
        <v>1</v>
      </c>
      <c r="AN551" s="2216"/>
      <c r="AO551" s="2217"/>
      <c r="AP551" s="2209">
        <f t="shared" si="168"/>
        <v>5430</v>
      </c>
      <c r="AQ551" s="2210"/>
      <c r="AR551" s="2211"/>
      <c r="AS551" s="2203">
        <f ca="1">SUMIF(基礎・屋根・外壁!B$85:AE$85,F551,基礎・屋根・外壁!B$91:AE$91)+SUMIF(基礎・屋根・外壁!B$111:AE$111,F551,基礎・屋根・外壁!B$117:AE$117)+SUMIF(見積拾!C$125:D$129,F551,見積拾!T$125:T$129)</f>
        <v>0</v>
      </c>
      <c r="AT551" s="2204"/>
      <c r="AU551" s="2204"/>
      <c r="AV551" s="2205"/>
      <c r="AW551" s="2206">
        <f t="shared" ca="1" si="169"/>
        <v>0</v>
      </c>
      <c r="AX551" s="2207"/>
      <c r="AY551" s="2207"/>
      <c r="AZ551" s="2208"/>
      <c r="BA551" s="2200"/>
      <c r="BB551" s="956" t="b">
        <f t="shared" ca="1" si="170"/>
        <v>0</v>
      </c>
    </row>
    <row r="552" spans="2:54" ht="13.5" customHeight="1">
      <c r="B552" s="2445"/>
      <c r="C552" s="2521"/>
      <c r="D552" s="2500"/>
      <c r="E552" s="957" t="s">
        <v>777</v>
      </c>
      <c r="F552" s="2210" t="s">
        <v>1042</v>
      </c>
      <c r="G552" s="2210"/>
      <c r="H552" s="2210"/>
      <c r="I552" s="2210"/>
      <c r="J552" s="2210"/>
      <c r="K552" s="2210"/>
      <c r="L552" s="2210"/>
      <c r="M552" s="2210"/>
      <c r="N552" s="2210"/>
      <c r="O552" s="2210"/>
      <c r="P552" s="2211"/>
      <c r="Q552" s="2257">
        <v>5370</v>
      </c>
      <c r="R552" s="2224"/>
      <c r="S552" s="2224"/>
      <c r="T552" s="508" t="s">
        <v>1292</v>
      </c>
      <c r="U552" s="2225" t="s">
        <v>1031</v>
      </c>
      <c r="V552" s="2225"/>
      <c r="W552" s="2225"/>
      <c r="X552" s="508" t="s">
        <v>779</v>
      </c>
      <c r="Y552" s="2322" t="s">
        <v>1032</v>
      </c>
      <c r="Z552" s="2322"/>
      <c r="AA552" s="2322"/>
      <c r="AB552" s="508" t="s">
        <v>787</v>
      </c>
      <c r="AC552" s="2224"/>
      <c r="AD552" s="2224"/>
      <c r="AE552" s="2224"/>
      <c r="AF552" s="508" t="s">
        <v>787</v>
      </c>
      <c r="AG552" s="2224"/>
      <c r="AH552" s="2224"/>
      <c r="AI552" s="2226"/>
      <c r="AJ552" s="2212">
        <f t="shared" si="167"/>
        <v>5370</v>
      </c>
      <c r="AK552" s="2213"/>
      <c r="AL552" s="2214"/>
      <c r="AM552" s="2215">
        <v>1</v>
      </c>
      <c r="AN552" s="2216"/>
      <c r="AO552" s="2217"/>
      <c r="AP552" s="2209">
        <f t="shared" si="168"/>
        <v>5370</v>
      </c>
      <c r="AQ552" s="2210"/>
      <c r="AR552" s="2211"/>
      <c r="AS552" s="2203">
        <f ca="1">SUMIF(基礎・屋根・外壁!B$85:AE$85,F552,基礎・屋根・外壁!B$91:AE$91)+SUMIF(基礎・屋根・外壁!B$111:AE$111,F552,基礎・屋根・外壁!B$117:AE$117)+SUMIF(見積拾!C$125:D$129,F552,見積拾!T$125:T$129)</f>
        <v>0</v>
      </c>
      <c r="AT552" s="2204"/>
      <c r="AU552" s="2204"/>
      <c r="AV552" s="2205"/>
      <c r="AW552" s="2206">
        <f t="shared" ca="1" si="169"/>
        <v>0</v>
      </c>
      <c r="AX552" s="2207"/>
      <c r="AY552" s="2207"/>
      <c r="AZ552" s="2208"/>
      <c r="BA552" s="2200"/>
      <c r="BB552" s="956" t="b">
        <f t="shared" ca="1" si="170"/>
        <v>0</v>
      </c>
    </row>
    <row r="553" spans="2:54" ht="13.5" customHeight="1">
      <c r="B553" s="2445"/>
      <c r="C553" s="2521"/>
      <c r="D553" s="2500"/>
      <c r="E553" s="957" t="s">
        <v>777</v>
      </c>
      <c r="F553" s="2210" t="s">
        <v>1412</v>
      </c>
      <c r="G553" s="2210"/>
      <c r="H553" s="2210"/>
      <c r="I553" s="2210"/>
      <c r="J553" s="2210"/>
      <c r="K553" s="2210"/>
      <c r="L553" s="2210"/>
      <c r="M553" s="2210"/>
      <c r="N553" s="2210"/>
      <c r="O553" s="2210"/>
      <c r="P553" s="2211"/>
      <c r="Q553" s="2257">
        <v>2700</v>
      </c>
      <c r="R553" s="2224"/>
      <c r="S553" s="2224"/>
      <c r="T553" s="508" t="s">
        <v>1292</v>
      </c>
      <c r="U553" s="2225" t="s">
        <v>1031</v>
      </c>
      <c r="V553" s="2225"/>
      <c r="W553" s="2225"/>
      <c r="X553" s="508" t="s">
        <v>779</v>
      </c>
      <c r="Y553" s="2322" t="s">
        <v>1032</v>
      </c>
      <c r="Z553" s="2322"/>
      <c r="AA553" s="2322"/>
      <c r="AB553" s="508" t="s">
        <v>40</v>
      </c>
      <c r="AC553" s="2224"/>
      <c r="AD553" s="2224"/>
      <c r="AE553" s="2224"/>
      <c r="AF553" s="508" t="s">
        <v>40</v>
      </c>
      <c r="AG553" s="2224"/>
      <c r="AH553" s="2224"/>
      <c r="AI553" s="2226"/>
      <c r="AJ553" s="2212">
        <f t="shared" si="167"/>
        <v>2700</v>
      </c>
      <c r="AK553" s="2213"/>
      <c r="AL553" s="2214"/>
      <c r="AM553" s="2215">
        <v>1</v>
      </c>
      <c r="AN553" s="2216"/>
      <c r="AO553" s="2217"/>
      <c r="AP553" s="2209">
        <f t="shared" si="168"/>
        <v>2700</v>
      </c>
      <c r="AQ553" s="2210"/>
      <c r="AR553" s="2211"/>
      <c r="AS553" s="2203">
        <f ca="1">SUMIF(基礎・屋根・外壁!B$85:AE$85,F553,基礎・屋根・外壁!B$91:AE$91)+SUMIF(基礎・屋根・外壁!B$111:AE$111,F553,基礎・屋根・外壁!B$117:AE$117)+SUMIF(見積拾!C$125:D$129,F553,見積拾!T$125:T$129)</f>
        <v>0</v>
      </c>
      <c r="AT553" s="2204"/>
      <c r="AU553" s="2204"/>
      <c r="AV553" s="2205"/>
      <c r="AW553" s="2206">
        <f t="shared" ca="1" si="169"/>
        <v>0</v>
      </c>
      <c r="AX553" s="2207"/>
      <c r="AY553" s="2207"/>
      <c r="AZ553" s="2208"/>
      <c r="BA553" s="2200"/>
      <c r="BB553" s="956" t="b">
        <f t="shared" ca="1" si="170"/>
        <v>0</v>
      </c>
    </row>
    <row r="554" spans="2:54" ht="13.5" customHeight="1">
      <c r="B554" s="2445"/>
      <c r="C554" s="2521"/>
      <c r="D554" s="2500"/>
      <c r="E554" s="957" t="s">
        <v>777</v>
      </c>
      <c r="F554" s="2210" t="s">
        <v>1413</v>
      </c>
      <c r="G554" s="2210"/>
      <c r="H554" s="2210"/>
      <c r="I554" s="2210"/>
      <c r="J554" s="2210"/>
      <c r="K554" s="2210"/>
      <c r="L554" s="2210"/>
      <c r="M554" s="2210"/>
      <c r="N554" s="2210"/>
      <c r="O554" s="2210"/>
      <c r="P554" s="2211"/>
      <c r="Q554" s="2257">
        <v>11500</v>
      </c>
      <c r="R554" s="2224"/>
      <c r="S554" s="2224"/>
      <c r="T554" s="508" t="s">
        <v>1292</v>
      </c>
      <c r="U554" s="2225" t="s">
        <v>1031</v>
      </c>
      <c r="V554" s="2225"/>
      <c r="W554" s="2225"/>
      <c r="X554" s="508" t="s">
        <v>779</v>
      </c>
      <c r="Y554" s="2224">
        <v>1500</v>
      </c>
      <c r="Z554" s="2224"/>
      <c r="AA554" s="2224"/>
      <c r="AB554" s="508" t="s">
        <v>836</v>
      </c>
      <c r="AC554" s="2224"/>
      <c r="AD554" s="2224"/>
      <c r="AE554" s="2224"/>
      <c r="AF554" s="508" t="s">
        <v>836</v>
      </c>
      <c r="AG554" s="2224"/>
      <c r="AH554" s="2224"/>
      <c r="AI554" s="2226"/>
      <c r="AJ554" s="2212">
        <f t="shared" si="167"/>
        <v>13000</v>
      </c>
      <c r="AK554" s="2213"/>
      <c r="AL554" s="2214"/>
      <c r="AM554" s="2215">
        <v>1</v>
      </c>
      <c r="AN554" s="2216"/>
      <c r="AO554" s="2217"/>
      <c r="AP554" s="2209">
        <f t="shared" si="168"/>
        <v>13000</v>
      </c>
      <c r="AQ554" s="2210"/>
      <c r="AR554" s="2211"/>
      <c r="AS554" s="2203">
        <f ca="1">SUMIF(基礎・屋根・外壁!B$85:AE$85,F554,基礎・屋根・外壁!B$91:AE$91)+SUMIF(基礎・屋根・外壁!B$111:AE$111,F554,基礎・屋根・外壁!B$117:AE$117)+SUMIF(見積拾!C$125:D$129,F554,見積拾!T$125:T$129)</f>
        <v>0</v>
      </c>
      <c r="AT554" s="2204"/>
      <c r="AU554" s="2204"/>
      <c r="AV554" s="2205"/>
      <c r="AW554" s="2206">
        <f t="shared" ca="1" si="169"/>
        <v>0</v>
      </c>
      <c r="AX554" s="2207"/>
      <c r="AY554" s="2207"/>
      <c r="AZ554" s="2208"/>
      <c r="BA554" s="2200"/>
      <c r="BB554" s="956" t="b">
        <f t="shared" ca="1" si="170"/>
        <v>0</v>
      </c>
    </row>
    <row r="555" spans="2:54" ht="13.5" customHeight="1">
      <c r="B555" s="2445"/>
      <c r="C555" s="2521"/>
      <c r="D555" s="2500"/>
      <c r="E555" s="957" t="s">
        <v>777</v>
      </c>
      <c r="F555" s="2210" t="s">
        <v>1414</v>
      </c>
      <c r="G555" s="2210"/>
      <c r="H555" s="2210"/>
      <c r="I555" s="2210"/>
      <c r="J555" s="2210"/>
      <c r="K555" s="2210"/>
      <c r="L555" s="2210"/>
      <c r="M555" s="2210"/>
      <c r="N555" s="2210"/>
      <c r="O555" s="2210"/>
      <c r="P555" s="2211"/>
      <c r="Q555" s="2257">
        <v>2528</v>
      </c>
      <c r="R555" s="2224"/>
      <c r="S555" s="2224"/>
      <c r="T555" s="508" t="s">
        <v>1292</v>
      </c>
      <c r="U555" s="2224">
        <v>3715</v>
      </c>
      <c r="V555" s="2224"/>
      <c r="W555" s="2224"/>
      <c r="X555" s="508" t="s">
        <v>779</v>
      </c>
      <c r="Y555" s="2224">
        <v>952</v>
      </c>
      <c r="Z555" s="2224"/>
      <c r="AA555" s="2224"/>
      <c r="AB555" s="508" t="s">
        <v>836</v>
      </c>
      <c r="AC555" s="2224"/>
      <c r="AD555" s="2224"/>
      <c r="AE555" s="2224"/>
      <c r="AF555" s="508" t="s">
        <v>836</v>
      </c>
      <c r="AG555" s="2224"/>
      <c r="AH555" s="2224"/>
      <c r="AI555" s="2226"/>
      <c r="AJ555" s="2212">
        <f t="shared" si="167"/>
        <v>7190</v>
      </c>
      <c r="AK555" s="2213"/>
      <c r="AL555" s="2214"/>
      <c r="AM555" s="2215">
        <v>1</v>
      </c>
      <c r="AN555" s="2216"/>
      <c r="AO555" s="2217"/>
      <c r="AP555" s="2209">
        <f t="shared" si="168"/>
        <v>7190</v>
      </c>
      <c r="AQ555" s="2210"/>
      <c r="AR555" s="2211"/>
      <c r="AS555" s="2203">
        <f ca="1">SUMIF(基礎・屋根・外壁!B$85:AE$85,F555,基礎・屋根・外壁!B$91:AE$91)+SUMIF(基礎・屋根・外壁!B$111:AE$111,F555,基礎・屋根・外壁!B$117:AE$117)+SUMIF(見積拾!C$125:D$129,F555,見積拾!T$125:T$129)</f>
        <v>0</v>
      </c>
      <c r="AT555" s="2204"/>
      <c r="AU555" s="2204"/>
      <c r="AV555" s="2205"/>
      <c r="AW555" s="2206">
        <f t="shared" ca="1" si="169"/>
        <v>0</v>
      </c>
      <c r="AX555" s="2207"/>
      <c r="AY555" s="2207"/>
      <c r="AZ555" s="2208"/>
      <c r="BA555" s="2200"/>
      <c r="BB555" s="956" t="b">
        <f t="shared" ca="1" si="170"/>
        <v>0</v>
      </c>
    </row>
    <row r="556" spans="2:54" ht="13.5" customHeight="1">
      <c r="B556" s="2445"/>
      <c r="C556" s="2521"/>
      <c r="D556" s="2500"/>
      <c r="E556" s="957" t="s">
        <v>777</v>
      </c>
      <c r="F556" s="2210" t="s">
        <v>1415</v>
      </c>
      <c r="G556" s="2210"/>
      <c r="H556" s="2210"/>
      <c r="I556" s="2210"/>
      <c r="J556" s="2210"/>
      <c r="K556" s="2210"/>
      <c r="L556" s="2210"/>
      <c r="M556" s="2210"/>
      <c r="N556" s="2210"/>
      <c r="O556" s="2210"/>
      <c r="P556" s="2211"/>
      <c r="Q556" s="2257">
        <v>3662</v>
      </c>
      <c r="R556" s="2224"/>
      <c r="S556" s="2224"/>
      <c r="T556" s="508" t="s">
        <v>1292</v>
      </c>
      <c r="U556" s="2224">
        <v>2910</v>
      </c>
      <c r="V556" s="2224"/>
      <c r="W556" s="2224"/>
      <c r="X556" s="508" t="s">
        <v>779</v>
      </c>
      <c r="Y556" s="2224">
        <v>2762</v>
      </c>
      <c r="Z556" s="2224"/>
      <c r="AA556" s="2224"/>
      <c r="AB556" s="508" t="s">
        <v>789</v>
      </c>
      <c r="AC556" s="2224"/>
      <c r="AD556" s="2224"/>
      <c r="AE556" s="2224"/>
      <c r="AF556" s="508" t="s">
        <v>789</v>
      </c>
      <c r="AG556" s="2224"/>
      <c r="AH556" s="2224"/>
      <c r="AI556" s="2226"/>
      <c r="AJ556" s="2212">
        <f t="shared" si="167"/>
        <v>9330</v>
      </c>
      <c r="AK556" s="2213"/>
      <c r="AL556" s="2214"/>
      <c r="AM556" s="2215">
        <v>1</v>
      </c>
      <c r="AN556" s="2216"/>
      <c r="AO556" s="2217"/>
      <c r="AP556" s="2209">
        <f t="shared" si="168"/>
        <v>9330</v>
      </c>
      <c r="AQ556" s="2210"/>
      <c r="AR556" s="2211"/>
      <c r="AS556" s="2203">
        <f ca="1">SUMIF(基礎・屋根・外壁!B$85:AE$85,F556,基礎・屋根・外壁!B$91:AE$91)+SUMIF(基礎・屋根・外壁!B$111:AE$111,F556,基礎・屋根・外壁!B$117:AE$117)+SUMIF(見積拾!C$125:D$129,F556,見積拾!T$125:T$129)</f>
        <v>0</v>
      </c>
      <c r="AT556" s="2204"/>
      <c r="AU556" s="2204"/>
      <c r="AV556" s="2205"/>
      <c r="AW556" s="2206">
        <f t="shared" ca="1" si="169"/>
        <v>0</v>
      </c>
      <c r="AX556" s="2207"/>
      <c r="AY556" s="2207"/>
      <c r="AZ556" s="2208"/>
      <c r="BA556" s="2200"/>
      <c r="BB556" s="956" t="b">
        <f t="shared" ca="1" si="170"/>
        <v>0</v>
      </c>
    </row>
    <row r="557" spans="2:54" ht="13.5" customHeight="1">
      <c r="B557" s="2445"/>
      <c r="C557" s="2521"/>
      <c r="D557" s="2500"/>
      <c r="E557" s="957" t="s">
        <v>777</v>
      </c>
      <c r="F557" s="2210" t="s">
        <v>1416</v>
      </c>
      <c r="G557" s="2210"/>
      <c r="H557" s="2210"/>
      <c r="I557" s="2210"/>
      <c r="J557" s="2210"/>
      <c r="K557" s="2210"/>
      <c r="L557" s="2210"/>
      <c r="M557" s="2210"/>
      <c r="N557" s="2210"/>
      <c r="O557" s="2210"/>
      <c r="P557" s="2211"/>
      <c r="Q557" s="2257">
        <v>7000</v>
      </c>
      <c r="R557" s="2224"/>
      <c r="S557" s="2224"/>
      <c r="T557" s="508" t="s">
        <v>1292</v>
      </c>
      <c r="U557" s="2225" t="s">
        <v>1031</v>
      </c>
      <c r="V557" s="2225"/>
      <c r="W557" s="2225"/>
      <c r="X557" s="508" t="s">
        <v>779</v>
      </c>
      <c r="Y557" s="2224">
        <v>3162</v>
      </c>
      <c r="Z557" s="2224"/>
      <c r="AA557" s="2224"/>
      <c r="AB557" s="508" t="s">
        <v>787</v>
      </c>
      <c r="AC557" s="2224"/>
      <c r="AD557" s="2224"/>
      <c r="AE557" s="2224"/>
      <c r="AF557" s="508" t="s">
        <v>787</v>
      </c>
      <c r="AG557" s="2224"/>
      <c r="AH557" s="2224"/>
      <c r="AI557" s="2226"/>
      <c r="AJ557" s="2212">
        <f t="shared" si="167"/>
        <v>10160</v>
      </c>
      <c r="AK557" s="2213"/>
      <c r="AL557" s="2214"/>
      <c r="AM557" s="2215">
        <v>1</v>
      </c>
      <c r="AN557" s="2216"/>
      <c r="AO557" s="2217"/>
      <c r="AP557" s="2209">
        <f t="shared" si="168"/>
        <v>10160</v>
      </c>
      <c r="AQ557" s="2210"/>
      <c r="AR557" s="2211"/>
      <c r="AS557" s="2203">
        <f ca="1">SUMIF(基礎・屋根・外壁!B$85:AE$85,F557,基礎・屋根・外壁!B$91:AE$91)+SUMIF(基礎・屋根・外壁!B$111:AE$111,F557,基礎・屋根・外壁!B$117:AE$117)+SUMIF(見積拾!C$125:D$129,F557,見積拾!T$125:T$129)</f>
        <v>0</v>
      </c>
      <c r="AT557" s="2204"/>
      <c r="AU557" s="2204"/>
      <c r="AV557" s="2205"/>
      <c r="AW557" s="2206">
        <f t="shared" ca="1" si="169"/>
        <v>0</v>
      </c>
      <c r="AX557" s="2207"/>
      <c r="AY557" s="2207"/>
      <c r="AZ557" s="2208"/>
      <c r="BA557" s="2200"/>
      <c r="BB557" s="956" t="b">
        <f t="shared" ca="1" si="170"/>
        <v>0</v>
      </c>
    </row>
    <row r="558" spans="2:54" ht="13.5" customHeight="1">
      <c r="B558" s="2445"/>
      <c r="C558" s="2521"/>
      <c r="D558" s="2500"/>
      <c r="E558" s="957" t="s">
        <v>777</v>
      </c>
      <c r="F558" s="2210" t="s">
        <v>1417</v>
      </c>
      <c r="G558" s="2210"/>
      <c r="H558" s="2210"/>
      <c r="I558" s="2210"/>
      <c r="J558" s="2210"/>
      <c r="K558" s="2210"/>
      <c r="L558" s="2210"/>
      <c r="M558" s="2210"/>
      <c r="N558" s="2210"/>
      <c r="O558" s="2210"/>
      <c r="P558" s="2211"/>
      <c r="Q558" s="2257">
        <v>6200</v>
      </c>
      <c r="R558" s="2224"/>
      <c r="S558" s="2224"/>
      <c r="T558" s="508" t="s">
        <v>1292</v>
      </c>
      <c r="U558" s="2225" t="s">
        <v>1031</v>
      </c>
      <c r="V558" s="2225"/>
      <c r="W558" s="2225"/>
      <c r="X558" s="508" t="s">
        <v>779</v>
      </c>
      <c r="Y558" s="2224">
        <v>3162</v>
      </c>
      <c r="Z558" s="2224"/>
      <c r="AA558" s="2224"/>
      <c r="AB558" s="508" t="s">
        <v>787</v>
      </c>
      <c r="AC558" s="2224"/>
      <c r="AD558" s="2224"/>
      <c r="AE558" s="2224"/>
      <c r="AF558" s="508" t="s">
        <v>787</v>
      </c>
      <c r="AG558" s="2224"/>
      <c r="AH558" s="2224"/>
      <c r="AI558" s="2226"/>
      <c r="AJ558" s="2212">
        <f t="shared" si="167"/>
        <v>9360</v>
      </c>
      <c r="AK558" s="2213"/>
      <c r="AL558" s="2214"/>
      <c r="AM558" s="2215">
        <v>1</v>
      </c>
      <c r="AN558" s="2216"/>
      <c r="AO558" s="2217"/>
      <c r="AP558" s="2209">
        <f t="shared" si="168"/>
        <v>9360</v>
      </c>
      <c r="AQ558" s="2210"/>
      <c r="AR558" s="2211"/>
      <c r="AS558" s="2203">
        <f ca="1">SUMIF(基礎・屋根・外壁!B$85:AE$85,F558,基礎・屋根・外壁!B$91:AE$91)+SUMIF(基礎・屋根・外壁!B$111:AE$111,F558,基礎・屋根・外壁!B$117:AE$117)+SUMIF(見積拾!C$125:D$129,F558,見積拾!T$125:T$129)</f>
        <v>0</v>
      </c>
      <c r="AT558" s="2204"/>
      <c r="AU558" s="2204"/>
      <c r="AV558" s="2205"/>
      <c r="AW558" s="2206">
        <f t="shared" ca="1" si="169"/>
        <v>0</v>
      </c>
      <c r="AX558" s="2207"/>
      <c r="AY558" s="2207"/>
      <c r="AZ558" s="2208"/>
      <c r="BA558" s="2200"/>
      <c r="BB558" s="956" t="b">
        <f t="shared" ca="1" si="170"/>
        <v>0</v>
      </c>
    </row>
    <row r="559" spans="2:54" ht="13.5" customHeight="1">
      <c r="B559" s="2445"/>
      <c r="C559" s="2521"/>
      <c r="D559" s="2500"/>
      <c r="E559" s="957" t="s">
        <v>777</v>
      </c>
      <c r="F559" s="2210" t="s">
        <v>1418</v>
      </c>
      <c r="G559" s="2210"/>
      <c r="H559" s="2210"/>
      <c r="I559" s="2210"/>
      <c r="J559" s="2210"/>
      <c r="K559" s="2210"/>
      <c r="L559" s="2210"/>
      <c r="M559" s="2210"/>
      <c r="N559" s="2210"/>
      <c r="O559" s="2210"/>
      <c r="P559" s="2211"/>
      <c r="Q559" s="2257">
        <v>2630</v>
      </c>
      <c r="R559" s="2224"/>
      <c r="S559" s="2224"/>
      <c r="T559" s="508" t="s">
        <v>1292</v>
      </c>
      <c r="U559" s="2224">
        <v>1387</v>
      </c>
      <c r="V559" s="2224"/>
      <c r="W559" s="2224"/>
      <c r="X559" s="508" t="s">
        <v>779</v>
      </c>
      <c r="Y559" s="2224">
        <v>3162</v>
      </c>
      <c r="Z559" s="2224"/>
      <c r="AA559" s="2224"/>
      <c r="AB559" s="508" t="s">
        <v>813</v>
      </c>
      <c r="AC559" s="2224"/>
      <c r="AD559" s="2224"/>
      <c r="AE559" s="2224"/>
      <c r="AF559" s="508" t="s">
        <v>813</v>
      </c>
      <c r="AG559" s="2224"/>
      <c r="AH559" s="2224"/>
      <c r="AI559" s="2226"/>
      <c r="AJ559" s="2212">
        <f t="shared" si="167"/>
        <v>7170</v>
      </c>
      <c r="AK559" s="2213"/>
      <c r="AL559" s="2214"/>
      <c r="AM559" s="2215">
        <v>1</v>
      </c>
      <c r="AN559" s="2216"/>
      <c r="AO559" s="2217"/>
      <c r="AP559" s="2209">
        <f t="shared" si="168"/>
        <v>7170</v>
      </c>
      <c r="AQ559" s="2210"/>
      <c r="AR559" s="2211"/>
      <c r="AS559" s="2203">
        <f ca="1">SUMIF(基礎・屋根・外壁!B$85:AE$85,F559,基礎・屋根・外壁!B$91:AE$91)+SUMIF(基礎・屋根・外壁!B$111:AE$111,F559,基礎・屋根・外壁!B$117:AE$117)+SUMIF(見積拾!C$125:D$129,F559,見積拾!T$125:T$129)</f>
        <v>0</v>
      </c>
      <c r="AT559" s="2204"/>
      <c r="AU559" s="2204"/>
      <c r="AV559" s="2205"/>
      <c r="AW559" s="2206">
        <f t="shared" ca="1" si="169"/>
        <v>0</v>
      </c>
      <c r="AX559" s="2207"/>
      <c r="AY559" s="2207"/>
      <c r="AZ559" s="2208"/>
      <c r="BA559" s="2200"/>
      <c r="BB559" s="956" t="b">
        <f t="shared" ca="1" si="170"/>
        <v>0</v>
      </c>
    </row>
    <row r="560" spans="2:54" ht="13.5" customHeight="1">
      <c r="B560" s="2445"/>
      <c r="C560" s="2521"/>
      <c r="D560" s="2500"/>
      <c r="E560" s="957" t="s">
        <v>777</v>
      </c>
      <c r="F560" s="2210" t="s">
        <v>1419</v>
      </c>
      <c r="G560" s="2210"/>
      <c r="H560" s="2210"/>
      <c r="I560" s="2210"/>
      <c r="J560" s="2210"/>
      <c r="K560" s="2210"/>
      <c r="L560" s="2210"/>
      <c r="M560" s="2210"/>
      <c r="N560" s="2210"/>
      <c r="O560" s="2210"/>
      <c r="P560" s="2211"/>
      <c r="Q560" s="2257">
        <v>413</v>
      </c>
      <c r="R560" s="2224"/>
      <c r="S560" s="2224"/>
      <c r="T560" s="508" t="s">
        <v>1292</v>
      </c>
      <c r="U560" s="2224">
        <v>2551</v>
      </c>
      <c r="V560" s="2224"/>
      <c r="W560" s="2224"/>
      <c r="X560" s="508" t="s">
        <v>779</v>
      </c>
      <c r="Y560" s="2224">
        <v>2762</v>
      </c>
      <c r="Z560" s="2224"/>
      <c r="AA560" s="2224"/>
      <c r="AB560" s="508" t="s">
        <v>813</v>
      </c>
      <c r="AC560" s="2224"/>
      <c r="AD560" s="2224"/>
      <c r="AE560" s="2224"/>
      <c r="AF560" s="508" t="s">
        <v>813</v>
      </c>
      <c r="AG560" s="2224"/>
      <c r="AH560" s="2224"/>
      <c r="AI560" s="2226"/>
      <c r="AJ560" s="2212">
        <f t="shared" si="167"/>
        <v>5720</v>
      </c>
      <c r="AK560" s="2213"/>
      <c r="AL560" s="2214"/>
      <c r="AM560" s="2215">
        <v>1</v>
      </c>
      <c r="AN560" s="2216"/>
      <c r="AO560" s="2217"/>
      <c r="AP560" s="2209">
        <f t="shared" si="168"/>
        <v>5720</v>
      </c>
      <c r="AQ560" s="2210"/>
      <c r="AR560" s="2211"/>
      <c r="AS560" s="2203">
        <f ca="1">SUMIF(基礎・屋根・外壁!B$85:AE$85,F560,基礎・屋根・外壁!B$91:AE$91)+SUMIF(基礎・屋根・外壁!B$111:AE$111,F560,基礎・屋根・外壁!B$117:AE$117)+SUMIF(見積拾!C$125:D$129,F560,見積拾!T$125:T$129)</f>
        <v>0</v>
      </c>
      <c r="AT560" s="2204"/>
      <c r="AU560" s="2204"/>
      <c r="AV560" s="2205"/>
      <c r="AW560" s="2206">
        <f t="shared" ca="1" si="169"/>
        <v>0</v>
      </c>
      <c r="AX560" s="2207"/>
      <c r="AY560" s="2207"/>
      <c r="AZ560" s="2208"/>
      <c r="BA560" s="2200"/>
      <c r="BB560" s="956" t="b">
        <f t="shared" ca="1" si="170"/>
        <v>0</v>
      </c>
    </row>
    <row r="561" spans="2:54" ht="13.5" customHeight="1">
      <c r="B561" s="2445"/>
      <c r="C561" s="2521"/>
      <c r="D561" s="2500"/>
      <c r="E561" s="957" t="s">
        <v>777</v>
      </c>
      <c r="F561" s="2210" t="s">
        <v>1420</v>
      </c>
      <c r="G561" s="2210"/>
      <c r="H561" s="2210"/>
      <c r="I561" s="2210"/>
      <c r="J561" s="2210"/>
      <c r="K561" s="2210"/>
      <c r="L561" s="2210"/>
      <c r="M561" s="2210"/>
      <c r="N561" s="2210"/>
      <c r="O561" s="2210"/>
      <c r="P561" s="2211"/>
      <c r="Q561" s="2257">
        <v>2467</v>
      </c>
      <c r="R561" s="2224"/>
      <c r="S561" s="2224"/>
      <c r="T561" s="508" t="s">
        <v>1292</v>
      </c>
      <c r="U561" s="2225" t="s">
        <v>1031</v>
      </c>
      <c r="V561" s="2225"/>
      <c r="W561" s="2225"/>
      <c r="X561" s="508" t="s">
        <v>779</v>
      </c>
      <c r="Y561" s="2224">
        <v>526</v>
      </c>
      <c r="Z561" s="2224"/>
      <c r="AA561" s="2224"/>
      <c r="AB561" s="508" t="s">
        <v>813</v>
      </c>
      <c r="AC561" s="2224"/>
      <c r="AD561" s="2224"/>
      <c r="AE561" s="2224"/>
      <c r="AF561" s="508" t="s">
        <v>813</v>
      </c>
      <c r="AG561" s="2224"/>
      <c r="AH561" s="2224"/>
      <c r="AI561" s="2226"/>
      <c r="AJ561" s="2212">
        <f t="shared" si="167"/>
        <v>2990</v>
      </c>
      <c r="AK561" s="2213"/>
      <c r="AL561" s="2214"/>
      <c r="AM561" s="2215">
        <v>1</v>
      </c>
      <c r="AN561" s="2216"/>
      <c r="AO561" s="2217"/>
      <c r="AP561" s="2209">
        <f t="shared" si="168"/>
        <v>2990</v>
      </c>
      <c r="AQ561" s="2210"/>
      <c r="AR561" s="2211"/>
      <c r="AS561" s="2203">
        <f ca="1">SUMIF(基礎・屋根・外壁!B$85:AE$85,F561,基礎・屋根・外壁!B$91:AE$91)+SUMIF(基礎・屋根・外壁!B$111:AE$111,F561,基礎・屋根・外壁!B$117:AE$117)+SUMIF(見積拾!C$125:D$129,F561,見積拾!T$125:T$129)</f>
        <v>0</v>
      </c>
      <c r="AT561" s="2204"/>
      <c r="AU561" s="2204"/>
      <c r="AV561" s="2205"/>
      <c r="AW561" s="2206">
        <f t="shared" ca="1" si="169"/>
        <v>0</v>
      </c>
      <c r="AX561" s="2207"/>
      <c r="AY561" s="2207"/>
      <c r="AZ561" s="2208"/>
      <c r="BA561" s="2200"/>
      <c r="BB561" s="956" t="b">
        <f t="shared" ca="1" si="170"/>
        <v>0</v>
      </c>
    </row>
    <row r="562" spans="2:54" ht="13.5" customHeight="1">
      <c r="B562" s="2445"/>
      <c r="C562" s="2521"/>
      <c r="D562" s="2500"/>
      <c r="E562" s="957" t="s">
        <v>777</v>
      </c>
      <c r="F562" s="2210" t="s">
        <v>1327</v>
      </c>
      <c r="G562" s="2210"/>
      <c r="H562" s="2210"/>
      <c r="I562" s="2210"/>
      <c r="J562" s="2210"/>
      <c r="K562" s="2210"/>
      <c r="L562" s="2210"/>
      <c r="M562" s="2210"/>
      <c r="N562" s="2210"/>
      <c r="O562" s="2210"/>
      <c r="P562" s="2211"/>
      <c r="Q562" s="2257">
        <v>838</v>
      </c>
      <c r="R562" s="2224"/>
      <c r="S562" s="2224"/>
      <c r="T562" s="508" t="s">
        <v>1292</v>
      </c>
      <c r="U562" s="2224">
        <v>2551</v>
      </c>
      <c r="V562" s="2224"/>
      <c r="W562" s="2224"/>
      <c r="X562" s="508" t="s">
        <v>779</v>
      </c>
      <c r="Y562" s="2224">
        <v>2762</v>
      </c>
      <c r="Z562" s="2224"/>
      <c r="AA562" s="2224"/>
      <c r="AB562" s="508" t="s">
        <v>813</v>
      </c>
      <c r="AC562" s="2224"/>
      <c r="AD562" s="2224"/>
      <c r="AE562" s="2224"/>
      <c r="AF562" s="508" t="s">
        <v>813</v>
      </c>
      <c r="AG562" s="2224"/>
      <c r="AH562" s="2224"/>
      <c r="AI562" s="2226"/>
      <c r="AJ562" s="2212">
        <f t="shared" si="167"/>
        <v>6150</v>
      </c>
      <c r="AK562" s="2213"/>
      <c r="AL562" s="2214"/>
      <c r="AM562" s="2215">
        <v>1</v>
      </c>
      <c r="AN562" s="2216"/>
      <c r="AO562" s="2217"/>
      <c r="AP562" s="2209">
        <f t="shared" si="168"/>
        <v>6150</v>
      </c>
      <c r="AQ562" s="2210"/>
      <c r="AR562" s="2211"/>
      <c r="AS562" s="2203">
        <f ca="1">SUMIF(基礎・屋根・外壁!B$85:AE$85,F562,基礎・屋根・外壁!B$91:AE$91)+SUMIF(基礎・屋根・外壁!B$111:AE$111,F562,基礎・屋根・外壁!B$117:AE$117)+SUMIF(見積拾!C$125:D$129,F562,見積拾!T$125:T$129)</f>
        <v>0</v>
      </c>
      <c r="AT562" s="2204"/>
      <c r="AU562" s="2204"/>
      <c r="AV562" s="2205"/>
      <c r="AW562" s="2206">
        <f t="shared" ca="1" si="169"/>
        <v>0</v>
      </c>
      <c r="AX562" s="2207"/>
      <c r="AY562" s="2207"/>
      <c r="AZ562" s="2208"/>
      <c r="BA562" s="2200"/>
      <c r="BB562" s="956" t="b">
        <f t="shared" ca="1" si="170"/>
        <v>0</v>
      </c>
    </row>
    <row r="563" spans="2:54" ht="13.5" customHeight="1">
      <c r="B563" s="2445"/>
      <c r="C563" s="2521"/>
      <c r="D563" s="2500"/>
      <c r="E563" s="957" t="s">
        <v>777</v>
      </c>
      <c r="F563" s="2210" t="s">
        <v>1421</v>
      </c>
      <c r="G563" s="2210"/>
      <c r="H563" s="2210"/>
      <c r="I563" s="2210"/>
      <c r="J563" s="2210"/>
      <c r="K563" s="2210"/>
      <c r="L563" s="2210"/>
      <c r="M563" s="2210"/>
      <c r="N563" s="2210"/>
      <c r="O563" s="2210"/>
      <c r="P563" s="2211"/>
      <c r="Q563" s="2257">
        <v>2959</v>
      </c>
      <c r="R563" s="2224"/>
      <c r="S563" s="2224"/>
      <c r="T563" s="508" t="s">
        <v>1292</v>
      </c>
      <c r="U563" s="2225" t="s">
        <v>1031</v>
      </c>
      <c r="V563" s="2225"/>
      <c r="W563" s="2225"/>
      <c r="X563" s="508" t="s">
        <v>779</v>
      </c>
      <c r="Y563" s="2224">
        <v>526</v>
      </c>
      <c r="Z563" s="2224"/>
      <c r="AA563" s="2224"/>
      <c r="AB563" s="508" t="s">
        <v>813</v>
      </c>
      <c r="AC563" s="2224"/>
      <c r="AD563" s="2224"/>
      <c r="AE563" s="2224"/>
      <c r="AF563" s="508" t="s">
        <v>813</v>
      </c>
      <c r="AG563" s="2224"/>
      <c r="AH563" s="2224"/>
      <c r="AI563" s="2226"/>
      <c r="AJ563" s="2212">
        <f t="shared" si="167"/>
        <v>3480</v>
      </c>
      <c r="AK563" s="2213"/>
      <c r="AL563" s="2214"/>
      <c r="AM563" s="2215">
        <v>1</v>
      </c>
      <c r="AN563" s="2216"/>
      <c r="AO563" s="2217"/>
      <c r="AP563" s="2209">
        <f t="shared" si="168"/>
        <v>3480</v>
      </c>
      <c r="AQ563" s="2210"/>
      <c r="AR563" s="2211"/>
      <c r="AS563" s="2203">
        <f ca="1">SUMIF(基礎・屋根・外壁!B$85:AE$85,F563,基礎・屋根・外壁!B$91:AE$91)+SUMIF(基礎・屋根・外壁!B$111:AE$111,F563,基礎・屋根・外壁!B$117:AE$117)+SUMIF(見積拾!C$125:D$129,F563,見積拾!T$125:T$129)</f>
        <v>0</v>
      </c>
      <c r="AT563" s="2204"/>
      <c r="AU563" s="2204"/>
      <c r="AV563" s="2205"/>
      <c r="AW563" s="2206">
        <f t="shared" ca="1" si="169"/>
        <v>0</v>
      </c>
      <c r="AX563" s="2207"/>
      <c r="AY563" s="2207"/>
      <c r="AZ563" s="2208"/>
      <c r="BA563" s="2200"/>
      <c r="BB563" s="956" t="b">
        <f t="shared" ca="1" si="170"/>
        <v>0</v>
      </c>
    </row>
    <row r="564" spans="2:54" ht="13.5" customHeight="1">
      <c r="B564" s="2445"/>
      <c r="C564" s="2521"/>
      <c r="D564" s="2500"/>
      <c r="E564" s="957" t="s">
        <v>777</v>
      </c>
      <c r="F564" s="2210" t="s">
        <v>1422</v>
      </c>
      <c r="G564" s="2210"/>
      <c r="H564" s="2210"/>
      <c r="I564" s="2210"/>
      <c r="J564" s="2210"/>
      <c r="K564" s="2210"/>
      <c r="L564" s="2210"/>
      <c r="M564" s="2210"/>
      <c r="N564" s="2210"/>
      <c r="O564" s="2210"/>
      <c r="P564" s="2211"/>
      <c r="Q564" s="2257">
        <v>2258</v>
      </c>
      <c r="R564" s="2224"/>
      <c r="S564" s="2224"/>
      <c r="T564" s="508" t="s">
        <v>1292</v>
      </c>
      <c r="U564" s="2224">
        <v>3783</v>
      </c>
      <c r="V564" s="2224"/>
      <c r="W564" s="2224"/>
      <c r="X564" s="508" t="s">
        <v>779</v>
      </c>
      <c r="Y564" s="2224">
        <v>2762</v>
      </c>
      <c r="Z564" s="2224"/>
      <c r="AA564" s="2224"/>
      <c r="AB564" s="508" t="s">
        <v>786</v>
      </c>
      <c r="AC564" s="2224"/>
      <c r="AD564" s="2224"/>
      <c r="AE564" s="2224"/>
      <c r="AF564" s="508" t="s">
        <v>786</v>
      </c>
      <c r="AG564" s="2224"/>
      <c r="AH564" s="2224"/>
      <c r="AI564" s="2226"/>
      <c r="AJ564" s="2212">
        <f t="shared" si="167"/>
        <v>8800</v>
      </c>
      <c r="AK564" s="2213"/>
      <c r="AL564" s="2214"/>
      <c r="AM564" s="2215">
        <v>1</v>
      </c>
      <c r="AN564" s="2216"/>
      <c r="AO564" s="2217"/>
      <c r="AP564" s="2209">
        <f t="shared" si="168"/>
        <v>8800</v>
      </c>
      <c r="AQ564" s="2210"/>
      <c r="AR564" s="2211"/>
      <c r="AS564" s="2203">
        <f ca="1">SUMIF(基礎・屋根・外壁!B$85:AE$85,F564,基礎・屋根・外壁!B$91:AE$91)+SUMIF(基礎・屋根・外壁!B$111:AE$111,F564,基礎・屋根・外壁!B$117:AE$117)+SUMIF(見積拾!C$125:D$129,F564,見積拾!T$125:T$129)</f>
        <v>0</v>
      </c>
      <c r="AT564" s="2204"/>
      <c r="AU564" s="2204"/>
      <c r="AV564" s="2205"/>
      <c r="AW564" s="2206">
        <f t="shared" ca="1" si="169"/>
        <v>0</v>
      </c>
      <c r="AX564" s="2207"/>
      <c r="AY564" s="2207"/>
      <c r="AZ564" s="2208"/>
      <c r="BA564" s="2200"/>
      <c r="BB564" s="956" t="b">
        <f t="shared" ca="1" si="170"/>
        <v>0</v>
      </c>
    </row>
    <row r="565" spans="2:54" ht="13.5" customHeight="1">
      <c r="B565" s="2445"/>
      <c r="C565" s="2521"/>
      <c r="D565" s="2500"/>
      <c r="E565" s="957" t="s">
        <v>777</v>
      </c>
      <c r="F565" s="2210" t="s">
        <v>1423</v>
      </c>
      <c r="G565" s="2210"/>
      <c r="H565" s="2210"/>
      <c r="I565" s="2210"/>
      <c r="J565" s="2210"/>
      <c r="K565" s="2210"/>
      <c r="L565" s="2210"/>
      <c r="M565" s="2210"/>
      <c r="N565" s="2210"/>
      <c r="O565" s="2210"/>
      <c r="P565" s="2211"/>
      <c r="Q565" s="2257">
        <v>5218</v>
      </c>
      <c r="R565" s="2224"/>
      <c r="S565" s="2224"/>
      <c r="T565" s="508" t="s">
        <v>1292</v>
      </c>
      <c r="U565" s="2225" t="s">
        <v>1031</v>
      </c>
      <c r="V565" s="2225"/>
      <c r="W565" s="2225"/>
      <c r="X565" s="508" t="s">
        <v>779</v>
      </c>
      <c r="Y565" s="2224">
        <v>526</v>
      </c>
      <c r="Z565" s="2224"/>
      <c r="AA565" s="2224"/>
      <c r="AB565" s="508" t="s">
        <v>40</v>
      </c>
      <c r="AC565" s="2224"/>
      <c r="AD565" s="2224"/>
      <c r="AE565" s="2224"/>
      <c r="AF565" s="508" t="s">
        <v>40</v>
      </c>
      <c r="AG565" s="2224"/>
      <c r="AH565" s="2224"/>
      <c r="AI565" s="2226"/>
      <c r="AJ565" s="2212">
        <f t="shared" si="167"/>
        <v>5740</v>
      </c>
      <c r="AK565" s="2213"/>
      <c r="AL565" s="2214"/>
      <c r="AM565" s="2215">
        <v>1</v>
      </c>
      <c r="AN565" s="2216"/>
      <c r="AO565" s="2217"/>
      <c r="AP565" s="2209">
        <f t="shared" si="168"/>
        <v>5740</v>
      </c>
      <c r="AQ565" s="2210"/>
      <c r="AR565" s="2211"/>
      <c r="AS565" s="2203">
        <f ca="1">SUMIF(基礎・屋根・外壁!B$85:AE$85,F565,基礎・屋根・外壁!B$91:AE$91)+SUMIF(基礎・屋根・外壁!B$111:AE$111,F565,基礎・屋根・外壁!B$117:AE$117)+SUMIF(見積拾!C$125:D$129,F565,見積拾!T$125:T$129)</f>
        <v>0</v>
      </c>
      <c r="AT565" s="2204"/>
      <c r="AU565" s="2204"/>
      <c r="AV565" s="2205"/>
      <c r="AW565" s="2206">
        <f t="shared" ca="1" si="169"/>
        <v>0</v>
      </c>
      <c r="AX565" s="2207"/>
      <c r="AY565" s="2207"/>
      <c r="AZ565" s="2208"/>
      <c r="BA565" s="2200"/>
      <c r="BB565" s="956" t="b">
        <f t="shared" ca="1" si="170"/>
        <v>0</v>
      </c>
    </row>
    <row r="566" spans="2:54" ht="13.5" customHeight="1">
      <c r="B566" s="2445"/>
      <c r="C566" s="2521"/>
      <c r="D566" s="2500"/>
      <c r="E566" s="957" t="s">
        <v>777</v>
      </c>
      <c r="F566" s="2210" t="s">
        <v>1043</v>
      </c>
      <c r="G566" s="2210"/>
      <c r="H566" s="2210"/>
      <c r="I566" s="2210"/>
      <c r="J566" s="2210"/>
      <c r="K566" s="2210"/>
      <c r="L566" s="2210"/>
      <c r="M566" s="2210"/>
      <c r="N566" s="2210"/>
      <c r="O566" s="2210"/>
      <c r="P566" s="2211"/>
      <c r="Q566" s="2257">
        <v>6870</v>
      </c>
      <c r="R566" s="2224"/>
      <c r="S566" s="2224"/>
      <c r="T566" s="508" t="s">
        <v>1292</v>
      </c>
      <c r="U566" s="2224">
        <v>9622</v>
      </c>
      <c r="V566" s="2224"/>
      <c r="W566" s="2224"/>
      <c r="X566" s="508" t="s">
        <v>779</v>
      </c>
      <c r="Y566" s="2224">
        <v>2762</v>
      </c>
      <c r="Z566" s="2224"/>
      <c r="AA566" s="2224"/>
      <c r="AB566" s="508" t="s">
        <v>830</v>
      </c>
      <c r="AC566" s="2224"/>
      <c r="AD566" s="2224"/>
      <c r="AE566" s="2224"/>
      <c r="AF566" s="508" t="s">
        <v>830</v>
      </c>
      <c r="AG566" s="2224"/>
      <c r="AH566" s="2224"/>
      <c r="AI566" s="2226"/>
      <c r="AJ566" s="2212">
        <f t="shared" si="167"/>
        <v>19250</v>
      </c>
      <c r="AK566" s="2213"/>
      <c r="AL566" s="2214"/>
      <c r="AM566" s="2215">
        <v>1</v>
      </c>
      <c r="AN566" s="2216"/>
      <c r="AO566" s="2217"/>
      <c r="AP566" s="2209">
        <f t="shared" si="168"/>
        <v>19250</v>
      </c>
      <c r="AQ566" s="2210"/>
      <c r="AR566" s="2211"/>
      <c r="AS566" s="2203">
        <f ca="1">SUMIF(基礎・屋根・外壁!B$85:AE$85,F566,基礎・屋根・外壁!B$91:AE$91)+SUMIF(基礎・屋根・外壁!B$111:AE$111,F566,基礎・屋根・外壁!B$117:AE$117)+SUMIF(見積拾!C$125:D$129,F566,見積拾!T$125:T$129)</f>
        <v>0</v>
      </c>
      <c r="AT566" s="2204"/>
      <c r="AU566" s="2204"/>
      <c r="AV566" s="2205"/>
      <c r="AW566" s="2206">
        <f t="shared" ca="1" si="169"/>
        <v>0</v>
      </c>
      <c r="AX566" s="2207"/>
      <c r="AY566" s="2207"/>
      <c r="AZ566" s="2208"/>
      <c r="BA566" s="2200"/>
      <c r="BB566" s="956" t="b">
        <f t="shared" ca="1" si="170"/>
        <v>0</v>
      </c>
    </row>
    <row r="567" spans="2:54" ht="13.5" customHeight="1">
      <c r="B567" s="2445"/>
      <c r="C567" s="2521"/>
      <c r="D567" s="2500"/>
      <c r="E567" s="957" t="s">
        <v>777</v>
      </c>
      <c r="F567" s="2210" t="s">
        <v>1352</v>
      </c>
      <c r="G567" s="2210"/>
      <c r="H567" s="2210"/>
      <c r="I567" s="2210"/>
      <c r="J567" s="2210"/>
      <c r="K567" s="2210"/>
      <c r="L567" s="2210"/>
      <c r="M567" s="2210"/>
      <c r="N567" s="2210"/>
      <c r="O567" s="2210"/>
      <c r="P567" s="2211"/>
      <c r="Q567" s="2257">
        <v>1805</v>
      </c>
      <c r="R567" s="2224"/>
      <c r="S567" s="2224"/>
      <c r="T567" s="508" t="s">
        <v>1292</v>
      </c>
      <c r="U567" s="2224">
        <v>2192</v>
      </c>
      <c r="V567" s="2224"/>
      <c r="W567" s="2224"/>
      <c r="X567" s="508" t="s">
        <v>779</v>
      </c>
      <c r="Y567" s="2224">
        <v>2762</v>
      </c>
      <c r="Z567" s="2224"/>
      <c r="AA567" s="2224"/>
      <c r="AB567" s="508" t="s">
        <v>830</v>
      </c>
      <c r="AC567" s="2224"/>
      <c r="AD567" s="2224"/>
      <c r="AE567" s="2224"/>
      <c r="AF567" s="508" t="s">
        <v>830</v>
      </c>
      <c r="AG567" s="2224"/>
      <c r="AH567" s="2224"/>
      <c r="AI567" s="2226"/>
      <c r="AJ567" s="2212">
        <f t="shared" si="167"/>
        <v>6750</v>
      </c>
      <c r="AK567" s="2213"/>
      <c r="AL567" s="2214"/>
      <c r="AM567" s="2215">
        <v>1</v>
      </c>
      <c r="AN567" s="2216"/>
      <c r="AO567" s="2217"/>
      <c r="AP567" s="2209">
        <f t="shared" si="168"/>
        <v>6750</v>
      </c>
      <c r="AQ567" s="2210"/>
      <c r="AR567" s="2211"/>
      <c r="AS567" s="2203">
        <f ca="1">SUMIF(基礎・屋根・外壁!B$85:AE$85,F567,基礎・屋根・外壁!B$91:AE$91)+SUMIF(基礎・屋根・外壁!B$111:AE$111,F567,基礎・屋根・外壁!B$117:AE$117)+SUMIF(見積拾!C$125:D$129,F567,見積拾!T$125:T$129)</f>
        <v>0</v>
      </c>
      <c r="AT567" s="2204"/>
      <c r="AU567" s="2204"/>
      <c r="AV567" s="2205"/>
      <c r="AW567" s="2206">
        <f t="shared" ca="1" si="169"/>
        <v>0</v>
      </c>
      <c r="AX567" s="2207"/>
      <c r="AY567" s="2207"/>
      <c r="AZ567" s="2208"/>
      <c r="BA567" s="2200"/>
      <c r="BB567" s="956" t="b">
        <f t="shared" ca="1" si="170"/>
        <v>0</v>
      </c>
    </row>
    <row r="568" spans="2:54" ht="13.5" customHeight="1">
      <c r="B568" s="2445"/>
      <c r="C568" s="2521"/>
      <c r="D568" s="2500"/>
      <c r="E568" s="957" t="s">
        <v>777</v>
      </c>
      <c r="F568" s="2210" t="s">
        <v>1424</v>
      </c>
      <c r="G568" s="2210"/>
      <c r="H568" s="2210"/>
      <c r="I568" s="2210"/>
      <c r="J568" s="2210"/>
      <c r="K568" s="2210"/>
      <c r="L568" s="2210"/>
      <c r="M568" s="2210"/>
      <c r="N568" s="2210"/>
      <c r="O568" s="2210"/>
      <c r="P568" s="2211"/>
      <c r="Q568" s="2257">
        <v>3303</v>
      </c>
      <c r="R568" s="2224"/>
      <c r="S568" s="2224"/>
      <c r="T568" s="508" t="s">
        <v>1292</v>
      </c>
      <c r="U568" s="2224">
        <v>3424</v>
      </c>
      <c r="V568" s="2224"/>
      <c r="W568" s="2224"/>
      <c r="X568" s="508" t="s">
        <v>779</v>
      </c>
      <c r="Y568" s="2224">
        <v>526</v>
      </c>
      <c r="Z568" s="2224"/>
      <c r="AA568" s="2224"/>
      <c r="AB568" s="508" t="s">
        <v>785</v>
      </c>
      <c r="AC568" s="2224"/>
      <c r="AD568" s="2224"/>
      <c r="AE568" s="2224"/>
      <c r="AF568" s="508" t="s">
        <v>785</v>
      </c>
      <c r="AG568" s="2224"/>
      <c r="AH568" s="2224"/>
      <c r="AI568" s="2226"/>
      <c r="AJ568" s="2212">
        <f t="shared" si="167"/>
        <v>7250</v>
      </c>
      <c r="AK568" s="2213"/>
      <c r="AL568" s="2214"/>
      <c r="AM568" s="2215">
        <v>1</v>
      </c>
      <c r="AN568" s="2216"/>
      <c r="AO568" s="2217"/>
      <c r="AP568" s="2209">
        <f t="shared" si="168"/>
        <v>7250</v>
      </c>
      <c r="AQ568" s="2210"/>
      <c r="AR568" s="2211"/>
      <c r="AS568" s="2203">
        <f ca="1">SUMIF(基礎・屋根・外壁!B$85:AE$85,F568,基礎・屋根・外壁!B$91:AE$91)+SUMIF(基礎・屋根・外壁!B$111:AE$111,F568,基礎・屋根・外壁!B$117:AE$117)+SUMIF(見積拾!C$125:D$129,F568,見積拾!T$125:T$129)</f>
        <v>0</v>
      </c>
      <c r="AT568" s="2204"/>
      <c r="AU568" s="2204"/>
      <c r="AV568" s="2205"/>
      <c r="AW568" s="2206">
        <f t="shared" ca="1" si="169"/>
        <v>0</v>
      </c>
      <c r="AX568" s="2207"/>
      <c r="AY568" s="2207"/>
      <c r="AZ568" s="2208"/>
      <c r="BA568" s="2200"/>
      <c r="BB568" s="956" t="b">
        <f t="shared" ca="1" si="170"/>
        <v>0</v>
      </c>
    </row>
    <row r="569" spans="2:54" ht="13.5" customHeight="1">
      <c r="B569" s="2445"/>
      <c r="C569" s="2521"/>
      <c r="D569" s="2500"/>
      <c r="E569" s="957" t="s">
        <v>777</v>
      </c>
      <c r="F569" s="2210" t="s">
        <v>1425</v>
      </c>
      <c r="G569" s="2210"/>
      <c r="H569" s="2210"/>
      <c r="I569" s="2210"/>
      <c r="J569" s="2210"/>
      <c r="K569" s="2210"/>
      <c r="L569" s="2210"/>
      <c r="M569" s="2210"/>
      <c r="N569" s="2210"/>
      <c r="O569" s="2210"/>
      <c r="P569" s="2211"/>
      <c r="Q569" s="2257">
        <v>2694</v>
      </c>
      <c r="R569" s="2224"/>
      <c r="S569" s="2224"/>
      <c r="T569" s="508" t="s">
        <v>1292</v>
      </c>
      <c r="U569" s="2224">
        <v>2192</v>
      </c>
      <c r="V569" s="2224"/>
      <c r="W569" s="2224"/>
      <c r="X569" s="508" t="s">
        <v>779</v>
      </c>
      <c r="Y569" s="2224">
        <v>2762</v>
      </c>
      <c r="Z569" s="2224"/>
      <c r="AA569" s="2224"/>
      <c r="AB569" s="508" t="s">
        <v>808</v>
      </c>
      <c r="AC569" s="2224"/>
      <c r="AD569" s="2224"/>
      <c r="AE569" s="2224"/>
      <c r="AF569" s="508" t="s">
        <v>808</v>
      </c>
      <c r="AG569" s="2224"/>
      <c r="AH569" s="2224"/>
      <c r="AI569" s="2226"/>
      <c r="AJ569" s="2212">
        <f t="shared" si="167"/>
        <v>7640</v>
      </c>
      <c r="AK569" s="2213"/>
      <c r="AL569" s="2214"/>
      <c r="AM569" s="2215">
        <v>1</v>
      </c>
      <c r="AN569" s="2216"/>
      <c r="AO569" s="2217"/>
      <c r="AP569" s="2209">
        <f t="shared" si="168"/>
        <v>7640</v>
      </c>
      <c r="AQ569" s="2210"/>
      <c r="AR569" s="2211"/>
      <c r="AS569" s="2203">
        <f ca="1">SUMIF(基礎・屋根・外壁!B$85:AE$85,F569,基礎・屋根・外壁!B$91:AE$91)+SUMIF(基礎・屋根・外壁!B$111:AE$111,F569,基礎・屋根・外壁!B$117:AE$117)+SUMIF(見積拾!C$125:D$129,F569,見積拾!T$125:T$129)</f>
        <v>0</v>
      </c>
      <c r="AT569" s="2204"/>
      <c r="AU569" s="2204"/>
      <c r="AV569" s="2205"/>
      <c r="AW569" s="2206">
        <f t="shared" ca="1" si="169"/>
        <v>0</v>
      </c>
      <c r="AX569" s="2207"/>
      <c r="AY569" s="2207"/>
      <c r="AZ569" s="2208"/>
      <c r="BA569" s="2200"/>
      <c r="BB569" s="956" t="b">
        <f t="shared" ca="1" si="170"/>
        <v>0</v>
      </c>
    </row>
    <row r="570" spans="2:54" ht="13.5" customHeight="1">
      <c r="B570" s="2445"/>
      <c r="C570" s="2521"/>
      <c r="D570" s="2500"/>
      <c r="E570" s="957" t="s">
        <v>777</v>
      </c>
      <c r="F570" s="2210" t="s">
        <v>1426</v>
      </c>
      <c r="G570" s="2210"/>
      <c r="H570" s="2210"/>
      <c r="I570" s="2210"/>
      <c r="J570" s="2210"/>
      <c r="K570" s="2210"/>
      <c r="L570" s="2210"/>
      <c r="M570" s="2210"/>
      <c r="N570" s="2210"/>
      <c r="O570" s="2210"/>
      <c r="P570" s="2211"/>
      <c r="Q570" s="2257">
        <v>4931</v>
      </c>
      <c r="R570" s="2224"/>
      <c r="S570" s="2224"/>
      <c r="T570" s="508" t="s">
        <v>1292</v>
      </c>
      <c r="U570" s="2224">
        <v>3424</v>
      </c>
      <c r="V570" s="2224"/>
      <c r="W570" s="2224"/>
      <c r="X570" s="508" t="s">
        <v>779</v>
      </c>
      <c r="Y570" s="2224">
        <v>526</v>
      </c>
      <c r="Z570" s="2224"/>
      <c r="AA570" s="2224"/>
      <c r="AB570" s="508" t="s">
        <v>808</v>
      </c>
      <c r="AC570" s="2224"/>
      <c r="AD570" s="2224"/>
      <c r="AE570" s="2224"/>
      <c r="AF570" s="508" t="s">
        <v>808</v>
      </c>
      <c r="AG570" s="2224"/>
      <c r="AH570" s="2224"/>
      <c r="AI570" s="2226"/>
      <c r="AJ570" s="2212">
        <f t="shared" si="167"/>
        <v>8880</v>
      </c>
      <c r="AK570" s="2213"/>
      <c r="AL570" s="2214"/>
      <c r="AM570" s="2215">
        <v>1</v>
      </c>
      <c r="AN570" s="2216"/>
      <c r="AO570" s="2217"/>
      <c r="AP570" s="2209">
        <f t="shared" si="168"/>
        <v>8880</v>
      </c>
      <c r="AQ570" s="2210"/>
      <c r="AR570" s="2211"/>
      <c r="AS570" s="2203">
        <f ca="1">SUMIF(基礎・屋根・外壁!B$85:AE$85,F570,基礎・屋根・外壁!B$91:AE$91)+SUMIF(基礎・屋根・外壁!B$111:AE$111,F570,基礎・屋根・外壁!B$117:AE$117)+SUMIF(見積拾!C$125:D$129,F570,見積拾!T$125:T$129)</f>
        <v>0</v>
      </c>
      <c r="AT570" s="2204"/>
      <c r="AU570" s="2204"/>
      <c r="AV570" s="2205"/>
      <c r="AW570" s="2206">
        <f t="shared" ca="1" si="169"/>
        <v>0</v>
      </c>
      <c r="AX570" s="2207"/>
      <c r="AY570" s="2207"/>
      <c r="AZ570" s="2208"/>
      <c r="BA570" s="2200"/>
      <c r="BB570" s="956" t="b">
        <f t="shared" ca="1" si="170"/>
        <v>0</v>
      </c>
    </row>
    <row r="571" spans="2:54" ht="13.5" customHeight="1">
      <c r="B571" s="2445"/>
      <c r="C571" s="2521"/>
      <c r="D571" s="2500"/>
      <c r="E571" s="957" t="s">
        <v>777</v>
      </c>
      <c r="F571" s="2210" t="s">
        <v>1333</v>
      </c>
      <c r="G571" s="2210"/>
      <c r="H571" s="2210"/>
      <c r="I571" s="2210"/>
      <c r="J571" s="2210"/>
      <c r="K571" s="2210"/>
      <c r="L571" s="2210"/>
      <c r="M571" s="2210"/>
      <c r="N571" s="2210"/>
      <c r="O571" s="2210"/>
      <c r="P571" s="2211"/>
      <c r="Q571" s="2257">
        <v>5200</v>
      </c>
      <c r="R571" s="2224"/>
      <c r="S571" s="2224"/>
      <c r="T571" s="508" t="s">
        <v>1292</v>
      </c>
      <c r="U571" s="2224">
        <v>3783</v>
      </c>
      <c r="V571" s="2224"/>
      <c r="W571" s="2224"/>
      <c r="X571" s="508" t="s">
        <v>779</v>
      </c>
      <c r="Y571" s="2224">
        <v>2762</v>
      </c>
      <c r="Z571" s="2224"/>
      <c r="AA571" s="2224"/>
      <c r="AB571" s="508" t="s">
        <v>787</v>
      </c>
      <c r="AC571" s="2224"/>
      <c r="AD571" s="2224"/>
      <c r="AE571" s="2224"/>
      <c r="AF571" s="508" t="s">
        <v>787</v>
      </c>
      <c r="AG571" s="2224"/>
      <c r="AH571" s="2224"/>
      <c r="AI571" s="2226"/>
      <c r="AJ571" s="2212">
        <f t="shared" si="167"/>
        <v>11740</v>
      </c>
      <c r="AK571" s="2213"/>
      <c r="AL571" s="2214"/>
      <c r="AM571" s="2215">
        <v>1</v>
      </c>
      <c r="AN571" s="2216"/>
      <c r="AO571" s="2217"/>
      <c r="AP571" s="2209">
        <f t="shared" si="168"/>
        <v>11740</v>
      </c>
      <c r="AQ571" s="2210"/>
      <c r="AR571" s="2211"/>
      <c r="AS571" s="2203">
        <f ca="1">SUMIF(基礎・屋根・外壁!B$85:AE$85,F571,基礎・屋根・外壁!B$91:AE$91)+SUMIF(基礎・屋根・外壁!B$111:AE$111,F571,基礎・屋根・外壁!B$117:AE$117)+SUMIF(見積拾!C$125:D$129,F571,見積拾!T$125:T$129)</f>
        <v>0</v>
      </c>
      <c r="AT571" s="2204"/>
      <c r="AU571" s="2204"/>
      <c r="AV571" s="2205"/>
      <c r="AW571" s="2206">
        <f t="shared" ca="1" si="169"/>
        <v>0</v>
      </c>
      <c r="AX571" s="2207"/>
      <c r="AY571" s="2207"/>
      <c r="AZ571" s="2208"/>
      <c r="BA571" s="2200"/>
      <c r="BB571" s="956" t="b">
        <f t="shared" ca="1" si="170"/>
        <v>0</v>
      </c>
    </row>
    <row r="572" spans="2:54" ht="13.5" customHeight="1">
      <c r="B572" s="2445"/>
      <c r="C572" s="2521"/>
      <c r="D572" s="2500"/>
      <c r="E572" s="957" t="s">
        <v>777</v>
      </c>
      <c r="F572" s="2210" t="s">
        <v>5317</v>
      </c>
      <c r="G572" s="2210"/>
      <c r="H572" s="2210"/>
      <c r="I572" s="2210"/>
      <c r="J572" s="2210"/>
      <c r="K572" s="2210"/>
      <c r="L572" s="2210"/>
      <c r="M572" s="2210"/>
      <c r="N572" s="2210"/>
      <c r="O572" s="2210"/>
      <c r="P572" s="2211"/>
      <c r="Q572" s="2257">
        <v>5150</v>
      </c>
      <c r="R572" s="2224"/>
      <c r="S572" s="2224"/>
      <c r="T572" s="508" t="s">
        <v>1292</v>
      </c>
      <c r="U572" s="2225" t="s">
        <v>1031</v>
      </c>
      <c r="V572" s="2225"/>
      <c r="W572" s="2225"/>
      <c r="X572" s="508" t="s">
        <v>779</v>
      </c>
      <c r="Y572" s="2224">
        <v>2632</v>
      </c>
      <c r="Z572" s="2224"/>
      <c r="AA572" s="2224"/>
      <c r="AB572" s="508" t="s">
        <v>785</v>
      </c>
      <c r="AC572" s="2224"/>
      <c r="AD572" s="2224"/>
      <c r="AE572" s="2224"/>
      <c r="AF572" s="508" t="s">
        <v>785</v>
      </c>
      <c r="AG572" s="2224"/>
      <c r="AH572" s="2224"/>
      <c r="AI572" s="2226"/>
      <c r="AJ572" s="2212">
        <f t="shared" si="167"/>
        <v>7780</v>
      </c>
      <c r="AK572" s="2213"/>
      <c r="AL572" s="2214"/>
      <c r="AM572" s="2215">
        <v>1</v>
      </c>
      <c r="AN572" s="2216"/>
      <c r="AO572" s="2217"/>
      <c r="AP572" s="2209">
        <f t="shared" si="168"/>
        <v>7780</v>
      </c>
      <c r="AQ572" s="2210"/>
      <c r="AR572" s="2211"/>
      <c r="AS572" s="2203">
        <f ca="1">SUMIF(基礎・屋根・外壁!B$85:AE$85,F572,基礎・屋根・外壁!B$91:AE$91)+SUMIF(基礎・屋根・外壁!B$111:AE$111,F572,基礎・屋根・外壁!B$117:AE$117)+SUMIF(見積拾!C$125:D$129,F572,見積拾!T$125:T$129)</f>
        <v>0</v>
      </c>
      <c r="AT572" s="2204"/>
      <c r="AU572" s="2204"/>
      <c r="AV572" s="2205"/>
      <c r="AW572" s="2206">
        <f t="shared" ca="1" si="169"/>
        <v>0</v>
      </c>
      <c r="AX572" s="2207"/>
      <c r="AY572" s="2207"/>
      <c r="AZ572" s="2208"/>
      <c r="BA572" s="2200"/>
      <c r="BB572" s="956" t="b">
        <f t="shared" ca="1" si="170"/>
        <v>0</v>
      </c>
    </row>
    <row r="573" spans="2:54" ht="13.5" customHeight="1">
      <c r="B573" s="2445"/>
      <c r="C573" s="2521"/>
      <c r="D573" s="2500"/>
      <c r="E573" s="957" t="s">
        <v>777</v>
      </c>
      <c r="F573" s="2210" t="s">
        <v>5318</v>
      </c>
      <c r="G573" s="2210"/>
      <c r="H573" s="2210"/>
      <c r="I573" s="2210"/>
      <c r="J573" s="2210"/>
      <c r="K573" s="2210"/>
      <c r="L573" s="2210"/>
      <c r="M573" s="2210"/>
      <c r="N573" s="2210"/>
      <c r="O573" s="2210"/>
      <c r="P573" s="2211"/>
      <c r="Q573" s="2257">
        <v>2130</v>
      </c>
      <c r="R573" s="2224"/>
      <c r="S573" s="2224"/>
      <c r="T573" s="508" t="s">
        <v>1292</v>
      </c>
      <c r="U573" s="2225" t="s">
        <v>1031</v>
      </c>
      <c r="V573" s="2225"/>
      <c r="W573" s="2225"/>
      <c r="X573" s="508" t="s">
        <v>779</v>
      </c>
      <c r="Y573" s="2224">
        <v>2632</v>
      </c>
      <c r="Z573" s="2224"/>
      <c r="AA573" s="2224"/>
      <c r="AB573" s="508" t="s">
        <v>785</v>
      </c>
      <c r="AC573" s="2224"/>
      <c r="AD573" s="2224"/>
      <c r="AE573" s="2224"/>
      <c r="AF573" s="508" t="s">
        <v>785</v>
      </c>
      <c r="AG573" s="2224"/>
      <c r="AH573" s="2224"/>
      <c r="AI573" s="2226"/>
      <c r="AJ573" s="2212">
        <f t="shared" si="167"/>
        <v>4760</v>
      </c>
      <c r="AK573" s="2213"/>
      <c r="AL573" s="2214"/>
      <c r="AM573" s="2215">
        <v>1</v>
      </c>
      <c r="AN573" s="2216"/>
      <c r="AO573" s="2217"/>
      <c r="AP573" s="2209">
        <f t="shared" si="168"/>
        <v>4760</v>
      </c>
      <c r="AQ573" s="2210"/>
      <c r="AR573" s="2211"/>
      <c r="AS573" s="2203">
        <f ca="1">SUMIF(基礎・屋根・外壁!B$85:AE$85,F573,基礎・屋根・外壁!B$91:AE$91)+SUMIF(基礎・屋根・外壁!B$111:AE$111,F573,基礎・屋根・外壁!B$117:AE$117)+SUMIF(見積拾!C$125:D$129,F573,見積拾!T$125:T$129)</f>
        <v>0</v>
      </c>
      <c r="AT573" s="2204"/>
      <c r="AU573" s="2204"/>
      <c r="AV573" s="2205"/>
      <c r="AW573" s="2206">
        <f t="shared" ca="1" si="169"/>
        <v>0</v>
      </c>
      <c r="AX573" s="2207"/>
      <c r="AY573" s="2207"/>
      <c r="AZ573" s="2208"/>
      <c r="BA573" s="2200"/>
      <c r="BB573" s="956" t="b">
        <f t="shared" ca="1" si="170"/>
        <v>0</v>
      </c>
    </row>
    <row r="574" spans="2:54" ht="13.5" customHeight="1">
      <c r="B574" s="2445"/>
      <c r="C574" s="2521"/>
      <c r="D574" s="2500"/>
      <c r="E574" s="957" t="s">
        <v>777</v>
      </c>
      <c r="F574" s="2210" t="s">
        <v>1336</v>
      </c>
      <c r="G574" s="2210"/>
      <c r="H574" s="2210"/>
      <c r="I574" s="2210"/>
      <c r="J574" s="2210"/>
      <c r="K574" s="2210"/>
      <c r="L574" s="2210"/>
      <c r="M574" s="2210"/>
      <c r="N574" s="2210"/>
      <c r="O574" s="2210"/>
      <c r="P574" s="2211"/>
      <c r="Q574" s="2257">
        <v>2740</v>
      </c>
      <c r="R574" s="2224"/>
      <c r="S574" s="2224"/>
      <c r="T574" s="508" t="s">
        <v>1292</v>
      </c>
      <c r="U574" s="2225" t="s">
        <v>1031</v>
      </c>
      <c r="V574" s="2225"/>
      <c r="W574" s="2225"/>
      <c r="X574" s="508" t="s">
        <v>779</v>
      </c>
      <c r="Y574" s="2224">
        <v>1091</v>
      </c>
      <c r="Z574" s="2224"/>
      <c r="AA574" s="2224"/>
      <c r="AB574" s="508" t="s">
        <v>808</v>
      </c>
      <c r="AC574" s="2224"/>
      <c r="AD574" s="2224"/>
      <c r="AE574" s="2224"/>
      <c r="AF574" s="508" t="s">
        <v>808</v>
      </c>
      <c r="AG574" s="2224"/>
      <c r="AH574" s="2224"/>
      <c r="AI574" s="2226"/>
      <c r="AJ574" s="2212">
        <f t="shared" si="167"/>
        <v>3830</v>
      </c>
      <c r="AK574" s="2213"/>
      <c r="AL574" s="2214"/>
      <c r="AM574" s="2215">
        <v>1</v>
      </c>
      <c r="AN574" s="2216"/>
      <c r="AO574" s="2217"/>
      <c r="AP574" s="2209">
        <f t="shared" si="168"/>
        <v>3830</v>
      </c>
      <c r="AQ574" s="2210"/>
      <c r="AR574" s="2211"/>
      <c r="AS574" s="2203">
        <f ca="1">SUMIF(基礎・屋根・外壁!B$85:AE$85,F574,基礎・屋根・外壁!B$91:AE$91)+SUMIF(基礎・屋根・外壁!B$111:AE$111,F574,基礎・屋根・外壁!B$117:AE$117)+SUMIF(見積拾!C$125:D$129,F574,見積拾!T$125:T$129)</f>
        <v>0</v>
      </c>
      <c r="AT574" s="2204"/>
      <c r="AU574" s="2204"/>
      <c r="AV574" s="2205"/>
      <c r="AW574" s="2206">
        <f t="shared" ca="1" si="169"/>
        <v>0</v>
      </c>
      <c r="AX574" s="2207"/>
      <c r="AY574" s="2207"/>
      <c r="AZ574" s="2208"/>
      <c r="BA574" s="2200"/>
      <c r="BB574" s="956" t="b">
        <f t="shared" ca="1" si="170"/>
        <v>0</v>
      </c>
    </row>
    <row r="575" spans="2:54" ht="13.5" customHeight="1">
      <c r="B575" s="2445"/>
      <c r="C575" s="2521"/>
      <c r="D575" s="2500"/>
      <c r="E575" s="957" t="s">
        <v>777</v>
      </c>
      <c r="F575" s="2210" t="s">
        <v>1335</v>
      </c>
      <c r="G575" s="2210"/>
      <c r="H575" s="2210"/>
      <c r="I575" s="2210"/>
      <c r="J575" s="2210"/>
      <c r="K575" s="2210"/>
      <c r="L575" s="2210"/>
      <c r="M575" s="2210"/>
      <c r="N575" s="2210"/>
      <c r="O575" s="2210"/>
      <c r="P575" s="2211"/>
      <c r="Q575" s="2257">
        <v>4270</v>
      </c>
      <c r="R575" s="2224"/>
      <c r="S575" s="2224"/>
      <c r="T575" s="508" t="s">
        <v>1292</v>
      </c>
      <c r="U575" s="2225" t="s">
        <v>1031</v>
      </c>
      <c r="V575" s="2225"/>
      <c r="W575" s="2225"/>
      <c r="X575" s="508" t="s">
        <v>779</v>
      </c>
      <c r="Y575" s="2224">
        <v>2762</v>
      </c>
      <c r="Z575" s="2224"/>
      <c r="AA575" s="2224"/>
      <c r="AB575" s="508" t="s">
        <v>808</v>
      </c>
      <c r="AC575" s="2224"/>
      <c r="AD575" s="2224"/>
      <c r="AE575" s="2224"/>
      <c r="AF575" s="508" t="s">
        <v>808</v>
      </c>
      <c r="AG575" s="2224"/>
      <c r="AH575" s="2224"/>
      <c r="AI575" s="2226"/>
      <c r="AJ575" s="2212">
        <f t="shared" si="167"/>
        <v>7030</v>
      </c>
      <c r="AK575" s="2213"/>
      <c r="AL575" s="2214"/>
      <c r="AM575" s="2215">
        <v>1</v>
      </c>
      <c r="AN575" s="2216"/>
      <c r="AO575" s="2217"/>
      <c r="AP575" s="2209">
        <f t="shared" si="168"/>
        <v>7030</v>
      </c>
      <c r="AQ575" s="2210"/>
      <c r="AR575" s="2211"/>
      <c r="AS575" s="2203">
        <f ca="1">SUMIF(基礎・屋根・外壁!B$85:AE$85,F575,基礎・屋根・外壁!B$91:AE$91)+SUMIF(基礎・屋根・外壁!B$111:AE$111,F575,基礎・屋根・外壁!B$117:AE$117)+SUMIF(見積拾!C$125:D$129,F575,見積拾!T$125:T$129)</f>
        <v>0</v>
      </c>
      <c r="AT575" s="2204"/>
      <c r="AU575" s="2204"/>
      <c r="AV575" s="2205"/>
      <c r="AW575" s="2206">
        <f t="shared" ca="1" si="169"/>
        <v>0</v>
      </c>
      <c r="AX575" s="2207"/>
      <c r="AY575" s="2207"/>
      <c r="AZ575" s="2208"/>
      <c r="BA575" s="2200"/>
      <c r="BB575" s="956" t="b">
        <f t="shared" ca="1" si="170"/>
        <v>0</v>
      </c>
    </row>
    <row r="576" spans="2:54" ht="13.5" customHeight="1">
      <c r="B576" s="2445"/>
      <c r="C576" s="2521"/>
      <c r="D576" s="2500"/>
      <c r="E576" s="957" t="s">
        <v>777</v>
      </c>
      <c r="F576" s="2210" t="s">
        <v>1338</v>
      </c>
      <c r="G576" s="2210"/>
      <c r="H576" s="2210"/>
      <c r="I576" s="2210"/>
      <c r="J576" s="2210"/>
      <c r="K576" s="2210"/>
      <c r="L576" s="2210"/>
      <c r="M576" s="2210"/>
      <c r="N576" s="2210"/>
      <c r="O576" s="2210"/>
      <c r="P576" s="2211"/>
      <c r="Q576" s="2257">
        <v>511</v>
      </c>
      <c r="R576" s="2224"/>
      <c r="S576" s="2224"/>
      <c r="T576" s="508" t="s">
        <v>1292</v>
      </c>
      <c r="U576" s="2224">
        <v>873</v>
      </c>
      <c r="V576" s="2224"/>
      <c r="W576" s="2224"/>
      <c r="X576" s="508" t="s">
        <v>779</v>
      </c>
      <c r="Y576" s="2224">
        <v>1506</v>
      </c>
      <c r="Z576" s="2224"/>
      <c r="AA576" s="2224"/>
      <c r="AB576" s="508" t="s">
        <v>787</v>
      </c>
      <c r="AC576" s="2224"/>
      <c r="AD576" s="2224"/>
      <c r="AE576" s="2224"/>
      <c r="AF576" s="508" t="s">
        <v>787</v>
      </c>
      <c r="AG576" s="2224"/>
      <c r="AH576" s="2224"/>
      <c r="AI576" s="2226"/>
      <c r="AJ576" s="2212">
        <f t="shared" ref="AJ576:AJ582" si="171">ROUNDDOWN(SUM(Q576:AI576),-1)</f>
        <v>2890</v>
      </c>
      <c r="AK576" s="2213"/>
      <c r="AL576" s="2214"/>
      <c r="AM576" s="2215">
        <v>1</v>
      </c>
      <c r="AN576" s="2216"/>
      <c r="AO576" s="2217"/>
      <c r="AP576" s="2209">
        <f t="shared" ref="AP576:AP582" si="172">INT(AJ576*AM576)</f>
        <v>2890</v>
      </c>
      <c r="AQ576" s="2210"/>
      <c r="AR576" s="2211"/>
      <c r="AS576" s="2203">
        <f ca="1">SUMIF(基礎・屋根・外壁!B$85:AE$85,F576,基礎・屋根・外壁!B$91:AE$91)+SUMIF(基礎・屋根・外壁!B$111:AE$111,F576,基礎・屋根・外壁!B$117:AE$117)+SUMIF(見積拾!C$125:D$129,F576,見積拾!T$125:T$129)</f>
        <v>0</v>
      </c>
      <c r="AT576" s="2204"/>
      <c r="AU576" s="2204"/>
      <c r="AV576" s="2205"/>
      <c r="AW576" s="2206">
        <f t="shared" ref="AW576:AW582" ca="1" si="173">INT(AP576*AS576)</f>
        <v>0</v>
      </c>
      <c r="AX576" s="2207"/>
      <c r="AY576" s="2207"/>
      <c r="AZ576" s="2208"/>
      <c r="BA576" s="2200"/>
      <c r="BB576" s="956" t="b">
        <f t="shared" ca="1" si="170"/>
        <v>0</v>
      </c>
    </row>
    <row r="577" spans="2:54" ht="13.5" customHeight="1">
      <c r="B577" s="2445"/>
      <c r="C577" s="2521"/>
      <c r="D577" s="2500"/>
      <c r="E577" s="957" t="s">
        <v>777</v>
      </c>
      <c r="F577" s="2210" t="s">
        <v>1339</v>
      </c>
      <c r="G577" s="2210"/>
      <c r="H577" s="2210"/>
      <c r="I577" s="2210"/>
      <c r="J577" s="2210"/>
      <c r="K577" s="2210"/>
      <c r="L577" s="2210"/>
      <c r="M577" s="2210"/>
      <c r="N577" s="2210"/>
      <c r="O577" s="2210"/>
      <c r="P577" s="2211"/>
      <c r="Q577" s="2257">
        <v>2085</v>
      </c>
      <c r="R577" s="2224"/>
      <c r="S577" s="2224"/>
      <c r="T577" s="508" t="s">
        <v>1292</v>
      </c>
      <c r="U577" s="2224">
        <v>1746</v>
      </c>
      <c r="V577" s="2224"/>
      <c r="W577" s="2224"/>
      <c r="X577" s="508" t="s">
        <v>779</v>
      </c>
      <c r="Y577" s="2224">
        <v>2632</v>
      </c>
      <c r="Z577" s="2224"/>
      <c r="AA577" s="2224"/>
      <c r="AB577" s="508" t="s">
        <v>785</v>
      </c>
      <c r="AC577" s="2224"/>
      <c r="AD577" s="2224"/>
      <c r="AE577" s="2224"/>
      <c r="AF577" s="508" t="s">
        <v>785</v>
      </c>
      <c r="AG577" s="2224"/>
      <c r="AH577" s="2224"/>
      <c r="AI577" s="2226"/>
      <c r="AJ577" s="2212">
        <f t="shared" si="171"/>
        <v>6460</v>
      </c>
      <c r="AK577" s="2213"/>
      <c r="AL577" s="2214"/>
      <c r="AM577" s="2215">
        <v>1</v>
      </c>
      <c r="AN577" s="2216"/>
      <c r="AO577" s="2217"/>
      <c r="AP577" s="2209">
        <f t="shared" si="172"/>
        <v>6460</v>
      </c>
      <c r="AQ577" s="2210"/>
      <c r="AR577" s="2211"/>
      <c r="AS577" s="2203">
        <f ca="1">SUMIF(基礎・屋根・外壁!B$85:AE$85,F577,基礎・屋根・外壁!B$91:AE$91)+SUMIF(基礎・屋根・外壁!B$111:AE$111,F577,基礎・屋根・外壁!B$117:AE$117)+SUMIF(見積拾!C$125:D$129,F577,見積拾!T$125:T$129)</f>
        <v>0</v>
      </c>
      <c r="AT577" s="2204"/>
      <c r="AU577" s="2204"/>
      <c r="AV577" s="2205"/>
      <c r="AW577" s="2206">
        <f t="shared" ca="1" si="173"/>
        <v>0</v>
      </c>
      <c r="AX577" s="2207"/>
      <c r="AY577" s="2207"/>
      <c r="AZ577" s="2208"/>
      <c r="BA577" s="2200"/>
      <c r="BB577" s="956" t="b">
        <f t="shared" ref="BB577:BB582" ca="1" si="174">AW577&lt;&gt;0</f>
        <v>0</v>
      </c>
    </row>
    <row r="578" spans="2:54" ht="13.5" customHeight="1">
      <c r="B578" s="2445"/>
      <c r="C578" s="2521"/>
      <c r="D578" s="2500"/>
      <c r="E578" s="957" t="s">
        <v>777</v>
      </c>
      <c r="F578" s="2210" t="s">
        <v>1340</v>
      </c>
      <c r="G578" s="2210"/>
      <c r="H578" s="2210"/>
      <c r="I578" s="2210"/>
      <c r="J578" s="2210"/>
      <c r="K578" s="2210"/>
      <c r="L578" s="2210"/>
      <c r="M578" s="2210"/>
      <c r="N578" s="2210"/>
      <c r="O578" s="2210"/>
      <c r="P578" s="2211"/>
      <c r="Q578" s="2257">
        <v>6702</v>
      </c>
      <c r="R578" s="2224"/>
      <c r="S578" s="2224"/>
      <c r="T578" s="508" t="s">
        <v>1292</v>
      </c>
      <c r="U578" s="2224">
        <v>1746</v>
      </c>
      <c r="V578" s="2224"/>
      <c r="W578" s="2224"/>
      <c r="X578" s="508" t="s">
        <v>779</v>
      </c>
      <c r="Y578" s="2224">
        <v>2632</v>
      </c>
      <c r="Z578" s="2224"/>
      <c r="AA578" s="2224"/>
      <c r="AB578" s="508" t="s">
        <v>785</v>
      </c>
      <c r="AC578" s="2224"/>
      <c r="AD578" s="2224"/>
      <c r="AE578" s="2224"/>
      <c r="AF578" s="508" t="s">
        <v>785</v>
      </c>
      <c r="AG578" s="2224"/>
      <c r="AH578" s="2224"/>
      <c r="AI578" s="2226"/>
      <c r="AJ578" s="2212">
        <f t="shared" si="171"/>
        <v>11080</v>
      </c>
      <c r="AK578" s="2213"/>
      <c r="AL578" s="2214"/>
      <c r="AM578" s="2215">
        <v>1</v>
      </c>
      <c r="AN578" s="2216"/>
      <c r="AO578" s="2217"/>
      <c r="AP578" s="2209">
        <f t="shared" si="172"/>
        <v>11080</v>
      </c>
      <c r="AQ578" s="2210"/>
      <c r="AR578" s="2211"/>
      <c r="AS578" s="2203">
        <f ca="1">SUMIF(基礎・屋根・外壁!B$85:AE$85,F578,基礎・屋根・外壁!B$91:AE$91)+SUMIF(基礎・屋根・外壁!B$111:AE$111,F578,基礎・屋根・外壁!B$117:AE$117)+SUMIF(見積拾!C$125:D$129,F578,見積拾!T$125:T$129)</f>
        <v>0</v>
      </c>
      <c r="AT578" s="2204"/>
      <c r="AU578" s="2204"/>
      <c r="AV578" s="2205"/>
      <c r="AW578" s="2206">
        <f t="shared" ca="1" si="173"/>
        <v>0</v>
      </c>
      <c r="AX578" s="2207"/>
      <c r="AY578" s="2207"/>
      <c r="AZ578" s="2208"/>
      <c r="BA578" s="2200"/>
      <c r="BB578" s="956" t="b">
        <f t="shared" ca="1" si="174"/>
        <v>0</v>
      </c>
    </row>
    <row r="579" spans="2:54" ht="13.5" customHeight="1">
      <c r="B579" s="2445"/>
      <c r="C579" s="2521"/>
      <c r="D579" s="2500"/>
      <c r="E579" s="957" t="s">
        <v>777</v>
      </c>
      <c r="F579" s="2210" t="s">
        <v>1427</v>
      </c>
      <c r="G579" s="2210"/>
      <c r="H579" s="2210"/>
      <c r="I579" s="2210"/>
      <c r="J579" s="2210"/>
      <c r="K579" s="2210"/>
      <c r="L579" s="2210"/>
      <c r="M579" s="2210"/>
      <c r="N579" s="2210"/>
      <c r="O579" s="2210"/>
      <c r="P579" s="2211"/>
      <c r="Q579" s="2257">
        <v>1818</v>
      </c>
      <c r="R579" s="2224"/>
      <c r="S579" s="2224"/>
      <c r="T579" s="508" t="s">
        <v>1292</v>
      </c>
      <c r="U579" s="2224">
        <v>232</v>
      </c>
      <c r="V579" s="2224"/>
      <c r="W579" s="2224"/>
      <c r="X579" s="508" t="s">
        <v>779</v>
      </c>
      <c r="Y579" s="2224">
        <v>2762</v>
      </c>
      <c r="Z579" s="2224"/>
      <c r="AA579" s="2224"/>
      <c r="AB579" s="508" t="s">
        <v>785</v>
      </c>
      <c r="AC579" s="2224"/>
      <c r="AD579" s="2224"/>
      <c r="AE579" s="2224"/>
      <c r="AF579" s="508" t="s">
        <v>785</v>
      </c>
      <c r="AG579" s="2224"/>
      <c r="AH579" s="2224"/>
      <c r="AI579" s="2226"/>
      <c r="AJ579" s="2212">
        <f t="shared" si="171"/>
        <v>4810</v>
      </c>
      <c r="AK579" s="2213"/>
      <c r="AL579" s="2214"/>
      <c r="AM579" s="2215">
        <v>1</v>
      </c>
      <c r="AN579" s="2216"/>
      <c r="AO579" s="2217"/>
      <c r="AP579" s="2209">
        <f t="shared" si="172"/>
        <v>4810</v>
      </c>
      <c r="AQ579" s="2210"/>
      <c r="AR579" s="2211"/>
      <c r="AS579" s="2203">
        <f ca="1">SUMIF(基礎・屋根・外壁!B$85:AE$85,F579,基礎・屋根・外壁!B$91:AE$91)+SUMIF(基礎・屋根・外壁!B$111:AE$111,F579,基礎・屋根・外壁!B$117:AE$117)+SUMIF(見積拾!C$125:D$129,F579,見積拾!T$125:T$129)</f>
        <v>0</v>
      </c>
      <c r="AT579" s="2204"/>
      <c r="AU579" s="2204"/>
      <c r="AV579" s="2205"/>
      <c r="AW579" s="2206">
        <f t="shared" ca="1" si="173"/>
        <v>0</v>
      </c>
      <c r="AX579" s="2207"/>
      <c r="AY579" s="2207"/>
      <c r="AZ579" s="2208"/>
      <c r="BA579" s="2200"/>
      <c r="BB579" s="956" t="b">
        <f t="shared" ca="1" si="174"/>
        <v>0</v>
      </c>
    </row>
    <row r="580" spans="2:54" ht="13.5" customHeight="1">
      <c r="B580" s="2445"/>
      <c r="C580" s="2521"/>
      <c r="D580" s="2500"/>
      <c r="E580" s="957" t="s">
        <v>777</v>
      </c>
      <c r="F580" s="2210" t="s">
        <v>1346</v>
      </c>
      <c r="G580" s="2210"/>
      <c r="H580" s="2210"/>
      <c r="I580" s="2210"/>
      <c r="J580" s="2210"/>
      <c r="K580" s="2210"/>
      <c r="L580" s="2210"/>
      <c r="M580" s="2210"/>
      <c r="N580" s="2210"/>
      <c r="O580" s="2210"/>
      <c r="P580" s="2211"/>
      <c r="Q580" s="2257">
        <v>4950</v>
      </c>
      <c r="R580" s="2224"/>
      <c r="S580" s="2224"/>
      <c r="T580" s="508" t="s">
        <v>1292</v>
      </c>
      <c r="U580" s="2224">
        <v>1584</v>
      </c>
      <c r="V580" s="2224"/>
      <c r="W580" s="2224"/>
      <c r="X580" s="508" t="s">
        <v>779</v>
      </c>
      <c r="Y580" s="2224">
        <v>1506</v>
      </c>
      <c r="Z580" s="2224"/>
      <c r="AA580" s="2224"/>
      <c r="AB580" s="508" t="s">
        <v>40</v>
      </c>
      <c r="AC580" s="2224"/>
      <c r="AD580" s="2224"/>
      <c r="AE580" s="2224"/>
      <c r="AF580" s="508" t="s">
        <v>40</v>
      </c>
      <c r="AG580" s="2224"/>
      <c r="AH580" s="2224"/>
      <c r="AI580" s="2226"/>
      <c r="AJ580" s="2212">
        <f t="shared" si="171"/>
        <v>8040</v>
      </c>
      <c r="AK580" s="2213"/>
      <c r="AL580" s="2214"/>
      <c r="AM580" s="2215">
        <v>1</v>
      </c>
      <c r="AN580" s="2216"/>
      <c r="AO580" s="2217"/>
      <c r="AP580" s="2209">
        <f t="shared" si="172"/>
        <v>8040</v>
      </c>
      <c r="AQ580" s="2210"/>
      <c r="AR580" s="2211"/>
      <c r="AS580" s="2203">
        <f ca="1">SUMIF(基礎・屋根・外壁!B$85:AE$85,F580,基礎・屋根・外壁!B$91:AE$91)+SUMIF(基礎・屋根・外壁!B$111:AE$111,F580,基礎・屋根・外壁!B$117:AE$117)+SUMIF(見積拾!C$125:D$129,F580,見積拾!T$125:T$129)</f>
        <v>0</v>
      </c>
      <c r="AT580" s="2204"/>
      <c r="AU580" s="2204"/>
      <c r="AV580" s="2205"/>
      <c r="AW580" s="2206">
        <f t="shared" ca="1" si="173"/>
        <v>0</v>
      </c>
      <c r="AX580" s="2207"/>
      <c r="AY580" s="2207"/>
      <c r="AZ580" s="2208"/>
      <c r="BA580" s="2200"/>
      <c r="BB580" s="956" t="b">
        <f t="shared" ca="1" si="174"/>
        <v>0</v>
      </c>
    </row>
    <row r="581" spans="2:54" ht="13.5" customHeight="1">
      <c r="B581" s="2445"/>
      <c r="C581" s="2521"/>
      <c r="D581" s="2500"/>
      <c r="E581" s="957" t="s">
        <v>777</v>
      </c>
      <c r="F581" s="2210" t="s">
        <v>1347</v>
      </c>
      <c r="G581" s="2210"/>
      <c r="H581" s="2210"/>
      <c r="I581" s="2210"/>
      <c r="J581" s="2210"/>
      <c r="K581" s="2210"/>
      <c r="L581" s="2210"/>
      <c r="M581" s="2210"/>
      <c r="N581" s="2210"/>
      <c r="O581" s="2210"/>
      <c r="P581" s="2211"/>
      <c r="Q581" s="2257">
        <v>2754</v>
      </c>
      <c r="R581" s="2224"/>
      <c r="S581" s="2224"/>
      <c r="T581" s="508" t="s">
        <v>1292</v>
      </c>
      <c r="U581" s="2224">
        <v>1244</v>
      </c>
      <c r="V581" s="2224"/>
      <c r="W581" s="2224"/>
      <c r="X581" s="508" t="s">
        <v>779</v>
      </c>
      <c r="Y581" s="2224">
        <v>1506</v>
      </c>
      <c r="Z581" s="2224"/>
      <c r="AA581" s="2224"/>
      <c r="AB581" s="508" t="s">
        <v>40</v>
      </c>
      <c r="AC581" s="2224"/>
      <c r="AD581" s="2224"/>
      <c r="AE581" s="2224"/>
      <c r="AF581" s="508" t="s">
        <v>40</v>
      </c>
      <c r="AG581" s="2224"/>
      <c r="AH581" s="2224"/>
      <c r="AI581" s="2226"/>
      <c r="AJ581" s="2212">
        <f t="shared" ref="AJ581" si="175">ROUNDDOWN(SUM(Q581:AI581),-1)</f>
        <v>5500</v>
      </c>
      <c r="AK581" s="2213"/>
      <c r="AL581" s="2214"/>
      <c r="AM581" s="2215">
        <v>1</v>
      </c>
      <c r="AN581" s="2216"/>
      <c r="AO581" s="2217"/>
      <c r="AP581" s="2209">
        <f t="shared" ref="AP581" si="176">INT(AJ581*AM581)</f>
        <v>5500</v>
      </c>
      <c r="AQ581" s="2210"/>
      <c r="AR581" s="2211"/>
      <c r="AS581" s="2203">
        <f ca="1">SUMIF(基礎・屋根・外壁!B$85:AE$85,F581,基礎・屋根・外壁!B$91:AE$91)+SUMIF(基礎・屋根・外壁!B$111:AE$111,F581,基礎・屋根・外壁!B$117:AE$117)+SUMIF(見積拾!C$125:D$129,F581,見積拾!T$125:T$129)</f>
        <v>0</v>
      </c>
      <c r="AT581" s="2204"/>
      <c r="AU581" s="2204"/>
      <c r="AV581" s="2205"/>
      <c r="AW581" s="2206">
        <f t="shared" ref="AW581" ca="1" si="177">INT(AP581*AS581)</f>
        <v>0</v>
      </c>
      <c r="AX581" s="2207"/>
      <c r="AY581" s="2207"/>
      <c r="AZ581" s="2208"/>
      <c r="BA581" s="2200"/>
      <c r="BB581" s="956" t="b">
        <f t="shared" ref="BB581" ca="1" si="178">AW581&lt;&gt;0</f>
        <v>0</v>
      </c>
    </row>
    <row r="582" spans="2:54" ht="13.5" customHeight="1">
      <c r="B582" s="2445"/>
      <c r="C582" s="2521"/>
      <c r="D582" s="2500"/>
      <c r="E582" s="1703" t="s">
        <v>781</v>
      </c>
      <c r="F582" s="2917" t="s">
        <v>782</v>
      </c>
      <c r="G582" s="2918"/>
      <c r="H582" s="2918"/>
      <c r="I582" s="2918"/>
      <c r="J582" s="2918"/>
      <c r="K582" s="2918"/>
      <c r="L582" s="2918"/>
      <c r="M582" s="2918"/>
      <c r="N582" s="2918"/>
      <c r="O582" s="2918"/>
      <c r="P582" s="2919"/>
      <c r="Q582" s="2323"/>
      <c r="R582" s="2259"/>
      <c r="S582" s="2259"/>
      <c r="T582" s="515" t="s">
        <v>40</v>
      </c>
      <c r="U582" s="2258"/>
      <c r="V582" s="2259"/>
      <c r="W582" s="2259"/>
      <c r="X582" s="515" t="s">
        <v>40</v>
      </c>
      <c r="Y582" s="2258"/>
      <c r="Z582" s="2259"/>
      <c r="AA582" s="2259"/>
      <c r="AB582" s="515" t="s">
        <v>40</v>
      </c>
      <c r="AC582" s="2258"/>
      <c r="AD582" s="2259"/>
      <c r="AE582" s="2259"/>
      <c r="AF582" s="515" t="s">
        <v>40</v>
      </c>
      <c r="AG582" s="2258"/>
      <c r="AH582" s="2259"/>
      <c r="AI582" s="2260"/>
      <c r="AJ582" s="2212">
        <f t="shared" si="171"/>
        <v>0</v>
      </c>
      <c r="AK582" s="2213"/>
      <c r="AL582" s="2214"/>
      <c r="AM582" s="2215">
        <v>1</v>
      </c>
      <c r="AN582" s="2216"/>
      <c r="AO582" s="2217"/>
      <c r="AP582" s="2209">
        <f t="shared" si="172"/>
        <v>0</v>
      </c>
      <c r="AQ582" s="2210"/>
      <c r="AR582" s="2211"/>
      <c r="AS582" s="2203">
        <f ca="1">SUMIF(基礎・屋根・外壁!B$85:AE$85,F582,基礎・屋根・外壁!B$91:AE$91)+SUMIF(基礎・屋根・外壁!B$111:AE$111,F582,基礎・屋根・外壁!B$117:AE$117)+SUMIF(見積拾!C$125:D$129,F582,見積拾!T$125:T$129)</f>
        <v>0</v>
      </c>
      <c r="AT582" s="2204"/>
      <c r="AU582" s="2204"/>
      <c r="AV582" s="2205"/>
      <c r="AW582" s="2206">
        <f t="shared" ca="1" si="173"/>
        <v>0</v>
      </c>
      <c r="AX582" s="2207"/>
      <c r="AY582" s="2207"/>
      <c r="AZ582" s="2208"/>
      <c r="BA582" s="2200"/>
      <c r="BB582" s="956" t="b">
        <f t="shared" ca="1" si="174"/>
        <v>0</v>
      </c>
    </row>
    <row r="583" spans="2:54" ht="13.5" customHeight="1">
      <c r="B583" s="2445"/>
      <c r="C583" s="2521"/>
      <c r="D583" s="2500"/>
      <c r="E583" s="1703" t="s">
        <v>781</v>
      </c>
      <c r="F583" s="2917" t="s">
        <v>782</v>
      </c>
      <c r="G583" s="2918"/>
      <c r="H583" s="2918"/>
      <c r="I583" s="2918"/>
      <c r="J583" s="2918"/>
      <c r="K583" s="2918"/>
      <c r="L583" s="2918"/>
      <c r="M583" s="2918"/>
      <c r="N583" s="2918"/>
      <c r="O583" s="2918"/>
      <c r="P583" s="2919"/>
      <c r="Q583" s="2323"/>
      <c r="R583" s="2259"/>
      <c r="S583" s="2259"/>
      <c r="T583" s="515" t="s">
        <v>789</v>
      </c>
      <c r="U583" s="2258"/>
      <c r="V583" s="2259"/>
      <c r="W583" s="2259"/>
      <c r="X583" s="515" t="s">
        <v>789</v>
      </c>
      <c r="Y583" s="2258"/>
      <c r="Z583" s="2259"/>
      <c r="AA583" s="2259"/>
      <c r="AB583" s="515" t="s">
        <v>789</v>
      </c>
      <c r="AC583" s="2258"/>
      <c r="AD583" s="2259"/>
      <c r="AE583" s="2259"/>
      <c r="AF583" s="515" t="s">
        <v>789</v>
      </c>
      <c r="AG583" s="2258"/>
      <c r="AH583" s="2259"/>
      <c r="AI583" s="2260"/>
      <c r="AJ583" s="2212">
        <f t="shared" ref="AJ583:AJ592" si="179">ROUNDDOWN(SUM(Q583:AI583),-1)</f>
        <v>0</v>
      </c>
      <c r="AK583" s="2213"/>
      <c r="AL583" s="2214"/>
      <c r="AM583" s="2215">
        <v>1</v>
      </c>
      <c r="AN583" s="2216"/>
      <c r="AO583" s="2217"/>
      <c r="AP583" s="2209">
        <f t="shared" ref="AP583:AP592" si="180">INT(AJ583*AM583)</f>
        <v>0</v>
      </c>
      <c r="AQ583" s="2210"/>
      <c r="AR583" s="2211"/>
      <c r="AS583" s="2203">
        <f ca="1">SUMIF(基礎・屋根・外壁!B$85:AE$85,F583,基礎・屋根・外壁!B$91:AE$91)+SUMIF(基礎・屋根・外壁!B$111:AE$111,F583,基礎・屋根・外壁!B$117:AE$117)+SUMIF(見積拾!C$125:D$129,F583,見積拾!T$125:T$129)</f>
        <v>0</v>
      </c>
      <c r="AT583" s="2204"/>
      <c r="AU583" s="2204"/>
      <c r="AV583" s="2205"/>
      <c r="AW583" s="2206">
        <f t="shared" ref="AW583:AW592" ca="1" si="181">INT(AP583*AS583)</f>
        <v>0</v>
      </c>
      <c r="AX583" s="2207"/>
      <c r="AY583" s="2207"/>
      <c r="AZ583" s="2208"/>
      <c r="BA583" s="2200"/>
      <c r="BB583" s="956" t="b">
        <f t="shared" ref="BB583:BB592" ca="1" si="182">AW583&lt;&gt;0</f>
        <v>0</v>
      </c>
    </row>
    <row r="584" spans="2:54" ht="13.5" customHeight="1">
      <c r="B584" s="2445"/>
      <c r="C584" s="2521"/>
      <c r="D584" s="2500"/>
      <c r="E584" s="1703" t="s">
        <v>799</v>
      </c>
      <c r="F584" s="2917" t="s">
        <v>782</v>
      </c>
      <c r="G584" s="2918"/>
      <c r="H584" s="2918"/>
      <c r="I584" s="2918"/>
      <c r="J584" s="2918"/>
      <c r="K584" s="2918"/>
      <c r="L584" s="2918"/>
      <c r="M584" s="2918"/>
      <c r="N584" s="2918"/>
      <c r="O584" s="2918"/>
      <c r="P584" s="2919"/>
      <c r="Q584" s="2323"/>
      <c r="R584" s="2259"/>
      <c r="S584" s="2259"/>
      <c r="T584" s="515" t="s">
        <v>789</v>
      </c>
      <c r="U584" s="2258"/>
      <c r="V584" s="2259"/>
      <c r="W584" s="2259"/>
      <c r="X584" s="515" t="s">
        <v>789</v>
      </c>
      <c r="Y584" s="2258"/>
      <c r="Z584" s="2259"/>
      <c r="AA584" s="2259"/>
      <c r="AB584" s="515" t="s">
        <v>789</v>
      </c>
      <c r="AC584" s="2258"/>
      <c r="AD584" s="2259"/>
      <c r="AE584" s="2259"/>
      <c r="AF584" s="515" t="s">
        <v>789</v>
      </c>
      <c r="AG584" s="2258"/>
      <c r="AH584" s="2259"/>
      <c r="AI584" s="2260"/>
      <c r="AJ584" s="2212">
        <f t="shared" si="179"/>
        <v>0</v>
      </c>
      <c r="AK584" s="2213"/>
      <c r="AL584" s="2214"/>
      <c r="AM584" s="2215">
        <v>1</v>
      </c>
      <c r="AN584" s="2216"/>
      <c r="AO584" s="2217"/>
      <c r="AP584" s="2209">
        <f t="shared" si="180"/>
        <v>0</v>
      </c>
      <c r="AQ584" s="2210"/>
      <c r="AR584" s="2211"/>
      <c r="AS584" s="2203">
        <f ca="1">SUMIF(基礎・屋根・外壁!B$85:AE$85,F584,基礎・屋根・外壁!B$91:AE$91)+SUMIF(基礎・屋根・外壁!B$111:AE$111,F584,基礎・屋根・外壁!B$117:AE$117)+SUMIF(見積拾!C$125:D$129,F584,見積拾!T$125:T$129)</f>
        <v>0</v>
      </c>
      <c r="AT584" s="2204"/>
      <c r="AU584" s="2204"/>
      <c r="AV584" s="2205"/>
      <c r="AW584" s="2206">
        <f t="shared" ca="1" si="181"/>
        <v>0</v>
      </c>
      <c r="AX584" s="2207"/>
      <c r="AY584" s="2207"/>
      <c r="AZ584" s="2208"/>
      <c r="BA584" s="2200"/>
      <c r="BB584" s="956" t="b">
        <f t="shared" ca="1" si="182"/>
        <v>0</v>
      </c>
    </row>
    <row r="585" spans="2:54" ht="13.5" customHeight="1">
      <c r="B585" s="2445"/>
      <c r="C585" s="2521"/>
      <c r="D585" s="2500"/>
      <c r="E585" s="1704" t="s">
        <v>799</v>
      </c>
      <c r="F585" s="2921" t="s">
        <v>782</v>
      </c>
      <c r="G585" s="2922"/>
      <c r="H585" s="2922"/>
      <c r="I585" s="2922"/>
      <c r="J585" s="2922"/>
      <c r="K585" s="2922"/>
      <c r="L585" s="2922"/>
      <c r="M585" s="2922"/>
      <c r="N585" s="2922"/>
      <c r="O585" s="2922"/>
      <c r="P585" s="2923"/>
      <c r="Q585" s="2936"/>
      <c r="R585" s="2228"/>
      <c r="S585" s="2228"/>
      <c r="T585" s="516" t="s">
        <v>789</v>
      </c>
      <c r="U585" s="2227"/>
      <c r="V585" s="2228"/>
      <c r="W585" s="2228"/>
      <c r="X585" s="516" t="s">
        <v>789</v>
      </c>
      <c r="Y585" s="2227"/>
      <c r="Z585" s="2228"/>
      <c r="AA585" s="2228"/>
      <c r="AB585" s="516" t="s">
        <v>789</v>
      </c>
      <c r="AC585" s="2227"/>
      <c r="AD585" s="2228"/>
      <c r="AE585" s="2228"/>
      <c r="AF585" s="516" t="s">
        <v>789</v>
      </c>
      <c r="AG585" s="2227"/>
      <c r="AH585" s="2228"/>
      <c r="AI585" s="2382"/>
      <c r="AJ585" s="2229">
        <f t="shared" si="179"/>
        <v>0</v>
      </c>
      <c r="AK585" s="2230"/>
      <c r="AL585" s="2231"/>
      <c r="AM585" s="2262">
        <v>1</v>
      </c>
      <c r="AN585" s="2263"/>
      <c r="AO585" s="2264"/>
      <c r="AP585" s="2229">
        <f t="shared" si="180"/>
        <v>0</v>
      </c>
      <c r="AQ585" s="2230"/>
      <c r="AR585" s="2231"/>
      <c r="AS585" s="2203">
        <f ca="1">SUMIF(基礎・屋根・外壁!B$85:AE$85,F585,基礎・屋根・外壁!B$91:AE$91)+SUMIF(基礎・屋根・外壁!B$111:AE$111,F585,基礎・屋根・外壁!B$117:AE$117)+SUMIF(見積拾!C$125:D$129,F585,見積拾!T$125:T$129)</f>
        <v>0</v>
      </c>
      <c r="AT585" s="2204"/>
      <c r="AU585" s="2204"/>
      <c r="AV585" s="2205"/>
      <c r="AW585" s="2248">
        <f t="shared" ca="1" si="181"/>
        <v>0</v>
      </c>
      <c r="AX585" s="2249"/>
      <c r="AY585" s="2249"/>
      <c r="AZ585" s="2250"/>
      <c r="BA585" s="2200"/>
      <c r="BB585" s="956" t="b">
        <f t="shared" ca="1" si="182"/>
        <v>0</v>
      </c>
    </row>
    <row r="586" spans="2:54" ht="13.5" customHeight="1">
      <c r="B586" s="2445"/>
      <c r="C586" s="2521"/>
      <c r="D586" s="2500"/>
      <c r="E586" s="2429" t="s">
        <v>1107</v>
      </c>
      <c r="F586" s="2430"/>
      <c r="G586" s="122" t="s">
        <v>777</v>
      </c>
      <c r="H586" s="2252" t="s">
        <v>819</v>
      </c>
      <c r="I586" s="2252"/>
      <c r="J586" s="2252"/>
      <c r="K586" s="2252"/>
      <c r="L586" s="2252"/>
      <c r="M586" s="2252"/>
      <c r="N586" s="2252"/>
      <c r="O586" s="2252"/>
      <c r="P586" s="2253"/>
      <c r="Q586" s="2326">
        <v>2900</v>
      </c>
      <c r="R586" s="2327"/>
      <c r="S586" s="2327"/>
      <c r="T586" s="123" t="s">
        <v>40</v>
      </c>
      <c r="U586" s="2913" t="s">
        <v>1031</v>
      </c>
      <c r="V586" s="2913"/>
      <c r="W586" s="2913"/>
      <c r="X586" s="123" t="s">
        <v>40</v>
      </c>
      <c r="Y586" s="2914" t="s">
        <v>1032</v>
      </c>
      <c r="Z586" s="2914"/>
      <c r="AA586" s="2914"/>
      <c r="AB586" s="123" t="s">
        <v>40</v>
      </c>
      <c r="AC586" s="2327"/>
      <c r="AD586" s="2327"/>
      <c r="AE586" s="2327"/>
      <c r="AF586" s="123" t="s">
        <v>40</v>
      </c>
      <c r="AG586" s="2327"/>
      <c r="AH586" s="2327"/>
      <c r="AI586" s="2327"/>
      <c r="AJ586" s="2251">
        <f t="shared" si="179"/>
        <v>2900</v>
      </c>
      <c r="AK586" s="2252"/>
      <c r="AL586" s="2253"/>
      <c r="AM586" s="2265">
        <v>1</v>
      </c>
      <c r="AN586" s="2266"/>
      <c r="AO586" s="2267"/>
      <c r="AP586" s="2251">
        <f t="shared" si="180"/>
        <v>2900</v>
      </c>
      <c r="AQ586" s="2252"/>
      <c r="AR586" s="2253"/>
      <c r="AS586" s="2243">
        <f>SUMIF(基礎・屋根・外壁!B$86:AE$86,H586,基礎・屋根・外壁!B$91:AE$91)+SUMIF(基礎・屋根・外壁!B$87:AE$87,H586,基礎・屋根・外壁!B$91:AE$91)+
SUMIF(基礎・屋根・外壁!B$112:AE$112,H586,基礎・屋根・外壁!B$117:AE$117)+SUMIF(基礎・屋根・外壁!B$113:AE$113,H586,基礎・屋根・外壁!B$117:AE$117)+
SUMIF(見積拾!D$130:D$134,H586,見積拾!T$130:T$134)</f>
        <v>0</v>
      </c>
      <c r="AT586" s="2244"/>
      <c r="AU586" s="2244"/>
      <c r="AV586" s="2245"/>
      <c r="AW586" s="2235">
        <f t="shared" si="181"/>
        <v>0</v>
      </c>
      <c r="AX586" s="2236"/>
      <c r="AY586" s="2236"/>
      <c r="AZ586" s="2237"/>
      <c r="BA586" s="2200"/>
      <c r="BB586" s="956" t="b">
        <f t="shared" si="182"/>
        <v>0</v>
      </c>
    </row>
    <row r="587" spans="2:54" ht="13.5" customHeight="1">
      <c r="B587" s="2445"/>
      <c r="C587" s="2521"/>
      <c r="D587" s="2500"/>
      <c r="E587" s="2338"/>
      <c r="F587" s="2337"/>
      <c r="G587" s="124" t="s">
        <v>777</v>
      </c>
      <c r="H587" s="2210" t="s">
        <v>820</v>
      </c>
      <c r="I587" s="2210"/>
      <c r="J587" s="2210"/>
      <c r="K587" s="2210"/>
      <c r="L587" s="2210"/>
      <c r="M587" s="2210"/>
      <c r="N587" s="2210"/>
      <c r="O587" s="2210"/>
      <c r="P587" s="2211"/>
      <c r="Q587" s="2328">
        <v>1360</v>
      </c>
      <c r="R587" s="2261"/>
      <c r="S587" s="2261"/>
      <c r="T587" s="120" t="s">
        <v>40</v>
      </c>
      <c r="U587" s="2322" t="s">
        <v>1031</v>
      </c>
      <c r="V587" s="2322"/>
      <c r="W587" s="2322"/>
      <c r="X587" s="120" t="s">
        <v>40</v>
      </c>
      <c r="Y587" s="2322" t="s">
        <v>1032</v>
      </c>
      <c r="Z587" s="2322"/>
      <c r="AA587" s="2322"/>
      <c r="AB587" s="120" t="s">
        <v>40</v>
      </c>
      <c r="AC587" s="2261"/>
      <c r="AD587" s="2261"/>
      <c r="AE587" s="2261"/>
      <c r="AF587" s="120" t="s">
        <v>40</v>
      </c>
      <c r="AG587" s="2261"/>
      <c r="AH587" s="2261"/>
      <c r="AI587" s="2261"/>
      <c r="AJ587" s="2209">
        <f t="shared" si="179"/>
        <v>1360</v>
      </c>
      <c r="AK587" s="2210"/>
      <c r="AL587" s="2211"/>
      <c r="AM587" s="2232">
        <v>1</v>
      </c>
      <c r="AN587" s="2233"/>
      <c r="AO587" s="2234"/>
      <c r="AP587" s="2209">
        <f t="shared" si="180"/>
        <v>1360</v>
      </c>
      <c r="AQ587" s="2210"/>
      <c r="AR587" s="2211"/>
      <c r="AS587" s="2203">
        <f>SUMIF(基礎・屋根・外壁!B$86:AE$86,H587,基礎・屋根・外壁!B$91:AE$91)+SUMIF(基礎・屋根・外壁!B$87:AE$87,H587,基礎・屋根・外壁!B$91:AE$91)+
SUMIF(基礎・屋根・外壁!B$112:AE$112,H587,基礎・屋根・外壁!B$117:AE$117)+SUMIF(基礎・屋根・外壁!B$113:AE$113,H587,基礎・屋根・外壁!B$117:AE$117)+
SUMIF(見積拾!D$130:D$134,H587,見積拾!T$130:T$134)</f>
        <v>0</v>
      </c>
      <c r="AT587" s="2204"/>
      <c r="AU587" s="2204"/>
      <c r="AV587" s="2205"/>
      <c r="AW587" s="2238">
        <f t="shared" si="181"/>
        <v>0</v>
      </c>
      <c r="AX587" s="2239"/>
      <c r="AY587" s="2239"/>
      <c r="AZ587" s="2240"/>
      <c r="BA587" s="2200"/>
      <c r="BB587" s="956" t="b">
        <f t="shared" si="182"/>
        <v>0</v>
      </c>
    </row>
    <row r="588" spans="2:54" ht="13.5" customHeight="1">
      <c r="B588" s="2445"/>
      <c r="C588" s="2521"/>
      <c r="D588" s="2500"/>
      <c r="E588" s="2338"/>
      <c r="F588" s="2337"/>
      <c r="G588" s="124" t="s">
        <v>777</v>
      </c>
      <c r="H588" s="2210" t="s">
        <v>821</v>
      </c>
      <c r="I588" s="2210"/>
      <c r="J588" s="2210"/>
      <c r="K588" s="2210"/>
      <c r="L588" s="2210"/>
      <c r="M588" s="2210"/>
      <c r="N588" s="2210"/>
      <c r="O588" s="2210"/>
      <c r="P588" s="2211"/>
      <c r="Q588" s="2328">
        <v>930</v>
      </c>
      <c r="R588" s="2261"/>
      <c r="S588" s="2261"/>
      <c r="T588" s="120" t="s">
        <v>40</v>
      </c>
      <c r="U588" s="2322" t="s">
        <v>1031</v>
      </c>
      <c r="V588" s="2322"/>
      <c r="W588" s="2322"/>
      <c r="X588" s="120" t="s">
        <v>40</v>
      </c>
      <c r="Y588" s="2322" t="s">
        <v>1032</v>
      </c>
      <c r="Z588" s="2322"/>
      <c r="AA588" s="2322"/>
      <c r="AB588" s="120" t="s">
        <v>40</v>
      </c>
      <c r="AC588" s="2261"/>
      <c r="AD588" s="2261"/>
      <c r="AE588" s="2261"/>
      <c r="AF588" s="120" t="s">
        <v>40</v>
      </c>
      <c r="AG588" s="2261"/>
      <c r="AH588" s="2261"/>
      <c r="AI588" s="2261"/>
      <c r="AJ588" s="2209">
        <f t="shared" si="179"/>
        <v>930</v>
      </c>
      <c r="AK588" s="2210"/>
      <c r="AL588" s="2211"/>
      <c r="AM588" s="2232">
        <v>1</v>
      </c>
      <c r="AN588" s="2233"/>
      <c r="AO588" s="2234"/>
      <c r="AP588" s="2209">
        <f t="shared" si="180"/>
        <v>930</v>
      </c>
      <c r="AQ588" s="2210"/>
      <c r="AR588" s="2211"/>
      <c r="AS588" s="2203">
        <f>SUMIF(基礎・屋根・外壁!B$86:AE$86,H588,基礎・屋根・外壁!B$91:AE$91)+SUMIF(基礎・屋根・外壁!B$87:AE$87,H588,基礎・屋根・外壁!B$91:AE$91)+
SUMIF(基礎・屋根・外壁!B$112:AE$112,H588,基礎・屋根・外壁!B$117:AE$117)+SUMIF(基礎・屋根・外壁!B$113:AE$113,H588,基礎・屋根・外壁!B$117:AE$117)+
SUMIF(見積拾!D$130:D$134,H588,見積拾!T$130:T$134)</f>
        <v>0</v>
      </c>
      <c r="AT588" s="2204"/>
      <c r="AU588" s="2204"/>
      <c r="AV588" s="2205"/>
      <c r="AW588" s="2238">
        <f t="shared" si="181"/>
        <v>0</v>
      </c>
      <c r="AX588" s="2239"/>
      <c r="AY588" s="2239"/>
      <c r="AZ588" s="2240"/>
      <c r="BA588" s="2200"/>
      <c r="BB588" s="956" t="b">
        <f t="shared" si="182"/>
        <v>0</v>
      </c>
    </row>
    <row r="589" spans="2:54" ht="13.5" customHeight="1">
      <c r="B589" s="2445"/>
      <c r="C589" s="2521"/>
      <c r="D589" s="2500"/>
      <c r="E589" s="2338"/>
      <c r="F589" s="2431"/>
      <c r="G589" s="124" t="s">
        <v>777</v>
      </c>
      <c r="H589" s="2210" t="s">
        <v>5605</v>
      </c>
      <c r="I589" s="2210"/>
      <c r="J589" s="2210"/>
      <c r="K589" s="2210"/>
      <c r="L589" s="2210"/>
      <c r="M589" s="2210"/>
      <c r="N589" s="2210"/>
      <c r="O589" s="2210"/>
      <c r="P589" s="2211"/>
      <c r="Q589" s="2328">
        <v>1890</v>
      </c>
      <c r="R589" s="2261"/>
      <c r="S589" s="2261"/>
      <c r="T589" s="120" t="s">
        <v>40</v>
      </c>
      <c r="U589" s="2322" t="s">
        <v>1031</v>
      </c>
      <c r="V589" s="2322"/>
      <c r="W589" s="2322"/>
      <c r="X589" s="120" t="s">
        <v>40</v>
      </c>
      <c r="Y589" s="2322" t="s">
        <v>1032</v>
      </c>
      <c r="Z589" s="2322"/>
      <c r="AA589" s="2322"/>
      <c r="AB589" s="120" t="s">
        <v>40</v>
      </c>
      <c r="AC589" s="2261"/>
      <c r="AD589" s="2261"/>
      <c r="AE589" s="2261"/>
      <c r="AF589" s="120" t="s">
        <v>40</v>
      </c>
      <c r="AG589" s="2261"/>
      <c r="AH589" s="2261"/>
      <c r="AI589" s="2261"/>
      <c r="AJ589" s="2209">
        <f t="shared" ref="AJ589:AJ591" si="183">ROUNDDOWN(SUM(Q589:AI589),-1)</f>
        <v>1890</v>
      </c>
      <c r="AK589" s="2210"/>
      <c r="AL589" s="2211"/>
      <c r="AM589" s="2232">
        <v>1</v>
      </c>
      <c r="AN589" s="2233"/>
      <c r="AO589" s="2234"/>
      <c r="AP589" s="2209">
        <f t="shared" si="180"/>
        <v>1890</v>
      </c>
      <c r="AQ589" s="2210"/>
      <c r="AR589" s="2211"/>
      <c r="AS589" s="2203">
        <f>SUMIF(基礎・屋根・外壁!B$86:AE$86,H589,基礎・屋根・外壁!B$91:AE$91)+SUMIF(基礎・屋根・外壁!B$87:AE$87,H589,基礎・屋根・外壁!B$91:AE$91)+
SUMIF(基礎・屋根・外壁!B$112:AE$112,H589,基礎・屋根・外壁!B$117:AE$117)+SUMIF(基礎・屋根・外壁!B$113:AE$113,H589,基礎・屋根・外壁!B$117:AE$117)+
SUMIF(見積拾!D$130:D$134,H589,見積拾!T$130:T$134)</f>
        <v>0</v>
      </c>
      <c r="AT589" s="2204"/>
      <c r="AU589" s="2204"/>
      <c r="AV589" s="2205"/>
      <c r="AW589" s="2238">
        <f t="shared" si="181"/>
        <v>0</v>
      </c>
      <c r="AX589" s="2239"/>
      <c r="AY589" s="2239"/>
      <c r="AZ589" s="2240"/>
      <c r="BA589" s="2200"/>
      <c r="BB589" s="956" t="b">
        <f t="shared" si="182"/>
        <v>0</v>
      </c>
    </row>
    <row r="590" spans="2:54" ht="13.5" customHeight="1">
      <c r="B590" s="2445"/>
      <c r="C590" s="2521"/>
      <c r="D590" s="2500"/>
      <c r="E590" s="2338"/>
      <c r="F590" s="2431"/>
      <c r="G590" s="124" t="s">
        <v>777</v>
      </c>
      <c r="H590" s="2210" t="s">
        <v>5606</v>
      </c>
      <c r="I590" s="2210"/>
      <c r="J590" s="2210"/>
      <c r="K590" s="2210"/>
      <c r="L590" s="2210"/>
      <c r="M590" s="2210"/>
      <c r="N590" s="2210"/>
      <c r="O590" s="2210"/>
      <c r="P590" s="2211"/>
      <c r="Q590" s="2328">
        <v>910</v>
      </c>
      <c r="R590" s="2261"/>
      <c r="S590" s="2261"/>
      <c r="T590" s="120" t="s">
        <v>40</v>
      </c>
      <c r="U590" s="2322" t="s">
        <v>1031</v>
      </c>
      <c r="V590" s="2322"/>
      <c r="W590" s="2322"/>
      <c r="X590" s="120" t="s">
        <v>40</v>
      </c>
      <c r="Y590" s="2322" t="s">
        <v>1032</v>
      </c>
      <c r="Z590" s="2322"/>
      <c r="AA590" s="2322"/>
      <c r="AB590" s="120" t="s">
        <v>40</v>
      </c>
      <c r="AC590" s="2261"/>
      <c r="AD590" s="2261"/>
      <c r="AE590" s="2261"/>
      <c r="AF590" s="120" t="s">
        <v>40</v>
      </c>
      <c r="AG590" s="2261"/>
      <c r="AH590" s="2261"/>
      <c r="AI590" s="2261"/>
      <c r="AJ590" s="2209">
        <f t="shared" si="183"/>
        <v>910</v>
      </c>
      <c r="AK590" s="2210"/>
      <c r="AL590" s="2211"/>
      <c r="AM590" s="2232">
        <v>1</v>
      </c>
      <c r="AN590" s="2233"/>
      <c r="AO590" s="2234"/>
      <c r="AP590" s="2209">
        <f t="shared" si="180"/>
        <v>910</v>
      </c>
      <c r="AQ590" s="2210"/>
      <c r="AR590" s="2211"/>
      <c r="AS590" s="2203">
        <f>SUMIF(基礎・屋根・外壁!B$86:AE$86,H590,基礎・屋根・外壁!B$91:AE$91)+SUMIF(基礎・屋根・外壁!B$87:AE$87,H590,基礎・屋根・外壁!B$91:AE$91)+
SUMIF(基礎・屋根・外壁!B$112:AE$112,H590,基礎・屋根・外壁!B$117:AE$117)+SUMIF(基礎・屋根・外壁!B$113:AE$113,H590,基礎・屋根・外壁!B$117:AE$117)+
SUMIF(見積拾!D$130:D$134,H590,見積拾!T$130:T$134)</f>
        <v>0</v>
      </c>
      <c r="AT590" s="2204"/>
      <c r="AU590" s="2204"/>
      <c r="AV590" s="2205"/>
      <c r="AW590" s="2238">
        <f t="shared" si="181"/>
        <v>0</v>
      </c>
      <c r="AX590" s="2239"/>
      <c r="AY590" s="2239"/>
      <c r="AZ590" s="2240"/>
      <c r="BA590" s="2200"/>
      <c r="BB590" s="956" t="b">
        <f t="shared" si="182"/>
        <v>0</v>
      </c>
    </row>
    <row r="591" spans="2:54" ht="13.5" customHeight="1">
      <c r="B591" s="2445"/>
      <c r="C591" s="2521"/>
      <c r="D591" s="2500"/>
      <c r="E591" s="2338"/>
      <c r="F591" s="2431"/>
      <c r="G591" s="124" t="s">
        <v>777</v>
      </c>
      <c r="H591" s="2210" t="s">
        <v>1503</v>
      </c>
      <c r="I591" s="2210"/>
      <c r="J591" s="2210"/>
      <c r="K591" s="2210"/>
      <c r="L591" s="2210"/>
      <c r="M591" s="2210"/>
      <c r="N591" s="2210"/>
      <c r="O591" s="2210"/>
      <c r="P591" s="2211"/>
      <c r="Q591" s="2328">
        <v>837</v>
      </c>
      <c r="R591" s="2261"/>
      <c r="S591" s="2261"/>
      <c r="T591" s="120" t="s">
        <v>40</v>
      </c>
      <c r="U591" s="2322" t="s">
        <v>1031</v>
      </c>
      <c r="V591" s="2322"/>
      <c r="W591" s="2322"/>
      <c r="X591" s="120" t="s">
        <v>40</v>
      </c>
      <c r="Y591" s="2322" t="s">
        <v>1032</v>
      </c>
      <c r="Z591" s="2322"/>
      <c r="AA591" s="2322"/>
      <c r="AB591" s="120" t="s">
        <v>40</v>
      </c>
      <c r="AC591" s="2261"/>
      <c r="AD591" s="2261"/>
      <c r="AE591" s="2261"/>
      <c r="AF591" s="120" t="s">
        <v>40</v>
      </c>
      <c r="AG591" s="2261"/>
      <c r="AH591" s="2261"/>
      <c r="AI591" s="2261"/>
      <c r="AJ591" s="2209">
        <f t="shared" si="183"/>
        <v>830</v>
      </c>
      <c r="AK591" s="2210"/>
      <c r="AL591" s="2211"/>
      <c r="AM591" s="2232">
        <v>1</v>
      </c>
      <c r="AN591" s="2233"/>
      <c r="AO591" s="2234"/>
      <c r="AP591" s="2209">
        <f t="shared" si="180"/>
        <v>830</v>
      </c>
      <c r="AQ591" s="2210"/>
      <c r="AR591" s="2211"/>
      <c r="AS591" s="2203">
        <f>SUMIF(基礎・屋根・外壁!B$86:AE$86,H591,基礎・屋根・外壁!B$91:AE$91)+SUMIF(基礎・屋根・外壁!B$87:AE$87,H591,基礎・屋根・外壁!B$91:AE$91)+
SUMIF(基礎・屋根・外壁!B$112:AE$112,H591,基礎・屋根・外壁!B$117:AE$117)+SUMIF(基礎・屋根・外壁!B$113:AE$113,H591,基礎・屋根・外壁!B$117:AE$117)+
SUMIF(見積拾!D$130:D$134,H591,見積拾!T$130:T$134)</f>
        <v>0</v>
      </c>
      <c r="AT591" s="2204"/>
      <c r="AU591" s="2204"/>
      <c r="AV591" s="2205"/>
      <c r="AW591" s="2238">
        <f t="shared" si="181"/>
        <v>0</v>
      </c>
      <c r="AX591" s="2239"/>
      <c r="AY591" s="2239"/>
      <c r="AZ591" s="2240"/>
      <c r="BA591" s="2200"/>
      <c r="BB591" s="956" t="b">
        <f t="shared" si="182"/>
        <v>0</v>
      </c>
    </row>
    <row r="592" spans="2:54" ht="13.5" customHeight="1">
      <c r="B592" s="2445"/>
      <c r="C592" s="2521"/>
      <c r="D592" s="2500"/>
      <c r="E592" s="2339"/>
      <c r="F592" s="2340"/>
      <c r="G592" s="127" t="s">
        <v>41</v>
      </c>
      <c r="H592" s="2343" t="s">
        <v>822</v>
      </c>
      <c r="I592" s="2343"/>
      <c r="J592" s="2343"/>
      <c r="K592" s="2343"/>
      <c r="L592" s="2343"/>
      <c r="M592" s="2343"/>
      <c r="N592" s="2343"/>
      <c r="O592" s="2343"/>
      <c r="P592" s="2344"/>
      <c r="Q592" s="2935"/>
      <c r="R592" s="2403"/>
      <c r="S592" s="2403"/>
      <c r="T592" s="128"/>
      <c r="U592" s="2403"/>
      <c r="V592" s="2403"/>
      <c r="W592" s="2403"/>
      <c r="X592" s="128"/>
      <c r="Y592" s="2403"/>
      <c r="Z592" s="2403"/>
      <c r="AA592" s="2403"/>
      <c r="AB592" s="128"/>
      <c r="AC592" s="2403"/>
      <c r="AD592" s="2403"/>
      <c r="AE592" s="2403"/>
      <c r="AF592" s="128"/>
      <c r="AG592" s="2403"/>
      <c r="AH592" s="2403"/>
      <c r="AI592" s="2403"/>
      <c r="AJ592" s="2358">
        <f t="shared" si="179"/>
        <v>0</v>
      </c>
      <c r="AK592" s="2343"/>
      <c r="AL592" s="2344"/>
      <c r="AM592" s="2373">
        <v>1</v>
      </c>
      <c r="AN592" s="2374"/>
      <c r="AO592" s="2375"/>
      <c r="AP592" s="2358">
        <f t="shared" si="180"/>
        <v>0</v>
      </c>
      <c r="AQ592" s="2343"/>
      <c r="AR592" s="2344"/>
      <c r="AS592" s="2383"/>
      <c r="AT592" s="2384"/>
      <c r="AU592" s="2384"/>
      <c r="AV592" s="2385"/>
      <c r="AW592" s="2364">
        <f t="shared" si="181"/>
        <v>0</v>
      </c>
      <c r="AX592" s="2365"/>
      <c r="AY592" s="2365"/>
      <c r="AZ592" s="2366"/>
      <c r="BA592" s="2200"/>
      <c r="BB592" s="956" t="b">
        <f t="shared" si="182"/>
        <v>0</v>
      </c>
    </row>
    <row r="593" spans="2:54" ht="13.5" customHeight="1">
      <c r="B593" s="2445"/>
      <c r="C593" s="2521"/>
      <c r="D593" s="2500"/>
      <c r="E593" s="2336" t="s">
        <v>850</v>
      </c>
      <c r="F593" s="2337"/>
      <c r="G593" s="1646" t="s">
        <v>851</v>
      </c>
      <c r="H593" s="1646"/>
      <c r="I593" s="1646"/>
      <c r="J593" s="1646"/>
      <c r="K593" s="1646"/>
      <c r="L593" s="1646"/>
      <c r="M593" s="1646"/>
      <c r="N593" s="1646"/>
      <c r="O593" s="1646"/>
      <c r="P593" s="1646"/>
      <c r="Q593" s="1647" t="s">
        <v>852</v>
      </c>
      <c r="R593" s="1646"/>
      <c r="S593" s="1646"/>
      <c r="T593" s="1646"/>
      <c r="U593" s="1646"/>
      <c r="V593" s="1646"/>
      <c r="W593" s="1646"/>
      <c r="X593" s="1646"/>
      <c r="Y593" s="1646"/>
      <c r="Z593" s="1646"/>
      <c r="AA593" s="1646"/>
      <c r="AB593" s="1646"/>
      <c r="AC593" s="1648"/>
      <c r="AD593" s="1647" t="s">
        <v>853</v>
      </c>
      <c r="AE593" s="1646"/>
      <c r="AF593" s="1646"/>
      <c r="AG593" s="1646"/>
      <c r="AH593" s="1646"/>
      <c r="AI593" s="1648"/>
      <c r="AJ593" s="1647" t="s">
        <v>773</v>
      </c>
      <c r="AK593" s="1646"/>
      <c r="AL593" s="1648"/>
      <c r="AM593" s="1647" t="s">
        <v>669</v>
      </c>
      <c r="AN593" s="1646"/>
      <c r="AO593" s="1648"/>
      <c r="AP593" s="1647" t="s">
        <v>854</v>
      </c>
      <c r="AQ593" s="1646"/>
      <c r="AR593" s="1648"/>
      <c r="AS593" s="1647" t="s">
        <v>855</v>
      </c>
      <c r="AT593" s="1646"/>
      <c r="AU593" s="1646"/>
      <c r="AV593" s="1648"/>
      <c r="AW593" s="2404" t="s">
        <v>666</v>
      </c>
      <c r="AX593" s="2405"/>
      <c r="AY593" s="2405"/>
      <c r="AZ593" s="2405"/>
      <c r="BA593" s="2200"/>
      <c r="BB593" s="956" t="b">
        <f>SUM(AW594:AZ600)&lt;&gt;0</f>
        <v>0</v>
      </c>
    </row>
    <row r="594" spans="2:54" ht="13.5" customHeight="1">
      <c r="B594" s="2445"/>
      <c r="C594" s="2521"/>
      <c r="D594" s="2500"/>
      <c r="E594" s="2338"/>
      <c r="F594" s="2337"/>
      <c r="G594" s="2347"/>
      <c r="H594" s="2347"/>
      <c r="I594" s="2347"/>
      <c r="J594" s="2347"/>
      <c r="K594" s="2347"/>
      <c r="L594" s="2347"/>
      <c r="M594" s="2347"/>
      <c r="N594" s="2347"/>
      <c r="O594" s="2347"/>
      <c r="P594" s="2348"/>
      <c r="Q594" s="2929"/>
      <c r="R594" s="2930"/>
      <c r="S594" s="117" t="s">
        <v>856</v>
      </c>
      <c r="T594" s="123" t="s">
        <v>857</v>
      </c>
      <c r="U594" s="2951"/>
      <c r="V594" s="2930"/>
      <c r="W594" s="117" t="s">
        <v>856</v>
      </c>
      <c r="X594" s="84" t="s">
        <v>858</v>
      </c>
      <c r="Y594" s="2818">
        <f t="shared" ref="Y594:Y599" si="184">INT(Q594*U594)</f>
        <v>0</v>
      </c>
      <c r="Z594" s="2818"/>
      <c r="AA594" s="2942"/>
      <c r="AB594" s="129">
        <f>ROUNDDOWN(IF(Y594&gt;Y$598,1+(AB$597-AB$598)/(Y$597-Y$598)*(Y594-Y$598),1-(AB$598-AB$599)/(Y$598-Y$599)*(Y$598-Y594)),2)</f>
        <v>0.6</v>
      </c>
      <c r="AC594" s="130"/>
      <c r="AD594" s="2399"/>
      <c r="AE594" s="2347"/>
      <c r="AF594" s="2400"/>
      <c r="AG594" s="98">
        <f>IF(AD594="",0,VLOOKUP(AD594,AD$597:AI$599,4,0))</f>
        <v>0</v>
      </c>
      <c r="AH594" s="131"/>
      <c r="AI594" s="99"/>
      <c r="AJ594" s="2251" t="e">
        <f>VLOOKUP(G594,G$597:P$598,8,0)</f>
        <v>#N/A</v>
      </c>
      <c r="AK594" s="2252"/>
      <c r="AL594" s="2253"/>
      <c r="AM594" s="2386">
        <f>ROUNDDOWN(AB594*AG594,2)</f>
        <v>0</v>
      </c>
      <c r="AN594" s="2387"/>
      <c r="AO594" s="2388"/>
      <c r="AP594" s="2251">
        <f>IF(G594="",0,INT(AJ594*AM594))</f>
        <v>0</v>
      </c>
      <c r="AQ594" s="2252"/>
      <c r="AR594" s="2253"/>
      <c r="AS594" s="2379"/>
      <c r="AT594" s="2380"/>
      <c r="AU594" s="2380"/>
      <c r="AV594" s="2381"/>
      <c r="AW594" s="2235">
        <f>AP594*AS594</f>
        <v>0</v>
      </c>
      <c r="AX594" s="2236"/>
      <c r="AY594" s="2236"/>
      <c r="AZ594" s="2237"/>
      <c r="BA594" s="2200"/>
      <c r="BB594" s="956" t="b">
        <f>COUNTA(G594:R594,U594,AD594,AS594)&lt;&gt;0</f>
        <v>0</v>
      </c>
    </row>
    <row r="595" spans="2:54" ht="13.5" customHeight="1">
      <c r="B595" s="2445"/>
      <c r="C595" s="2521"/>
      <c r="D595" s="2500"/>
      <c r="E595" s="2338"/>
      <c r="F595" s="2337"/>
      <c r="G595" s="2345"/>
      <c r="H595" s="2345"/>
      <c r="I595" s="2345"/>
      <c r="J595" s="2345"/>
      <c r="K595" s="2345"/>
      <c r="L595" s="2345"/>
      <c r="M595" s="2345"/>
      <c r="N595" s="2345"/>
      <c r="O595" s="2345"/>
      <c r="P595" s="2346"/>
      <c r="Q595" s="2916"/>
      <c r="R595" s="2330"/>
      <c r="S595" s="119" t="s">
        <v>856</v>
      </c>
      <c r="T595" s="120" t="s">
        <v>857</v>
      </c>
      <c r="U595" s="2329"/>
      <c r="V595" s="2330"/>
      <c r="W595" s="119" t="s">
        <v>856</v>
      </c>
      <c r="X595" s="49" t="s">
        <v>858</v>
      </c>
      <c r="Y595" s="2643">
        <f t="shared" si="184"/>
        <v>0</v>
      </c>
      <c r="Z595" s="2643"/>
      <c r="AA595" s="2928"/>
      <c r="AB595" s="132">
        <f>ROUNDDOWN(IF(Y595&gt;Y$598,1+(AB$597-AB$598)/(Y$597-Y$598)*(Y595-Y$598),1-(AB$598-AB$599)/(Y$598-Y$599)*(Y$598-Y595)),2)</f>
        <v>0.6</v>
      </c>
      <c r="AC595" s="133"/>
      <c r="AD595" s="2949"/>
      <c r="AE595" s="2345"/>
      <c r="AF595" s="2950"/>
      <c r="AG595" s="105">
        <f>IF(AD595="",0,VLOOKUP(AD595,AD$597:AI$599,4,0))</f>
        <v>0</v>
      </c>
      <c r="AH595" s="134"/>
      <c r="AI595" s="106"/>
      <c r="AJ595" s="2209" t="e">
        <f>VLOOKUP(G595,G$597:P$598,8,0)</f>
        <v>#N/A</v>
      </c>
      <c r="AK595" s="2210"/>
      <c r="AL595" s="2211"/>
      <c r="AM595" s="2299">
        <f>ROUNDDOWN(AB595*AG595,2)</f>
        <v>0</v>
      </c>
      <c r="AN595" s="2300"/>
      <c r="AO595" s="2301"/>
      <c r="AP595" s="2209">
        <f>IF(G595="",0,INT(AJ595*AM595))</f>
        <v>0</v>
      </c>
      <c r="AQ595" s="2210"/>
      <c r="AR595" s="2211"/>
      <c r="AS595" s="2361"/>
      <c r="AT595" s="2362"/>
      <c r="AU595" s="2362"/>
      <c r="AV595" s="2363"/>
      <c r="AW595" s="2238">
        <f>AP595*AS595</f>
        <v>0</v>
      </c>
      <c r="AX595" s="2239"/>
      <c r="AY595" s="2239"/>
      <c r="AZ595" s="2240"/>
      <c r="BA595" s="2200"/>
      <c r="BB595" s="956" t="b">
        <f>COUNTA(G595:R595,U595,AD595,AS595)&lt;&gt;0</f>
        <v>0</v>
      </c>
    </row>
    <row r="596" spans="2:54" ht="13.5" customHeight="1">
      <c r="B596" s="2445"/>
      <c r="C596" s="2521"/>
      <c r="D596" s="2500"/>
      <c r="E596" s="2338"/>
      <c r="F596" s="2337"/>
      <c r="G596" s="2924"/>
      <c r="H596" s="2924"/>
      <c r="I596" s="2924"/>
      <c r="J596" s="2924"/>
      <c r="K596" s="2924"/>
      <c r="L596" s="2924"/>
      <c r="M596" s="2924"/>
      <c r="N596" s="2924"/>
      <c r="O596" s="2924"/>
      <c r="P596" s="2925"/>
      <c r="Q596" s="2926"/>
      <c r="R596" s="2927"/>
      <c r="S596" s="42" t="s">
        <v>856</v>
      </c>
      <c r="T596" s="128" t="s">
        <v>857</v>
      </c>
      <c r="U596" s="2933"/>
      <c r="V596" s="2927"/>
      <c r="W596" s="42" t="s">
        <v>856</v>
      </c>
      <c r="X596" s="51" t="s">
        <v>858</v>
      </c>
      <c r="Y596" s="2401">
        <f t="shared" si="184"/>
        <v>0</v>
      </c>
      <c r="Z596" s="2401"/>
      <c r="AA596" s="2402"/>
      <c r="AB596" s="135">
        <f>ROUNDDOWN(IF(Y596&gt;Y$598,1+(AB$597-AB$598)/(Y$597-Y$598)*(Y596-Y$598),1-(AB$598-AB$599)/(Y$598-Y$599)*(Y$598-Y596)),2)</f>
        <v>0.6</v>
      </c>
      <c r="AC596" s="136"/>
      <c r="AD596" s="2943"/>
      <c r="AE596" s="2924"/>
      <c r="AF596" s="2944"/>
      <c r="AG596" s="111">
        <f>IF(AD596="",0,VLOOKUP(AD596,AD$597:AI$599,4,0))</f>
        <v>0</v>
      </c>
      <c r="AH596" s="137"/>
      <c r="AI596" s="112"/>
      <c r="AJ596" s="2358" t="e">
        <f>VLOOKUP(G596,G$597:P$598,8,0)</f>
        <v>#N/A</v>
      </c>
      <c r="AK596" s="2343"/>
      <c r="AL596" s="2344"/>
      <c r="AM596" s="2294">
        <f>ROUNDDOWN(AB596*AG596,2)</f>
        <v>0</v>
      </c>
      <c r="AN596" s="2295"/>
      <c r="AO596" s="2296"/>
      <c r="AP596" s="2358">
        <f>IF(G596="",0,INT(AJ596*AM596))</f>
        <v>0</v>
      </c>
      <c r="AQ596" s="2343"/>
      <c r="AR596" s="2344"/>
      <c r="AS596" s="2370"/>
      <c r="AT596" s="2371"/>
      <c r="AU596" s="2371"/>
      <c r="AV596" s="2372"/>
      <c r="AW596" s="2364">
        <f>AP596*AS596</f>
        <v>0</v>
      </c>
      <c r="AX596" s="2365"/>
      <c r="AY596" s="2365"/>
      <c r="AZ596" s="2366"/>
      <c r="BA596" s="2200"/>
      <c r="BB596" s="956" t="b">
        <f>COUNTA(G596:R596,U596,AD596,AS596)&lt;&gt;0</f>
        <v>0</v>
      </c>
    </row>
    <row r="597" spans="2:54" ht="13.5" customHeight="1">
      <c r="B597" s="2445"/>
      <c r="C597" s="2521"/>
      <c r="D597" s="2500"/>
      <c r="E597" s="2338"/>
      <c r="F597" s="2337"/>
      <c r="G597" s="2349" t="s">
        <v>859</v>
      </c>
      <c r="H597" s="2349"/>
      <c r="I597" s="2349"/>
      <c r="J597" s="2349"/>
      <c r="K597" s="2349"/>
      <c r="L597" s="2349"/>
      <c r="M597" s="2349"/>
      <c r="N597" s="2350">
        <v>63950</v>
      </c>
      <c r="O597" s="2213"/>
      <c r="P597" s="2214"/>
      <c r="Q597" s="2351">
        <v>90</v>
      </c>
      <c r="R597" s="2352"/>
      <c r="S597" s="1143" t="s">
        <v>856</v>
      </c>
      <c r="T597" s="1144" t="s">
        <v>857</v>
      </c>
      <c r="U597" s="2352">
        <v>90</v>
      </c>
      <c r="V597" s="2352"/>
      <c r="W597" s="1143" t="s">
        <v>856</v>
      </c>
      <c r="X597" s="138" t="s">
        <v>858</v>
      </c>
      <c r="Y597" s="2252">
        <f t="shared" si="184"/>
        <v>8100</v>
      </c>
      <c r="Z597" s="2252"/>
      <c r="AA597" s="2934"/>
      <c r="AB597" s="1145">
        <v>1.4</v>
      </c>
      <c r="AC597" s="1146"/>
      <c r="AD597" s="1147" t="s">
        <v>741</v>
      </c>
      <c r="AE597" s="1148"/>
      <c r="AF597" s="1148"/>
      <c r="AG597" s="1149">
        <v>1.5</v>
      </c>
      <c r="AH597" s="1150"/>
      <c r="AI597" s="1151"/>
      <c r="BA597" s="2200"/>
      <c r="BB597" s="956" t="b">
        <v>0</v>
      </c>
    </row>
    <row r="598" spans="2:54" ht="13.5" customHeight="1">
      <c r="B598" s="2445"/>
      <c r="C598" s="2521"/>
      <c r="D598" s="2500"/>
      <c r="E598" s="2338"/>
      <c r="F598" s="2337"/>
      <c r="G598" s="2341" t="s">
        <v>860</v>
      </c>
      <c r="H598" s="2341"/>
      <c r="I598" s="2341"/>
      <c r="J598" s="2341"/>
      <c r="K598" s="2341"/>
      <c r="L598" s="2341"/>
      <c r="M598" s="2341"/>
      <c r="N598" s="2342">
        <v>106300</v>
      </c>
      <c r="O598" s="2343"/>
      <c r="P598" s="2344"/>
      <c r="Q598" s="2328">
        <v>60</v>
      </c>
      <c r="R598" s="2261"/>
      <c r="S598" s="119" t="s">
        <v>856</v>
      </c>
      <c r="T598" s="120" t="s">
        <v>857</v>
      </c>
      <c r="U598" s="2261">
        <v>60</v>
      </c>
      <c r="V598" s="2261"/>
      <c r="W598" s="119" t="s">
        <v>856</v>
      </c>
      <c r="X598" s="77" t="s">
        <v>858</v>
      </c>
      <c r="Y598" s="2210">
        <f t="shared" si="184"/>
        <v>3600</v>
      </c>
      <c r="Z598" s="2210"/>
      <c r="AA598" s="2941"/>
      <c r="AB598" s="132">
        <v>1</v>
      </c>
      <c r="AC598" s="133"/>
      <c r="AD598" s="1147" t="s">
        <v>712</v>
      </c>
      <c r="AE598" s="1148"/>
      <c r="AF598" s="1148"/>
      <c r="AG598" s="1149">
        <v>1</v>
      </c>
      <c r="AH598" s="1150"/>
      <c r="AI598" s="1151"/>
      <c r="BA598" s="2200"/>
      <c r="BB598" s="956" t="b">
        <v>0</v>
      </c>
    </row>
    <row r="599" spans="2:54" ht="13.5" customHeight="1">
      <c r="B599" s="2445"/>
      <c r="C599" s="2521"/>
      <c r="D599" s="2500"/>
      <c r="E599" s="2338"/>
      <c r="F599" s="2337"/>
      <c r="Q599" s="2935">
        <v>45</v>
      </c>
      <c r="R599" s="2403"/>
      <c r="S599" s="42" t="s">
        <v>856</v>
      </c>
      <c r="T599" s="128" t="s">
        <v>857</v>
      </c>
      <c r="U599" s="2403">
        <v>60</v>
      </c>
      <c r="V599" s="2403"/>
      <c r="W599" s="42" t="s">
        <v>856</v>
      </c>
      <c r="X599" s="79" t="s">
        <v>858</v>
      </c>
      <c r="Y599" s="2343">
        <f t="shared" si="184"/>
        <v>2700</v>
      </c>
      <c r="Z599" s="2343"/>
      <c r="AA599" s="2945"/>
      <c r="AB599" s="135">
        <v>0.9</v>
      </c>
      <c r="AC599" s="136"/>
      <c r="AD599" s="1152" t="s">
        <v>743</v>
      </c>
      <c r="AE599" s="1153"/>
      <c r="AF599" s="1153"/>
      <c r="AG599" s="1154">
        <v>0.8</v>
      </c>
      <c r="AH599" s="1155"/>
      <c r="AI599" s="1156"/>
      <c r="BA599" s="2200"/>
      <c r="BB599" s="956" t="b">
        <v>0</v>
      </c>
    </row>
    <row r="600" spans="2:54" ht="13.5" customHeight="1" thickBot="1">
      <c r="B600" s="2445"/>
      <c r="C600" s="2521"/>
      <c r="D600" s="2500"/>
      <c r="E600" s="2339"/>
      <c r="F600" s="2340"/>
      <c r="BA600" s="2200"/>
      <c r="BB600" s="956" t="b">
        <v>0</v>
      </c>
    </row>
    <row r="601" spans="2:54" ht="13.5" customHeight="1" thickBot="1">
      <c r="B601" s="2581"/>
      <c r="C601" s="2582"/>
      <c r="D601" s="2502"/>
      <c r="E601" s="1660"/>
      <c r="F601" s="1658"/>
      <c r="G601" s="1658"/>
      <c r="H601" s="1658"/>
      <c r="I601" s="1658"/>
      <c r="J601" s="1658"/>
      <c r="K601" s="1658"/>
      <c r="L601" s="1658"/>
      <c r="M601" s="1658"/>
      <c r="N601" s="1658"/>
      <c r="O601" s="1658"/>
      <c r="P601" s="1658"/>
      <c r="Q601" s="1658"/>
      <c r="R601" s="1658"/>
      <c r="S601" s="1658"/>
      <c r="T601" s="1658"/>
      <c r="U601" s="1658"/>
      <c r="V601" s="1658"/>
      <c r="W601" s="1658"/>
      <c r="X601" s="1658"/>
      <c r="Y601" s="1658"/>
      <c r="Z601" s="1658"/>
      <c r="AA601" s="1658"/>
      <c r="AB601" s="1658"/>
      <c r="AC601" s="1658"/>
      <c r="AD601" s="1664"/>
      <c r="AE601" s="1664"/>
      <c r="AF601" s="1664"/>
      <c r="AG601" s="1664"/>
      <c r="AH601" s="1664"/>
      <c r="AI601" s="1665"/>
      <c r="AJ601" s="2221" t="str">
        <f ca="1">IF(AS601=基礎・屋根・外壁!AF91+見積拾!T137,"面積合計及び部分別評点数","補助票と面積が違います！")</f>
        <v>面積合計及び部分別評点数</v>
      </c>
      <c r="AK601" s="2222"/>
      <c r="AL601" s="2222"/>
      <c r="AM601" s="2222"/>
      <c r="AN601" s="2222"/>
      <c r="AO601" s="2222"/>
      <c r="AP601" s="2222"/>
      <c r="AQ601" s="2222"/>
      <c r="AR601" s="2223"/>
      <c r="AS601" s="2254">
        <f ca="1">SUM(AS549:AV585)</f>
        <v>0</v>
      </c>
      <c r="AT601" s="2255"/>
      <c r="AU601" s="2255"/>
      <c r="AV601" s="2256"/>
      <c r="AW601" s="2246">
        <f ca="1">SUM(AW548:AZ600)</f>
        <v>0</v>
      </c>
      <c r="AX601" s="2246"/>
      <c r="AY601" s="2246"/>
      <c r="AZ601" s="2247"/>
      <c r="BA601" s="2200"/>
      <c r="BB601" s="956" t="b">
        <v>1</v>
      </c>
    </row>
    <row r="602" spans="2:54" ht="13.5" customHeight="1">
      <c r="BA602" s="2200"/>
      <c r="BB602" s="956" t="b">
        <v>0</v>
      </c>
    </row>
    <row r="603" spans="2:54" ht="13.5" customHeight="1">
      <c r="BA603" s="2200"/>
      <c r="BB603" s="956" t="b">
        <v>0</v>
      </c>
    </row>
    <row r="604" spans="2:54" ht="13.5" customHeight="1">
      <c r="B604" s="1523"/>
      <c r="C604" s="2089" t="s">
        <v>861</v>
      </c>
      <c r="D604" s="2090"/>
      <c r="E604" s="2090"/>
      <c r="F604" s="2090"/>
      <c r="G604" s="2090"/>
      <c r="H604" s="2090"/>
      <c r="I604" s="2090"/>
      <c r="J604" s="2090"/>
      <c r="K604" s="88"/>
      <c r="L604" s="88"/>
      <c r="M604" s="88"/>
      <c r="N604" s="88"/>
      <c r="O604" s="88"/>
      <c r="P604" s="88"/>
      <c r="Q604" s="88"/>
      <c r="R604" s="88"/>
      <c r="S604" s="88"/>
      <c r="T604" s="88"/>
      <c r="U604" s="88"/>
      <c r="V604" s="88"/>
      <c r="W604" s="88"/>
      <c r="X604" s="88"/>
      <c r="Y604" s="88"/>
      <c r="Z604" s="88"/>
      <c r="AA604" s="88"/>
      <c r="AB604" s="88"/>
      <c r="AC604" s="88"/>
      <c r="AD604" s="88"/>
      <c r="AE604" s="88"/>
      <c r="AF604" s="88"/>
      <c r="AG604" s="88"/>
      <c r="AH604" s="88"/>
      <c r="AI604" s="88"/>
      <c r="AJ604" s="140"/>
      <c r="AK604" s="140"/>
      <c r="AL604" s="140"/>
      <c r="AM604" s="140"/>
      <c r="AN604" s="140"/>
      <c r="AO604" s="140"/>
      <c r="AP604" s="140"/>
      <c r="AQ604" s="140"/>
      <c r="AR604" s="140"/>
      <c r="AS604" s="2"/>
      <c r="AT604" s="2"/>
      <c r="AU604" s="2"/>
      <c r="AV604" s="2"/>
      <c r="AW604" s="141"/>
      <c r="AX604" s="141"/>
      <c r="AY604" s="141"/>
      <c r="AZ604" s="141"/>
      <c r="BA604" s="2200"/>
      <c r="BB604" s="956" t="b">
        <v>0</v>
      </c>
    </row>
    <row r="605" spans="2:54" ht="13.5" customHeight="1" thickBot="1">
      <c r="B605" s="139"/>
      <c r="C605" s="139"/>
      <c r="D605" s="139"/>
      <c r="E605" s="88"/>
      <c r="F605" s="88"/>
      <c r="G605" s="88"/>
      <c r="H605" s="88"/>
      <c r="I605" s="88"/>
      <c r="J605" s="88"/>
      <c r="K605" s="88"/>
      <c r="L605" s="88"/>
      <c r="M605" s="88"/>
      <c r="N605" s="88"/>
      <c r="O605" s="88"/>
      <c r="P605" s="88"/>
      <c r="Q605" s="88"/>
      <c r="R605" s="88"/>
      <c r="S605" s="88"/>
      <c r="T605" s="88"/>
      <c r="U605" s="88"/>
      <c r="V605" s="88"/>
      <c r="W605" s="88"/>
      <c r="X605" s="88"/>
      <c r="Y605" s="88"/>
      <c r="Z605" s="88"/>
      <c r="AA605" s="88"/>
      <c r="AB605" s="88"/>
      <c r="AC605" s="88"/>
      <c r="AD605" s="88"/>
      <c r="AE605" s="88"/>
      <c r="AF605" s="88"/>
      <c r="AG605" s="88"/>
      <c r="AH605" s="88"/>
      <c r="AI605" s="88"/>
      <c r="AJ605" s="140"/>
      <c r="AK605" s="140"/>
      <c r="AL605" s="140"/>
      <c r="AM605" s="140"/>
      <c r="AN605" s="140"/>
      <c r="BA605" s="2200"/>
      <c r="BB605" s="956" t="b">
        <f>COUNTA(AV606,AV608,AV610)&lt;&gt;0</f>
        <v>1</v>
      </c>
    </row>
    <row r="606" spans="2:54" ht="13.5" customHeight="1" thickBot="1">
      <c r="B606" s="1666"/>
      <c r="C606" s="2197" t="s">
        <v>862</v>
      </c>
      <c r="D606" s="2197"/>
      <c r="E606" s="1591"/>
      <c r="F606" s="1591"/>
      <c r="G606" s="1591"/>
      <c r="H606" s="1591"/>
      <c r="I606" s="1591"/>
      <c r="J606" s="1591"/>
      <c r="K606" s="1591"/>
      <c r="L606" s="1592"/>
      <c r="M606" s="1654" t="str">
        <f>+IF(AV606&lt;&gt;0,"別紙１のとおり","")</f>
        <v/>
      </c>
      <c r="N606" s="1591"/>
      <c r="O606" s="1591"/>
      <c r="P606" s="1591"/>
      <c r="Q606" s="1591"/>
      <c r="R606" s="1591"/>
      <c r="S606" s="1591"/>
      <c r="T606" s="1591"/>
      <c r="U606" s="1591"/>
      <c r="V606" s="1591"/>
      <c r="W606" s="1591"/>
      <c r="X606" s="1591"/>
      <c r="Y606" s="1591"/>
      <c r="Z606" s="1591"/>
      <c r="AA606" s="1591"/>
      <c r="AB606" s="1591"/>
      <c r="AC606" s="1591"/>
      <c r="AD606" s="1591"/>
      <c r="AE606" s="1591"/>
      <c r="AF606" s="1591"/>
      <c r="AG606" s="1591"/>
      <c r="AH606" s="1591"/>
      <c r="AI606" s="1591"/>
      <c r="AJ606" s="1591"/>
      <c r="AK606" s="1591"/>
      <c r="AL606" s="1591"/>
      <c r="AM606" s="1591"/>
      <c r="AN606" s="1667"/>
      <c r="AO606" s="1576" t="s">
        <v>681</v>
      </c>
      <c r="AP606" s="1577"/>
      <c r="AQ606" s="1577"/>
      <c r="AR606" s="1577"/>
      <c r="AS606" s="1577"/>
      <c r="AT606" s="1577"/>
      <c r="AU606" s="1577"/>
      <c r="AV606" s="2376">
        <f>建具!J150</f>
        <v>0</v>
      </c>
      <c r="AW606" s="2377"/>
      <c r="AX606" s="2377"/>
      <c r="AY606" s="2377"/>
      <c r="AZ606" s="2378"/>
      <c r="BA606" s="2200"/>
      <c r="BB606" s="956" t="b">
        <v>1</v>
      </c>
    </row>
    <row r="607" spans="2:54" ht="13.5" customHeight="1" thickBot="1">
      <c r="B607" s="139"/>
      <c r="C607" s="139"/>
      <c r="D607" s="139"/>
      <c r="E607" s="88"/>
      <c r="F607" s="88"/>
      <c r="G607" s="88"/>
      <c r="H607" s="88"/>
      <c r="I607" s="88"/>
      <c r="J607" s="88"/>
      <c r="K607" s="88"/>
      <c r="L607" s="88"/>
      <c r="M607" s="88"/>
      <c r="N607" s="88"/>
      <c r="O607" s="88"/>
      <c r="P607" s="88"/>
      <c r="Q607" s="88"/>
      <c r="R607" s="88"/>
      <c r="S607" s="88"/>
      <c r="T607" s="88"/>
      <c r="U607" s="88"/>
      <c r="V607" s="88"/>
      <c r="W607" s="88"/>
      <c r="X607" s="88"/>
      <c r="Y607" s="88"/>
      <c r="Z607" s="88"/>
      <c r="AA607" s="88"/>
      <c r="AB607" s="88"/>
      <c r="AC607" s="88"/>
      <c r="AD607" s="88"/>
      <c r="AE607" s="88"/>
      <c r="AF607" s="88"/>
      <c r="AG607" s="88"/>
      <c r="AH607" s="88"/>
      <c r="AI607" s="88"/>
      <c r="AJ607" s="140"/>
      <c r="AK607" s="140"/>
      <c r="AL607" s="140"/>
      <c r="AM607" s="140"/>
      <c r="AN607" s="140"/>
      <c r="AO607" s="140"/>
      <c r="AP607" s="140"/>
      <c r="AQ607" s="140"/>
      <c r="AR607" s="2"/>
      <c r="AS607" s="2"/>
      <c r="AT607" s="2"/>
      <c r="AU607" s="2"/>
      <c r="AV607" s="141"/>
      <c r="AW607" s="141"/>
      <c r="AX607" s="141"/>
      <c r="AY607" s="141"/>
      <c r="AZ607" s="141"/>
      <c r="BA607" s="2200"/>
      <c r="BB607" s="956" t="b">
        <v>0</v>
      </c>
    </row>
    <row r="608" spans="2:54" ht="13.5" customHeight="1" thickBot="1">
      <c r="B608" s="1666"/>
      <c r="C608" s="2197" t="s">
        <v>863</v>
      </c>
      <c r="D608" s="2197"/>
      <c r="E608" s="1591"/>
      <c r="F608" s="1591"/>
      <c r="G608" s="1591"/>
      <c r="H608" s="1591"/>
      <c r="I608" s="1591"/>
      <c r="J608" s="1591"/>
      <c r="K608" s="1591"/>
      <c r="L608" s="1592"/>
      <c r="M608" s="1654" t="str">
        <f>+IF(AV608&lt;&gt;0,"別紙１のとおり","")</f>
        <v/>
      </c>
      <c r="N608" s="1591"/>
      <c r="O608" s="1591"/>
      <c r="P608" s="1591"/>
      <c r="Q608" s="1591"/>
      <c r="R608" s="1591"/>
      <c r="S608" s="1591"/>
      <c r="T608" s="1591"/>
      <c r="U608" s="1591"/>
      <c r="V608" s="1591"/>
      <c r="W608" s="1591"/>
      <c r="X608" s="1591"/>
      <c r="Y608" s="1591"/>
      <c r="Z608" s="1591"/>
      <c r="AA608" s="1591"/>
      <c r="AB608" s="1591"/>
      <c r="AC608" s="1591"/>
      <c r="AD608" s="1591"/>
      <c r="AE608" s="1591"/>
      <c r="AF608" s="1591"/>
      <c r="AG608" s="1591"/>
      <c r="AH608" s="1591"/>
      <c r="AI608" s="1591"/>
      <c r="AJ608" s="1591"/>
      <c r="AK608" s="1591"/>
      <c r="AL608" s="1591"/>
      <c r="AM608" s="1591"/>
      <c r="AN608" s="1667"/>
      <c r="AO608" s="1576" t="s">
        <v>681</v>
      </c>
      <c r="AP608" s="1577"/>
      <c r="AQ608" s="1577"/>
      <c r="AR608" s="1577"/>
      <c r="AS608" s="1577"/>
      <c r="AT608" s="1577"/>
      <c r="AU608" s="1577"/>
      <c r="AV608" s="2376">
        <f>建具!J187</f>
        <v>0</v>
      </c>
      <c r="AW608" s="2377"/>
      <c r="AX608" s="2377"/>
      <c r="AY608" s="2377"/>
      <c r="AZ608" s="2378"/>
      <c r="BA608" s="2200"/>
      <c r="BB608" s="956" t="b">
        <v>1</v>
      </c>
    </row>
    <row r="609" spans="2:54" ht="13.5" customHeight="1" thickBot="1">
      <c r="B609" s="139"/>
      <c r="C609" s="139"/>
      <c r="D609" s="139"/>
      <c r="E609" s="88"/>
      <c r="F609" s="88"/>
      <c r="G609" s="88"/>
      <c r="H609" s="88"/>
      <c r="I609" s="88"/>
      <c r="J609" s="88"/>
      <c r="K609" s="88"/>
      <c r="L609" s="88"/>
      <c r="M609" s="88"/>
      <c r="N609" s="88"/>
      <c r="O609" s="88"/>
      <c r="P609" s="88"/>
      <c r="Q609" s="88"/>
      <c r="R609" s="88"/>
      <c r="S609" s="88"/>
      <c r="T609" s="88"/>
      <c r="U609" s="88"/>
      <c r="V609" s="88"/>
      <c r="W609" s="88"/>
      <c r="X609" s="88"/>
      <c r="Y609" s="88"/>
      <c r="Z609" s="88"/>
      <c r="AA609" s="88"/>
      <c r="AB609" s="88"/>
      <c r="AC609" s="88"/>
      <c r="AD609" s="88"/>
      <c r="AE609" s="88"/>
      <c r="AF609" s="88"/>
      <c r="AG609" s="88"/>
      <c r="AH609" s="88"/>
      <c r="AI609" s="88"/>
      <c r="AJ609" s="140"/>
      <c r="AK609" s="140"/>
      <c r="AL609" s="140"/>
      <c r="AM609" s="140"/>
      <c r="AN609" s="140"/>
      <c r="AO609" s="140"/>
      <c r="AP609" s="140"/>
      <c r="AQ609" s="140"/>
      <c r="AR609" s="2"/>
      <c r="AS609" s="2"/>
      <c r="AT609" s="2"/>
      <c r="AU609" s="2"/>
      <c r="AV609" s="141"/>
      <c r="AW609" s="141"/>
      <c r="AX609" s="141"/>
      <c r="AY609" s="141"/>
      <c r="AZ609" s="141"/>
      <c r="BA609" s="2200"/>
      <c r="BB609" s="956" t="b">
        <v>0</v>
      </c>
    </row>
    <row r="610" spans="2:54" ht="13.5" customHeight="1" thickBot="1">
      <c r="B610" s="1666"/>
      <c r="C610" s="2197" t="s">
        <v>454</v>
      </c>
      <c r="D610" s="2197"/>
      <c r="E610" s="1591"/>
      <c r="F610" s="1591"/>
      <c r="G610" s="1591"/>
      <c r="H610" s="1591"/>
      <c r="I610" s="1591"/>
      <c r="J610" s="1591"/>
      <c r="K610" s="1591"/>
      <c r="L610" s="1592"/>
      <c r="M610" s="1654" t="str">
        <f>+IF(AV610&lt;&gt;0,"別紙２のとおり","")</f>
        <v/>
      </c>
      <c r="N610" s="1591"/>
      <c r="O610" s="1591"/>
      <c r="P610" s="1591"/>
      <c r="Q610" s="1591"/>
      <c r="R610" s="1591"/>
      <c r="S610" s="1591"/>
      <c r="T610" s="1591"/>
      <c r="U610" s="1591"/>
      <c r="V610" s="1591"/>
      <c r="W610" s="1591"/>
      <c r="X610" s="1591"/>
      <c r="Y610" s="1591"/>
      <c r="Z610" s="1591"/>
      <c r="AA610" s="1591"/>
      <c r="AB610" s="1591"/>
      <c r="AC610" s="1591"/>
      <c r="AD610" s="1591"/>
      <c r="AE610" s="1591"/>
      <c r="AF610" s="1591"/>
      <c r="AG610" s="1591"/>
      <c r="AH610" s="1591"/>
      <c r="AI610" s="1591"/>
      <c r="AJ610" s="1591"/>
      <c r="AK610" s="1591"/>
      <c r="AL610" s="1591"/>
      <c r="AM610" s="1591"/>
      <c r="AN610" s="1667"/>
      <c r="AO610" s="1576" t="s">
        <v>681</v>
      </c>
      <c r="AP610" s="1577"/>
      <c r="AQ610" s="1577"/>
      <c r="AR610" s="1577"/>
      <c r="AS610" s="1577"/>
      <c r="AT610" s="1577"/>
      <c r="AU610" s="1577"/>
      <c r="AV610" s="2376">
        <f>設備!Q547+'設備(個別)'!W130</f>
        <v>0</v>
      </c>
      <c r="AW610" s="2377"/>
      <c r="AX610" s="2377"/>
      <c r="AY610" s="2377"/>
      <c r="AZ610" s="2378"/>
      <c r="BA610" s="2200"/>
      <c r="BB610" s="956" t="b">
        <v>1</v>
      </c>
    </row>
    <row r="611" spans="2:54" ht="13.5" customHeight="1">
      <c r="B611" s="139"/>
      <c r="C611" s="139"/>
      <c r="D611" s="139"/>
      <c r="E611" s="88"/>
      <c r="F611" s="88"/>
      <c r="G611" s="88"/>
      <c r="H611" s="88"/>
      <c r="I611" s="88"/>
      <c r="J611" s="88"/>
      <c r="K611" s="88"/>
      <c r="L611" s="88"/>
      <c r="M611" s="88"/>
      <c r="N611" s="88"/>
      <c r="O611" s="88"/>
      <c r="P611" s="88"/>
      <c r="Q611" s="88"/>
      <c r="R611" s="88"/>
      <c r="S611" s="88"/>
      <c r="T611" s="88"/>
      <c r="U611" s="88"/>
      <c r="V611" s="88"/>
      <c r="W611" s="88"/>
      <c r="X611" s="88"/>
      <c r="Y611" s="88"/>
      <c r="Z611" s="88"/>
      <c r="AA611" s="88"/>
      <c r="AB611" s="88"/>
      <c r="AC611" s="88"/>
      <c r="AD611" s="88"/>
      <c r="AE611" s="88"/>
      <c r="AF611" s="88"/>
      <c r="AG611" s="88"/>
      <c r="AH611" s="88"/>
      <c r="AI611" s="88"/>
      <c r="AJ611" s="140"/>
      <c r="AK611" s="140"/>
      <c r="AL611" s="140"/>
      <c r="AM611" s="140"/>
      <c r="AN611" s="140"/>
      <c r="AO611" s="140"/>
      <c r="AP611" s="140"/>
      <c r="AQ611" s="140"/>
      <c r="AR611" s="2"/>
      <c r="AS611" s="2"/>
      <c r="AT611" s="2"/>
      <c r="AU611" s="2"/>
      <c r="AV611" s="141"/>
      <c r="AW611" s="141"/>
      <c r="AX611" s="141"/>
      <c r="AY611" s="141"/>
      <c r="AZ611" s="141"/>
      <c r="BA611" s="2200"/>
      <c r="BB611" s="956" t="b">
        <v>0</v>
      </c>
    </row>
    <row r="612" spans="2:54" ht="13.5" customHeight="1">
      <c r="BA612" s="2200"/>
      <c r="BB612" s="956" t="b">
        <v>0</v>
      </c>
    </row>
    <row r="613" spans="2:54" ht="13.5" customHeight="1">
      <c r="B613" s="1523"/>
      <c r="C613" s="2089" t="s">
        <v>455</v>
      </c>
      <c r="D613" s="2090"/>
      <c r="E613" s="2090"/>
      <c r="F613" s="2090"/>
      <c r="G613" s="2090"/>
      <c r="H613" s="2090"/>
      <c r="I613" s="2090"/>
      <c r="J613" s="2090"/>
      <c r="BA613" s="2200"/>
      <c r="BB613" s="956" t="b">
        <v>0</v>
      </c>
    </row>
    <row r="614" spans="2:54" ht="13.5" customHeight="1" thickBot="1">
      <c r="AZ614" s="4"/>
      <c r="BA614" s="2200"/>
      <c r="BB614" s="956" t="b">
        <v>1</v>
      </c>
    </row>
    <row r="615" spans="2:54" ht="13.5" customHeight="1">
      <c r="B615" s="1668" t="s">
        <v>456</v>
      </c>
      <c r="C615" s="1669"/>
      <c r="D615" s="1669"/>
      <c r="E615" s="1669"/>
      <c r="F615" s="1669"/>
      <c r="G615" s="1670"/>
      <c r="H615" s="1549" t="s">
        <v>5665</v>
      </c>
      <c r="I615" s="1654"/>
      <c r="J615" s="1654"/>
      <c r="K615" s="1654"/>
      <c r="L615" s="1654"/>
      <c r="M615" s="1654"/>
      <c r="N615" s="1654" t="s">
        <v>457</v>
      </c>
      <c r="O615" s="1591"/>
      <c r="P615" s="1591"/>
      <c r="Q615" s="1592"/>
      <c r="R615" s="1594" t="s">
        <v>5648</v>
      </c>
      <c r="S615" s="1593"/>
      <c r="T615" s="1593"/>
      <c r="U615" s="1593"/>
      <c r="V615" s="1593"/>
      <c r="W615" s="1595"/>
      <c r="X615" s="1547" t="s">
        <v>5435</v>
      </c>
      <c r="Y615" s="1547"/>
      <c r="Z615" s="1547"/>
      <c r="AA615" s="1547"/>
      <c r="AB615" s="1548"/>
      <c r="AC615" s="1549"/>
      <c r="AD615" s="1549" t="str">
        <f>IF(AD7=DB!C572,"住宅の形式(その他）","-")</f>
        <v>-</v>
      </c>
      <c r="AE615" s="1547"/>
      <c r="AF615" s="1547"/>
      <c r="AG615" s="1547"/>
      <c r="AH615" s="1547"/>
      <c r="AI615" s="1548"/>
      <c r="AJ615" s="1591" t="s">
        <v>458</v>
      </c>
      <c r="AK615" s="1591"/>
      <c r="AL615" s="1591"/>
      <c r="AM615" s="1592"/>
      <c r="AN615" s="1654" t="s">
        <v>459</v>
      </c>
      <c r="AO615" s="1591"/>
      <c r="AP615" s="1591"/>
      <c r="AQ615" s="1592"/>
      <c r="AR615" s="1655" t="s">
        <v>460</v>
      </c>
      <c r="AS615" s="1654"/>
      <c r="AT615" s="1654"/>
      <c r="AU615" s="1654"/>
      <c r="AV615" s="1671" t="s">
        <v>461</v>
      </c>
      <c r="AW615" s="1672"/>
      <c r="AX615" s="1672"/>
      <c r="AY615" s="1672"/>
      <c r="AZ615" s="1673"/>
      <c r="BA615" s="2200"/>
      <c r="BB615" s="956" t="b">
        <v>1</v>
      </c>
    </row>
    <row r="616" spans="2:54" ht="13.5" customHeight="1">
      <c r="B616" s="1674"/>
      <c r="C616" s="1675" t="s">
        <v>462</v>
      </c>
      <c r="D616" s="1676"/>
      <c r="E616" s="1676"/>
      <c r="F616" s="1676"/>
      <c r="G616" s="1677"/>
      <c r="H616" s="1157" t="str">
        <f>IF($AD$7&lt;&gt;"",IF($AM$6=DB!$B$595,$AD$7&amp;"　軽量",$AD$7),"")</f>
        <v/>
      </c>
      <c r="I616" s="84"/>
      <c r="J616" s="84"/>
      <c r="K616" s="84"/>
      <c r="L616" s="84"/>
      <c r="M616" s="1125"/>
      <c r="N616" s="102">
        <f>IF($H$616="",0,VLOOKUP($H$616,仮設工事,2,0))</f>
        <v>0</v>
      </c>
      <c r="O616" s="102"/>
      <c r="P616" s="102"/>
      <c r="Q616" s="102"/>
      <c r="R616" s="2946"/>
      <c r="S616" s="2947"/>
      <c r="T616" s="2948"/>
      <c r="U616" s="131">
        <f>IF(R616="",0,VLOOKUP(R616,R618:W623,4,0))</f>
        <v>0</v>
      </c>
      <c r="V616" s="102"/>
      <c r="W616" s="102"/>
      <c r="X616" s="1090" t="s">
        <v>463</v>
      </c>
      <c r="Y616" s="1169"/>
      <c r="Z616" s="1169"/>
      <c r="AA616" s="1170" t="s">
        <v>463</v>
      </c>
      <c r="AB616" s="1169"/>
      <c r="AC616" s="1115"/>
      <c r="AD616" s="1090" t="s">
        <v>463</v>
      </c>
      <c r="AE616" s="1169"/>
      <c r="AF616" s="1091"/>
      <c r="AG616" s="1169" t="s">
        <v>463</v>
      </c>
      <c r="AH616" s="1169"/>
      <c r="AI616" s="1115"/>
      <c r="AJ616" s="2244">
        <f>ROUNDDOWN(U616,2)</f>
        <v>0</v>
      </c>
      <c r="AK616" s="2244"/>
      <c r="AL616" s="2244"/>
      <c r="AM616" s="2245"/>
      <c r="AN616" s="2251">
        <f>INT(N616*AJ616)</f>
        <v>0</v>
      </c>
      <c r="AO616" s="2252"/>
      <c r="AP616" s="2252"/>
      <c r="AQ616" s="2253"/>
      <c r="AR616" s="2243">
        <f>$E$10</f>
        <v>0</v>
      </c>
      <c r="AS616" s="2244"/>
      <c r="AT616" s="2244"/>
      <c r="AU616" s="2244"/>
      <c r="AV616" s="2397">
        <f>INT(AN616*AR616)</f>
        <v>0</v>
      </c>
      <c r="AW616" s="2236"/>
      <c r="AX616" s="2236"/>
      <c r="AY616" s="2236"/>
      <c r="AZ616" s="2398"/>
      <c r="BA616" s="2200"/>
      <c r="BB616" s="956" t="b">
        <v>1</v>
      </c>
    </row>
    <row r="617" spans="2:54" ht="13.5" customHeight="1" thickBot="1">
      <c r="B617" s="1678"/>
      <c r="C617" s="1679" t="s">
        <v>464</v>
      </c>
      <c r="D617" s="1680"/>
      <c r="E617" s="1680"/>
      <c r="F617" s="1680"/>
      <c r="G617" s="1681"/>
      <c r="H617" s="50" t="str">
        <f>IF($AD$7&lt;&gt;"",$AD$7,"")</f>
        <v/>
      </c>
      <c r="I617" s="51"/>
      <c r="J617" s="51"/>
      <c r="K617" s="51"/>
      <c r="L617" s="51"/>
      <c r="M617" s="1133"/>
      <c r="N617" s="115">
        <f>IF($AD$7&lt;&gt;"",IF(AND(OR(AD7=DB!C572,AD7=DB!C573,AD7=DB!C575),調書!AM6=DB!B595),"-",IF(AD7=DB!C572,調書!AG617,VLOOKUP(調書!AD7,主体明確補正,34,0))),0)</f>
        <v>0</v>
      </c>
      <c r="O617" s="115"/>
      <c r="P617" s="115"/>
      <c r="Q617" s="115"/>
      <c r="R617" s="1094" t="s">
        <v>124</v>
      </c>
      <c r="S617" s="1158"/>
      <c r="T617" s="1158"/>
      <c r="U617" s="1159" t="s">
        <v>124</v>
      </c>
      <c r="V617" s="1158"/>
      <c r="W617" s="1117"/>
      <c r="X617" s="2943"/>
      <c r="Y617" s="2924"/>
      <c r="Z617" s="2924"/>
      <c r="AA617" s="111">
        <f>IF(X617="",0,VLOOKUP(X617,X618:AC620,4,0))</f>
        <v>0</v>
      </c>
      <c r="AB617" s="115"/>
      <c r="AC617" s="142"/>
      <c r="AD617" s="2937"/>
      <c r="AE617" s="2938"/>
      <c r="AF617" s="2939"/>
      <c r="AG617" s="142" t="str">
        <f>IF(AD7=DB!C572,VLOOKUP(AD617,AD618:AI620,4,0),"－")</f>
        <v>－</v>
      </c>
      <c r="AH617" s="142"/>
      <c r="AI617" s="1171"/>
      <c r="AJ617" s="2359">
        <f>AA617</f>
        <v>0</v>
      </c>
      <c r="AK617" s="2360"/>
      <c r="AL617" s="2360"/>
      <c r="AM617" s="2940"/>
      <c r="AN617" s="2358">
        <f>INT(N617*AJ617)</f>
        <v>0</v>
      </c>
      <c r="AO617" s="2343"/>
      <c r="AP617" s="2343"/>
      <c r="AQ617" s="2344"/>
      <c r="AR617" s="2359">
        <f>$E$10</f>
        <v>0</v>
      </c>
      <c r="AS617" s="2360"/>
      <c r="AT617" s="2360"/>
      <c r="AU617" s="2360"/>
      <c r="AV617" s="2367">
        <f>INT(AN617*AR617)</f>
        <v>0</v>
      </c>
      <c r="AW617" s="2368"/>
      <c r="AX617" s="2368"/>
      <c r="AY617" s="2368"/>
      <c r="AZ617" s="2369"/>
      <c r="BA617" s="2200"/>
      <c r="BB617" s="956" t="b">
        <v>1</v>
      </c>
    </row>
    <row r="618" spans="2:54" ht="13.5" customHeight="1">
      <c r="B618" s="32"/>
      <c r="R618" s="1160" t="str">
        <f>IF(ISNUMBER(U621),"計算値","×")</f>
        <v>×</v>
      </c>
      <c r="S618" s="979"/>
      <c r="T618" s="1161"/>
      <c r="U618" s="17" t="str">
        <f>IF(ISNUMBER(U621),MAX(U623,MIN(IF(U619&lt;&gt;"-",U619,U620),ROUNDDOWN(IF($AR$616&gt;R620,IF(R619="-",U620,U620+(U619-U620)/(R619-R620)*($AR$616-R620)),IF($AR$616&lt;R622,IF(R623="-",U622,U622+(U623-U622)/(R623-R622)*($AR$616-R622)),IF($AR$616&gt;R621,U621+(U620-U621)/(R620-R621)*($AR$616-R621),U621+(U622-U621)/(R622-R621)*($AR$616-R621)))),2))),"×")</f>
        <v>×</v>
      </c>
      <c r="V618" s="1162"/>
      <c r="W618" s="1163"/>
      <c r="X618" s="1178" t="s">
        <v>465</v>
      </c>
      <c r="Y618" s="1179"/>
      <c r="Z618" s="1179"/>
      <c r="AA618" s="1180">
        <v>1.5</v>
      </c>
      <c r="AB618" s="1179"/>
      <c r="AC618" s="1179"/>
      <c r="AD618" s="1181" t="str">
        <f>IF(AD7=DB!C572,"上","×")</f>
        <v>×</v>
      </c>
      <c r="AE618" s="1182"/>
      <c r="AF618" s="1182"/>
      <c r="AG618" s="1172" t="str">
        <f>IF(AD7=DB!C572,16370,"×")</f>
        <v>×</v>
      </c>
      <c r="AH618" s="1172"/>
      <c r="AI618" s="1173"/>
      <c r="AY618" s="143"/>
      <c r="AZ618" s="144"/>
      <c r="BA618" s="2200"/>
      <c r="BB618" s="956" t="b">
        <v>1</v>
      </c>
    </row>
    <row r="619" spans="2:54" ht="13.5" customHeight="1">
      <c r="B619" s="32"/>
      <c r="R619" s="1164" t="e">
        <f>IF(VLOOKUP($H$616,仮設工事,4,0)=R620,"",VLOOKUP($H$616,仮設工事,4,0))</f>
        <v>#N/A</v>
      </c>
      <c r="S619" s="59"/>
      <c r="T619" s="1093"/>
      <c r="U619" s="25" t="e">
        <f>IF(VLOOKUP($H$616,仮設工事,5,0)=U620,"",VLOOKUP($H$616,仮設工事,5,0))</f>
        <v>#N/A</v>
      </c>
      <c r="V619" s="1165"/>
      <c r="W619" s="1166"/>
      <c r="X619" s="1183" t="s">
        <v>752</v>
      </c>
      <c r="Y619" s="1184"/>
      <c r="Z619" s="1184"/>
      <c r="AA619" s="1185">
        <v>1</v>
      </c>
      <c r="AB619" s="1184"/>
      <c r="AC619" s="1184"/>
      <c r="AD619" s="1186" t="str">
        <f>IF(AD7=DB!C572,"中","×")</f>
        <v>×</v>
      </c>
      <c r="AE619" s="1187"/>
      <c r="AF619" s="1187"/>
      <c r="AG619" s="1174" t="str">
        <f>IF(AD7=DB!C572,10080,"×")</f>
        <v>×</v>
      </c>
      <c r="AH619" s="1174"/>
      <c r="AI619" s="1175"/>
      <c r="AZ619" s="43"/>
      <c r="BA619" s="2200"/>
      <c r="BB619" s="956" t="b">
        <v>1</v>
      </c>
    </row>
    <row r="620" spans="2:54" ht="13.5" customHeight="1">
      <c r="B620" s="32"/>
      <c r="R620" s="1164" t="e">
        <f>VLOOKUP($H$616,仮設工事,6,0)</f>
        <v>#N/A</v>
      </c>
      <c r="S620" s="59"/>
      <c r="T620" s="1093"/>
      <c r="U620" s="25" t="e">
        <f>VLOOKUP($H$616,仮設工事,7,0)</f>
        <v>#N/A</v>
      </c>
      <c r="V620" s="1165"/>
      <c r="W620" s="1166"/>
      <c r="X620" s="1188" t="s">
        <v>466</v>
      </c>
      <c r="Y620" s="1189"/>
      <c r="Z620" s="1189"/>
      <c r="AA620" s="1190">
        <v>0.5</v>
      </c>
      <c r="AB620" s="1189"/>
      <c r="AC620" s="1189"/>
      <c r="AD620" s="1191" t="str">
        <f>IF(AD7=DB!C572,"並","×")</f>
        <v>×</v>
      </c>
      <c r="AE620" s="1192"/>
      <c r="AF620" s="1192"/>
      <c r="AG620" s="1176" t="str">
        <f>IF(AD7=DB!C572,5450,"×")</f>
        <v>×</v>
      </c>
      <c r="AH620" s="1176"/>
      <c r="AI620" s="1177"/>
      <c r="AZ620" s="43"/>
      <c r="BA620" s="2200"/>
      <c r="BB620" s="956" t="b">
        <v>1</v>
      </c>
    </row>
    <row r="621" spans="2:54" ht="13.5" customHeight="1">
      <c r="B621" s="32"/>
      <c r="R621" s="1164" t="e">
        <f>VLOOKUP($H$616,仮設工事,8,0)</f>
        <v>#N/A</v>
      </c>
      <c r="S621" s="59"/>
      <c r="T621" s="1093"/>
      <c r="U621" s="25" t="e">
        <f>VLOOKUP($H$616,仮設工事,9,0)</f>
        <v>#N/A</v>
      </c>
      <c r="V621" s="1165"/>
      <c r="W621" s="1166"/>
      <c r="AZ621" s="43"/>
      <c r="BA621" s="2200"/>
      <c r="BB621" s="956" t="b">
        <v>1</v>
      </c>
    </row>
    <row r="622" spans="2:54" ht="13.5" customHeight="1">
      <c r="B622" s="32"/>
      <c r="R622" s="1164" t="e">
        <f>VLOOKUP($H$616,仮設工事,10,0)</f>
        <v>#N/A</v>
      </c>
      <c r="S622" s="59"/>
      <c r="T622" s="1093"/>
      <c r="U622" s="25" t="e">
        <f>VLOOKUP($H$616,仮設工事,11,0)</f>
        <v>#N/A</v>
      </c>
      <c r="V622" s="1167"/>
      <c r="W622" s="1116"/>
      <c r="AZ622" s="1084"/>
      <c r="BA622" s="2200"/>
      <c r="BB622" s="956" t="b">
        <v>1</v>
      </c>
    </row>
    <row r="623" spans="2:54" ht="13.5" customHeight="1">
      <c r="B623" s="925"/>
      <c r="C623" s="750"/>
      <c r="D623" s="750"/>
      <c r="E623" s="750"/>
      <c r="F623" s="750"/>
      <c r="G623" s="750"/>
      <c r="H623" s="750"/>
      <c r="I623" s="750"/>
      <c r="J623" s="750"/>
      <c r="K623" s="750"/>
      <c r="L623" s="750"/>
      <c r="M623" s="750"/>
      <c r="N623" s="750"/>
      <c r="O623" s="750"/>
      <c r="P623" s="750"/>
      <c r="Q623" s="751"/>
      <c r="R623" s="1168" t="e">
        <f>IF(VLOOKUP($H$616,仮設工事,12,0)=R622,"",VLOOKUP($H$616,仮設工事,12,0))</f>
        <v>#N/A</v>
      </c>
      <c r="S623" s="68"/>
      <c r="T623" s="1095"/>
      <c r="U623" s="28" t="e">
        <f>IF(VLOOKUP($H$616,仮設工事,13,0)=U622,"",VLOOKUP($H$616,仮設工事,13,0))</f>
        <v>#N/A</v>
      </c>
      <c r="V623" s="1158"/>
      <c r="W623" s="1117"/>
      <c r="X623" s="925"/>
      <c r="Y623" s="750"/>
      <c r="Z623" s="750"/>
      <c r="AA623" s="750"/>
      <c r="AB623" s="750"/>
      <c r="AC623" s="750"/>
      <c r="AD623" s="750"/>
      <c r="AE623" s="750"/>
      <c r="AF623" s="750"/>
      <c r="AG623" s="750"/>
      <c r="AH623" s="750"/>
      <c r="AI623" s="750"/>
      <c r="AJ623" s="750"/>
      <c r="AK623" s="750"/>
      <c r="AL623" s="750"/>
      <c r="AM623" s="750"/>
      <c r="AN623" s="750"/>
      <c r="AO623" s="750"/>
      <c r="AP623" s="750"/>
      <c r="AQ623" s="750"/>
      <c r="AR623" s="750"/>
      <c r="AS623" s="750"/>
      <c r="AT623" s="750"/>
      <c r="AU623" s="750"/>
      <c r="AV623" s="750"/>
      <c r="AW623" s="750"/>
      <c r="AX623" s="750"/>
      <c r="AY623" s="750"/>
      <c r="AZ623" s="751"/>
      <c r="BA623" s="2200"/>
      <c r="BB623" s="956" t="b">
        <v>1</v>
      </c>
    </row>
    <row r="624" spans="2:54" ht="13.5" customHeight="1" thickBot="1">
      <c r="BA624" s="2200"/>
      <c r="BB624" s="956" t="b">
        <v>1</v>
      </c>
    </row>
    <row r="625" spans="34:54" ht="13.5" customHeight="1">
      <c r="AL625" s="1682" t="s">
        <v>467</v>
      </c>
      <c r="AM625" s="1683"/>
      <c r="AN625" s="1684"/>
      <c r="AO625" s="1684"/>
      <c r="AP625" s="1684"/>
      <c r="AQ625" s="1684"/>
      <c r="AR625" s="1685"/>
      <c r="AS625" s="2395">
        <f ca="1">SUM(AV77,AV83,AV117,AV158,AV183,AW215,AW244,AW273,AW304,AW357,AW421,AW482,AW542,AW601,AV606,AV608,AV610,AV616,AV617)</f>
        <v>0</v>
      </c>
      <c r="AT625" s="2396"/>
      <c r="AU625" s="2396"/>
      <c r="AV625" s="2396"/>
      <c r="AW625" s="2396"/>
      <c r="AX625" s="145" t="s">
        <v>468</v>
      </c>
      <c r="AY625" s="146"/>
      <c r="AZ625" s="147"/>
      <c r="BA625" s="2200"/>
      <c r="BB625" s="956" t="b">
        <v>1</v>
      </c>
    </row>
    <row r="626" spans="34:54" ht="13.5" customHeight="1">
      <c r="AL626" s="1686" t="s">
        <v>469</v>
      </c>
      <c r="AM626" s="1687"/>
      <c r="AN626" s="1688"/>
      <c r="AO626" s="1688"/>
      <c r="AP626" s="1688"/>
      <c r="AQ626" s="2391"/>
      <c r="AR626" s="2392"/>
      <c r="AS626" s="2389">
        <f>IF(AQ626&lt;&gt;0,INT(AS625/AQ626),0)</f>
        <v>0</v>
      </c>
      <c r="AT626" s="2390"/>
      <c r="AU626" s="2390"/>
      <c r="AV626" s="2390"/>
      <c r="AW626" s="2390"/>
      <c r="AX626" s="148" t="s">
        <v>468</v>
      </c>
      <c r="AY626" s="149"/>
      <c r="AZ626" s="150"/>
      <c r="BA626" s="2200"/>
      <c r="BB626" s="956" t="b">
        <f>AQ626&lt;&gt;0</f>
        <v>0</v>
      </c>
    </row>
    <row r="627" spans="34:54" ht="13.5" customHeight="1">
      <c r="AL627" s="1689" t="s">
        <v>471</v>
      </c>
      <c r="AM627" s="1690"/>
      <c r="AN627" s="1691"/>
      <c r="AO627" s="1691"/>
      <c r="AP627" s="1691"/>
      <c r="AQ627" s="2354">
        <f>IF($E$10&gt;10,1.1,1)</f>
        <v>1</v>
      </c>
      <c r="AR627" s="2355"/>
      <c r="AS627" s="2356">
        <f ca="1">IF(AQ626&lt;&gt;0,INT(AS626*AQ627),INT(AS625*AQ627))</f>
        <v>0</v>
      </c>
      <c r="AT627" s="2357"/>
      <c r="AU627" s="2357"/>
      <c r="AV627" s="2357"/>
      <c r="AW627" s="2357"/>
      <c r="AX627" s="151" t="s">
        <v>470</v>
      </c>
      <c r="AY627" s="152"/>
      <c r="AZ627" s="153"/>
      <c r="BA627" s="2200"/>
      <c r="BB627" s="956" t="b">
        <v>1</v>
      </c>
    </row>
    <row r="628" spans="34:54" ht="13.5" customHeight="1" thickBot="1">
      <c r="AL628" s="1692" t="s">
        <v>472</v>
      </c>
      <c r="AM628" s="1693"/>
      <c r="AN628" s="1694"/>
      <c r="AO628" s="1694"/>
      <c r="AP628" s="1694"/>
      <c r="AQ628" s="1694"/>
      <c r="AR628" s="1695"/>
      <c r="AS628" s="2393">
        <f>IF($E$10=0,0,INT(AS627/$E$10))</f>
        <v>0</v>
      </c>
      <c r="AT628" s="2394"/>
      <c r="AU628" s="2394"/>
      <c r="AV628" s="2394"/>
      <c r="AW628" s="2394"/>
      <c r="AX628" s="154" t="s">
        <v>867</v>
      </c>
      <c r="AY628" s="155"/>
      <c r="AZ628" s="156"/>
      <c r="BA628" s="2200"/>
      <c r="BB628" s="956" t="b">
        <v>1</v>
      </c>
    </row>
    <row r="629" spans="34:54" ht="13.5" customHeight="1">
      <c r="BA629" s="2200"/>
      <c r="BB629" s="956" t="b">
        <v>0</v>
      </c>
    </row>
    <row r="631" spans="34:54" ht="13.5" customHeight="1">
      <c r="AH631" s="181"/>
      <c r="AL631" s="181"/>
    </row>
    <row r="632" spans="34:54" ht="13.5" customHeight="1">
      <c r="AH632" s="2353"/>
      <c r="AI632" s="2353"/>
      <c r="AJ632" s="2353"/>
      <c r="AK632" s="2353"/>
      <c r="AL632" s="2353"/>
      <c r="AM632" s="2353"/>
      <c r="AN632" s="2353"/>
      <c r="AO632" s="2353"/>
      <c r="AP632" s="2353"/>
      <c r="AQ632" s="2353"/>
      <c r="AR632" s="2353"/>
      <c r="AS632" s="2353"/>
      <c r="AT632" s="2353"/>
      <c r="AU632" s="2353"/>
      <c r="AV632" s="2353"/>
      <c r="AW632" s="2353"/>
      <c r="AX632" s="2353"/>
      <c r="AY632" s="2353"/>
      <c r="AZ632" s="2353"/>
    </row>
    <row r="633" spans="34:54" ht="13.5" customHeight="1">
      <c r="AH633" s="2353"/>
      <c r="AI633" s="2353"/>
      <c r="AJ633" s="2353"/>
      <c r="AK633" s="2353"/>
      <c r="AL633" s="2353"/>
      <c r="AM633" s="2353"/>
      <c r="AN633" s="2353"/>
      <c r="AO633" s="2353"/>
      <c r="AP633" s="2353"/>
      <c r="AQ633" s="2353"/>
      <c r="AR633" s="2353"/>
      <c r="AS633" s="2353"/>
      <c r="AT633" s="2353"/>
      <c r="AU633" s="2353"/>
      <c r="AV633" s="2353"/>
      <c r="AW633" s="2353"/>
      <c r="AX633" s="2353"/>
      <c r="AY633" s="2353"/>
      <c r="AZ633" s="2353"/>
    </row>
    <row r="634" spans="34:54" ht="13.5" customHeight="1">
      <c r="AH634" s="2353"/>
      <c r="AI634" s="2353"/>
      <c r="AJ634" s="2353"/>
      <c r="AK634" s="2353"/>
      <c r="AL634" s="2353"/>
      <c r="AM634" s="2353"/>
      <c r="AN634" s="2353"/>
      <c r="AO634" s="2353"/>
      <c r="AP634" s="2353"/>
      <c r="AQ634" s="2353"/>
      <c r="AR634" s="2353"/>
      <c r="AS634" s="2353"/>
      <c r="AT634" s="2353"/>
      <c r="AU634" s="2353"/>
      <c r="AV634" s="2353"/>
      <c r="AW634" s="2353"/>
      <c r="AX634" s="2353"/>
      <c r="AY634" s="2353"/>
      <c r="AZ634" s="2353"/>
      <c r="BB634"/>
    </row>
    <row r="635" spans="34:54" ht="13.5" customHeight="1">
      <c r="AH635" s="2353"/>
      <c r="AI635" s="2353"/>
      <c r="AJ635" s="2353"/>
      <c r="AK635" s="2353"/>
      <c r="AL635" s="2353"/>
      <c r="AM635" s="2353"/>
      <c r="AN635" s="2353"/>
      <c r="AO635" s="2353"/>
      <c r="AP635" s="2353"/>
      <c r="AQ635" s="2353"/>
      <c r="AR635" s="2353"/>
      <c r="AS635" s="2353"/>
      <c r="AT635" s="2353"/>
      <c r="AU635" s="2353"/>
      <c r="AV635" s="2353"/>
      <c r="AW635" s="2353"/>
      <c r="AX635" s="2353"/>
      <c r="AY635" s="2353"/>
      <c r="AZ635" s="2353"/>
    </row>
    <row r="636" spans="34:54" ht="13.5" customHeight="1">
      <c r="AH636" s="2353"/>
      <c r="AI636" s="2353"/>
      <c r="AJ636" s="2353"/>
      <c r="AK636" s="2353"/>
      <c r="AL636" s="2353"/>
      <c r="AM636" s="2353"/>
      <c r="AN636" s="2353"/>
      <c r="AO636" s="2353"/>
      <c r="AP636" s="2353"/>
      <c r="AQ636" s="2353"/>
      <c r="AR636" s="2353"/>
      <c r="AS636" s="2353"/>
      <c r="AT636" s="2353"/>
      <c r="AU636" s="2353"/>
      <c r="AV636" s="2353"/>
      <c r="AW636" s="2353"/>
      <c r="AX636" s="2353"/>
      <c r="AY636" s="2353"/>
      <c r="AZ636" s="2353"/>
    </row>
    <row r="637" spans="34:54" ht="13.5" customHeight="1">
      <c r="AH637" s="2353"/>
      <c r="AI637" s="2353"/>
      <c r="AJ637" s="2353"/>
      <c r="AK637" s="2353"/>
      <c r="AL637" s="2353"/>
      <c r="AM637" s="2353"/>
      <c r="AN637" s="2353"/>
      <c r="AO637" s="2353"/>
      <c r="AP637" s="2353"/>
      <c r="AQ637" s="2353"/>
      <c r="AR637" s="2353"/>
      <c r="AS637" s="2353"/>
      <c r="AT637" s="2353"/>
      <c r="AU637" s="2353"/>
      <c r="AV637" s="2353"/>
      <c r="AW637" s="2353"/>
      <c r="AX637" s="2353"/>
      <c r="AY637" s="2353"/>
      <c r="AZ637" s="2353"/>
    </row>
  </sheetData>
  <autoFilter ref="BB1:BB629" xr:uid="{00000000-0001-0000-0400-000000000000}"/>
  <customSheetViews>
    <customSheetView guid="{6CFAA980-29D1-42A9-8342-BF14629EBE3B}" showGridLines="0" fitToPage="1" showAutoFilter="1">
      <pane ySplit="3" topLeftCell="A4" activePane="bottomLeft" state="frozen"/>
      <selection pane="bottomLeft" activeCell="M10" sqref="M10:P10"/>
      <rowBreaks count="1" manualBreakCount="1">
        <brk id="116" min="1" max="51" man="1"/>
      </rowBreaks>
      <pageMargins left="0.59055118110236227" right="0.19685039370078741" top="0.51181102362204722" bottom="0.39370078740157483" header="0.31496062992125984" footer="0.19685039370078741"/>
      <printOptions horizontalCentered="1"/>
      <pageSetup paperSize="9" scale="10" orientation="portrait" r:id="rId1"/>
      <headerFooter alignWithMargins="0">
        <oddHeader>&amp;L&amp;"HG創英角ｺﾞｼｯｸUB,標準"&amp;10様式第１号&amp;C&amp;"HG創英角ｺﾞｼｯｸUB,標準"&amp;12非木造家屋調査書&amp;R&amp;"HG創英角ｺﾞｼｯｸUB,標準"&amp;10令和３年基準</oddHeader>
        <oddFooter>&amp;R&amp;"ＭＳ ゴシック,標準"&amp;D　&amp;T</oddFooter>
      </headerFooter>
      <autoFilter ref="BA1:BA720" xr:uid="{9CDA851A-BB76-4016-B8DA-68241F6C037F}"/>
    </customSheetView>
  </customSheetViews>
  <mergeCells count="4675">
    <mergeCell ref="AW1:AZ1"/>
    <mergeCell ref="AW443:AZ443"/>
    <mergeCell ref="AW445:AZ445"/>
    <mergeCell ref="AW430:AZ430"/>
    <mergeCell ref="AS388:AV388"/>
    <mergeCell ref="AS503:AV503"/>
    <mergeCell ref="AS499:AV499"/>
    <mergeCell ref="AS395:AV395"/>
    <mergeCell ref="AS393:AV393"/>
    <mergeCell ref="AT6:AT7"/>
    <mergeCell ref="AR44:AU44"/>
    <mergeCell ref="AP212:AR212"/>
    <mergeCell ref="AW319:AZ319"/>
    <mergeCell ref="AW314:AZ314"/>
    <mergeCell ref="AW315:AZ315"/>
    <mergeCell ref="AW294:AZ294"/>
    <mergeCell ref="AS462:AV462"/>
    <mergeCell ref="AS457:AV457"/>
    <mergeCell ref="AS470:AV470"/>
    <mergeCell ref="AW462:AZ462"/>
    <mergeCell ref="AW468:AZ468"/>
    <mergeCell ref="AW464:AZ464"/>
    <mergeCell ref="AW455:AZ455"/>
    <mergeCell ref="AS461:AV461"/>
    <mergeCell ref="AW459:AZ459"/>
    <mergeCell ref="AS465:AV465"/>
    <mergeCell ref="AS466:AV466"/>
    <mergeCell ref="AS453:AV453"/>
    <mergeCell ref="AW449:AZ449"/>
    <mergeCell ref="AW450:AZ450"/>
    <mergeCell ref="AW453:AZ453"/>
    <mergeCell ref="AS460:AV460"/>
    <mergeCell ref="AW522:AZ522"/>
    <mergeCell ref="AW494:AZ494"/>
    <mergeCell ref="AW491:AZ491"/>
    <mergeCell ref="AW492:AZ492"/>
    <mergeCell ref="AS489:AV489"/>
    <mergeCell ref="AW511:AZ511"/>
    <mergeCell ref="AW497:AZ497"/>
    <mergeCell ref="AW508:AZ508"/>
    <mergeCell ref="AW529:AZ529"/>
    <mergeCell ref="AW523:AZ523"/>
    <mergeCell ref="AS518:AV518"/>
    <mergeCell ref="AW520:AZ520"/>
    <mergeCell ref="AS523:AV523"/>
    <mergeCell ref="AS529:AV529"/>
    <mergeCell ref="AW525:AZ525"/>
    <mergeCell ref="AW515:AZ515"/>
    <mergeCell ref="AS507:AV507"/>
    <mergeCell ref="AW524:AZ524"/>
    <mergeCell ref="AS524:AV524"/>
    <mergeCell ref="AW527:AZ527"/>
    <mergeCell ref="AW526:AZ526"/>
    <mergeCell ref="AW490:AZ490"/>
    <mergeCell ref="AS497:AV497"/>
    <mergeCell ref="AW498:AZ498"/>
    <mergeCell ref="AW505:AZ505"/>
    <mergeCell ref="AW504:AZ504"/>
    <mergeCell ref="AW521:AZ521"/>
    <mergeCell ref="AW501:AZ501"/>
    <mergeCell ref="AS492:AV492"/>
    <mergeCell ref="AS504:AV504"/>
    <mergeCell ref="AS496:AV496"/>
    <mergeCell ref="AW517:AZ517"/>
    <mergeCell ref="AW514:AZ514"/>
    <mergeCell ref="AW519:AZ519"/>
    <mergeCell ref="AS519:AV519"/>
    <mergeCell ref="AS495:AV495"/>
    <mergeCell ref="AW506:AZ506"/>
    <mergeCell ref="AW509:AZ509"/>
    <mergeCell ref="AW500:AZ500"/>
    <mergeCell ref="AW502:AZ502"/>
    <mergeCell ref="AW471:AZ471"/>
    <mergeCell ref="AW487:AZ487"/>
    <mergeCell ref="AW518:AZ518"/>
    <mergeCell ref="AS475:AV475"/>
    <mergeCell ref="AW516:AZ516"/>
    <mergeCell ref="AS498:AV498"/>
    <mergeCell ref="AS488:AV488"/>
    <mergeCell ref="AS521:AV521"/>
    <mergeCell ref="AW503:AZ503"/>
    <mergeCell ref="AS480:AV480"/>
    <mergeCell ref="AS474:AV474"/>
    <mergeCell ref="AS520:AV520"/>
    <mergeCell ref="AW473:AZ473"/>
    <mergeCell ref="AW477:AZ477"/>
    <mergeCell ref="AS479:AV479"/>
    <mergeCell ref="AW479:AZ479"/>
    <mergeCell ref="AW482:AZ482"/>
    <mergeCell ref="AW481:AZ481"/>
    <mergeCell ref="AW472:AZ472"/>
    <mergeCell ref="AW499:AZ499"/>
    <mergeCell ref="AS471:AV471"/>
    <mergeCell ref="AW478:AZ478"/>
    <mergeCell ref="AS481:AV481"/>
    <mergeCell ref="AW476:AZ476"/>
    <mergeCell ref="AW463:AZ463"/>
    <mergeCell ref="AW465:AZ465"/>
    <mergeCell ref="AS459:AV459"/>
    <mergeCell ref="AS458:AV458"/>
    <mergeCell ref="AP461:AR461"/>
    <mergeCell ref="AJ447:AL447"/>
    <mergeCell ref="AJ459:AL459"/>
    <mergeCell ref="AP462:AR462"/>
    <mergeCell ref="AC503:AE503"/>
    <mergeCell ref="AM475:AO475"/>
    <mergeCell ref="AJ481:AL481"/>
    <mergeCell ref="AJ488:AL488"/>
    <mergeCell ref="AJ482:AR482"/>
    <mergeCell ref="AJ462:AL462"/>
    <mergeCell ref="AP496:AR496"/>
    <mergeCell ref="AS494:AV494"/>
    <mergeCell ref="AG447:AI447"/>
    <mergeCell ref="AM493:AO493"/>
    <mergeCell ref="AJ477:AL477"/>
    <mergeCell ref="AG470:AI470"/>
    <mergeCell ref="AJ469:AL469"/>
    <mergeCell ref="AP448:AR448"/>
    <mergeCell ref="AG450:AI450"/>
    <mergeCell ref="AJ454:AL454"/>
    <mergeCell ref="AJ499:AL499"/>
    <mergeCell ref="AJ465:AL465"/>
    <mergeCell ref="AM465:AO465"/>
    <mergeCell ref="AS469:AV469"/>
    <mergeCell ref="AJ470:AL470"/>
    <mergeCell ref="AC447:AE447"/>
    <mergeCell ref="AC496:AE496"/>
    <mergeCell ref="AM494:AO494"/>
    <mergeCell ref="AS447:AV447"/>
    <mergeCell ref="AS491:AV491"/>
    <mergeCell ref="AG514:AI514"/>
    <mergeCell ref="AG507:AI507"/>
    <mergeCell ref="AJ500:AL500"/>
    <mergeCell ref="AG501:AI501"/>
    <mergeCell ref="AM489:AO489"/>
    <mergeCell ref="AC504:AE504"/>
    <mergeCell ref="AM504:AO504"/>
    <mergeCell ref="AJ491:AL491"/>
    <mergeCell ref="Y498:AA498"/>
    <mergeCell ref="AM497:AO497"/>
    <mergeCell ref="AC501:AE501"/>
    <mergeCell ref="AM498:AO498"/>
    <mergeCell ref="AJ496:AL496"/>
    <mergeCell ref="AG495:AI495"/>
    <mergeCell ref="Y496:AA496"/>
    <mergeCell ref="AG493:AI493"/>
    <mergeCell ref="AG500:AI500"/>
    <mergeCell ref="Y501:AA501"/>
    <mergeCell ref="AC511:AE511"/>
    <mergeCell ref="AG490:AI490"/>
    <mergeCell ref="AM490:AO490"/>
    <mergeCell ref="AM506:AO506"/>
    <mergeCell ref="AG511:AI511"/>
    <mergeCell ref="AJ511:AL511"/>
    <mergeCell ref="AJ514:AL514"/>
    <mergeCell ref="AJ504:AL504"/>
    <mergeCell ref="AG502:AI502"/>
    <mergeCell ref="AC505:AE505"/>
    <mergeCell ref="AC502:AE502"/>
    <mergeCell ref="AJ502:AL502"/>
    <mergeCell ref="AG496:AI496"/>
    <mergeCell ref="Y494:AA494"/>
    <mergeCell ref="AG498:AI498"/>
    <mergeCell ref="AM471:AO471"/>
    <mergeCell ref="AJ497:AL497"/>
    <mergeCell ref="AG489:AI489"/>
    <mergeCell ref="AJ492:AL492"/>
    <mergeCell ref="AC474:AE474"/>
    <mergeCell ref="AG494:AI494"/>
    <mergeCell ref="AM492:AO492"/>
    <mergeCell ref="AC492:AE492"/>
    <mergeCell ref="AM496:AO496"/>
    <mergeCell ref="AG466:AI466"/>
    <mergeCell ref="AJ466:AL466"/>
    <mergeCell ref="AM466:AO466"/>
    <mergeCell ref="AJ473:AL473"/>
    <mergeCell ref="AJ471:AL471"/>
    <mergeCell ref="AC494:AE494"/>
    <mergeCell ref="AC471:AE471"/>
    <mergeCell ref="AM467:AO467"/>
    <mergeCell ref="AC490:AE490"/>
    <mergeCell ref="AP475:AR475"/>
    <mergeCell ref="AJ474:AL474"/>
    <mergeCell ref="AG451:AI451"/>
    <mergeCell ref="AG452:AI452"/>
    <mergeCell ref="AC460:AE460"/>
    <mergeCell ref="AG449:AI449"/>
    <mergeCell ref="AG456:AI456"/>
    <mergeCell ref="AG448:AI448"/>
    <mergeCell ref="AG473:AI473"/>
    <mergeCell ref="AG471:AI471"/>
    <mergeCell ref="AM464:AO464"/>
    <mergeCell ref="AG462:AI462"/>
    <mergeCell ref="AC463:AE463"/>
    <mergeCell ref="AM448:AO448"/>
    <mergeCell ref="AP453:AR453"/>
    <mergeCell ref="AG465:AI465"/>
    <mergeCell ref="AC459:AE459"/>
    <mergeCell ref="AP471:AR471"/>
    <mergeCell ref="AP472:AR472"/>
    <mergeCell ref="AG453:AI453"/>
    <mergeCell ref="AC453:AE453"/>
    <mergeCell ref="AG474:AI474"/>
    <mergeCell ref="AJ455:AL455"/>
    <mergeCell ref="AM454:AO454"/>
    <mergeCell ref="AG457:AI457"/>
    <mergeCell ref="Y412:AA412"/>
    <mergeCell ref="AJ463:AL463"/>
    <mergeCell ref="AS438:AV438"/>
    <mergeCell ref="H417:P417"/>
    <mergeCell ref="H418:P418"/>
    <mergeCell ref="Y433:AA433"/>
    <mergeCell ref="U420:W420"/>
    <mergeCell ref="Q436:S436"/>
    <mergeCell ref="U418:W418"/>
    <mergeCell ref="Q437:S437"/>
    <mergeCell ref="AG442:AI442"/>
    <mergeCell ref="Y432:AA432"/>
    <mergeCell ref="AM445:AO445"/>
    <mergeCell ref="AP441:AR441"/>
    <mergeCell ref="AJ441:AL441"/>
    <mergeCell ref="U439:W439"/>
    <mergeCell ref="AC429:AE429"/>
    <mergeCell ref="AG428:AI428"/>
    <mergeCell ref="Y428:AA428"/>
    <mergeCell ref="Y431:AA431"/>
    <mergeCell ref="AM450:AO450"/>
    <mergeCell ref="Y439:AA439"/>
    <mergeCell ref="AC440:AE440"/>
    <mergeCell ref="AJ457:AL457"/>
    <mergeCell ref="Y442:AA442"/>
    <mergeCell ref="AM447:AO447"/>
    <mergeCell ref="F442:P442"/>
    <mergeCell ref="U441:W441"/>
    <mergeCell ref="AM458:AO458"/>
    <mergeCell ref="AM455:AO455"/>
    <mergeCell ref="AJ460:AL460"/>
    <mergeCell ref="AJ448:AL448"/>
    <mergeCell ref="AM427:AO427"/>
    <mergeCell ref="AJ429:AL429"/>
    <mergeCell ref="U433:W433"/>
    <mergeCell ref="U440:W440"/>
    <mergeCell ref="Q431:S431"/>
    <mergeCell ref="AJ420:AL420"/>
    <mergeCell ref="Y434:AA434"/>
    <mergeCell ref="Y435:AA435"/>
    <mergeCell ref="AG434:AI434"/>
    <mergeCell ref="AG432:AI432"/>
    <mergeCell ref="AM419:AO419"/>
    <mergeCell ref="AG417:AI417"/>
    <mergeCell ref="AC414:AE414"/>
    <mergeCell ref="AP452:AR452"/>
    <mergeCell ref="AM469:AO469"/>
    <mergeCell ref="AJ456:AL456"/>
    <mergeCell ref="AP456:AR456"/>
    <mergeCell ref="AM459:AO459"/>
    <mergeCell ref="AP466:AR466"/>
    <mergeCell ref="AJ451:AL451"/>
    <mergeCell ref="Y413:AA413"/>
    <mergeCell ref="Y417:AA417"/>
    <mergeCell ref="AG414:AI414"/>
    <mergeCell ref="AG413:AI413"/>
    <mergeCell ref="AM413:AO413"/>
    <mergeCell ref="F441:P441"/>
    <mergeCell ref="Q418:S418"/>
    <mergeCell ref="F437:P437"/>
    <mergeCell ref="AC445:AE445"/>
    <mergeCell ref="F427:P427"/>
    <mergeCell ref="H419:P419"/>
    <mergeCell ref="F433:P433"/>
    <mergeCell ref="AC444:AE444"/>
    <mergeCell ref="AG412:AI412"/>
    <mergeCell ref="AC428:AE428"/>
    <mergeCell ref="AP438:AR438"/>
    <mergeCell ref="U427:W427"/>
    <mergeCell ref="U435:W435"/>
    <mergeCell ref="AG427:AI427"/>
    <mergeCell ref="U417:W417"/>
    <mergeCell ref="U414:W414"/>
    <mergeCell ref="U431:W431"/>
    <mergeCell ref="AP418:AR418"/>
    <mergeCell ref="U416:W416"/>
    <mergeCell ref="Y416:AA416"/>
    <mergeCell ref="Y436:AA436"/>
    <mergeCell ref="U438:W438"/>
    <mergeCell ref="AC438:AE438"/>
    <mergeCell ref="AC433:AE433"/>
    <mergeCell ref="U428:W428"/>
    <mergeCell ref="AP413:AR413"/>
    <mergeCell ref="AM430:AO430"/>
    <mergeCell ref="Y418:AA418"/>
    <mergeCell ref="AC430:AE430"/>
    <mergeCell ref="U436:W436"/>
    <mergeCell ref="F432:P432"/>
    <mergeCell ref="H420:P420"/>
    <mergeCell ref="E414:F420"/>
    <mergeCell ref="Q415:S415"/>
    <mergeCell ref="Q417:S417"/>
    <mergeCell ref="F438:P438"/>
    <mergeCell ref="Q419:S419"/>
    <mergeCell ref="F428:P428"/>
    <mergeCell ref="AC418:AE418"/>
    <mergeCell ref="AG415:AI415"/>
    <mergeCell ref="AJ416:AL416"/>
    <mergeCell ref="AM418:AO418"/>
    <mergeCell ref="AJ419:AL419"/>
    <mergeCell ref="AJ432:AL432"/>
    <mergeCell ref="AC417:AE417"/>
    <mergeCell ref="Y438:AA438"/>
    <mergeCell ref="Y437:AA437"/>
    <mergeCell ref="AJ436:AL436"/>
    <mergeCell ref="AJ427:AL427"/>
    <mergeCell ref="AJ435:AL435"/>
    <mergeCell ref="AJ434:AL434"/>
    <mergeCell ref="AM428:AO428"/>
    <mergeCell ref="Y430:AA430"/>
    <mergeCell ref="AJ438:AL438"/>
    <mergeCell ref="AJ414:AL414"/>
    <mergeCell ref="AG429:AI429"/>
    <mergeCell ref="AM435:AO435"/>
    <mergeCell ref="AJ431:AL431"/>
    <mergeCell ref="AG437:AI437"/>
    <mergeCell ref="F439:P439"/>
    <mergeCell ref="F408:P408"/>
    <mergeCell ref="Q408:S408"/>
    <mergeCell ref="F411:P411"/>
    <mergeCell ref="Q409:S409"/>
    <mergeCell ref="U434:W434"/>
    <mergeCell ref="Q430:S430"/>
    <mergeCell ref="F440:P440"/>
    <mergeCell ref="F434:P434"/>
    <mergeCell ref="F435:P435"/>
    <mergeCell ref="Q440:S440"/>
    <mergeCell ref="Q438:S438"/>
    <mergeCell ref="U437:W437"/>
    <mergeCell ref="Q433:S433"/>
    <mergeCell ref="Q432:S432"/>
    <mergeCell ref="U432:W432"/>
    <mergeCell ref="U419:W419"/>
    <mergeCell ref="F436:P436"/>
    <mergeCell ref="F429:P429"/>
    <mergeCell ref="U429:W429"/>
    <mergeCell ref="Q434:S434"/>
    <mergeCell ref="Q429:S429"/>
    <mergeCell ref="F430:P430"/>
    <mergeCell ref="Q416:S416"/>
    <mergeCell ref="H414:P414"/>
    <mergeCell ref="Q413:S413"/>
    <mergeCell ref="H415:P415"/>
    <mergeCell ref="F402:P402"/>
    <mergeCell ref="U401:W401"/>
    <mergeCell ref="U405:W405"/>
    <mergeCell ref="F410:P410"/>
    <mergeCell ref="U399:W399"/>
    <mergeCell ref="U406:W406"/>
    <mergeCell ref="U403:W403"/>
    <mergeCell ref="F409:P409"/>
    <mergeCell ref="F399:P399"/>
    <mergeCell ref="U404:W404"/>
    <mergeCell ref="U415:W415"/>
    <mergeCell ref="Q435:S435"/>
    <mergeCell ref="U400:W400"/>
    <mergeCell ref="F412:P412"/>
    <mergeCell ref="U410:W410"/>
    <mergeCell ref="U402:W402"/>
    <mergeCell ref="U412:W412"/>
    <mergeCell ref="Q404:S404"/>
    <mergeCell ref="Q402:S402"/>
    <mergeCell ref="Q399:S399"/>
    <mergeCell ref="F400:P400"/>
    <mergeCell ref="F401:P401"/>
    <mergeCell ref="F404:P404"/>
    <mergeCell ref="U409:W409"/>
    <mergeCell ref="U430:W430"/>
    <mergeCell ref="Q414:S414"/>
    <mergeCell ref="F431:P431"/>
    <mergeCell ref="Q420:S420"/>
    <mergeCell ref="Q428:S428"/>
    <mergeCell ref="H416:P416"/>
    <mergeCell ref="Q427:S427"/>
    <mergeCell ref="Q403:S403"/>
    <mergeCell ref="F398:P398"/>
    <mergeCell ref="F397:P397"/>
    <mergeCell ref="Y378:AA378"/>
    <mergeCell ref="F376:P376"/>
    <mergeCell ref="Q371:S371"/>
    <mergeCell ref="Q400:S400"/>
    <mergeCell ref="Q380:S380"/>
    <mergeCell ref="Q374:S374"/>
    <mergeCell ref="F391:P391"/>
    <mergeCell ref="Q375:S375"/>
    <mergeCell ref="F389:P389"/>
    <mergeCell ref="Q382:S382"/>
    <mergeCell ref="U381:W381"/>
    <mergeCell ref="U378:W378"/>
    <mergeCell ref="Q381:S381"/>
    <mergeCell ref="Q372:S372"/>
    <mergeCell ref="Q378:S378"/>
    <mergeCell ref="F380:P380"/>
    <mergeCell ref="F386:P386"/>
    <mergeCell ref="U375:W375"/>
    <mergeCell ref="Q383:S383"/>
    <mergeCell ref="U376:W376"/>
    <mergeCell ref="Y387:AA387"/>
    <mergeCell ref="Y382:AA382"/>
    <mergeCell ref="F369:P369"/>
    <mergeCell ref="Q366:S366"/>
    <mergeCell ref="U386:W386"/>
    <mergeCell ref="Q369:S369"/>
    <mergeCell ref="U380:W380"/>
    <mergeCell ref="Q384:S384"/>
    <mergeCell ref="F363:P363"/>
    <mergeCell ref="U373:W373"/>
    <mergeCell ref="U372:W372"/>
    <mergeCell ref="U367:W367"/>
    <mergeCell ref="F366:P366"/>
    <mergeCell ref="F371:P371"/>
    <mergeCell ref="U387:W387"/>
    <mergeCell ref="Q367:S367"/>
    <mergeCell ref="Q368:S368"/>
    <mergeCell ref="F377:P377"/>
    <mergeCell ref="F381:P381"/>
    <mergeCell ref="F382:P382"/>
    <mergeCell ref="F374:P374"/>
    <mergeCell ref="F378:P378"/>
    <mergeCell ref="U384:W384"/>
    <mergeCell ref="U377:W377"/>
    <mergeCell ref="F379:P379"/>
    <mergeCell ref="F367:P367"/>
    <mergeCell ref="U379:W379"/>
    <mergeCell ref="Q363:S363"/>
    <mergeCell ref="U365:W365"/>
    <mergeCell ref="F373:P373"/>
    <mergeCell ref="Q373:S373"/>
    <mergeCell ref="Q376:S376"/>
    <mergeCell ref="Q387:S387"/>
    <mergeCell ref="Q379:S379"/>
    <mergeCell ref="F405:P405"/>
    <mergeCell ref="F406:P406"/>
    <mergeCell ref="Y401:AA401"/>
    <mergeCell ref="Y408:AA408"/>
    <mergeCell ref="U396:W396"/>
    <mergeCell ref="F403:P403"/>
    <mergeCell ref="Q410:S410"/>
    <mergeCell ref="Q393:S393"/>
    <mergeCell ref="Q385:S385"/>
    <mergeCell ref="F392:P392"/>
    <mergeCell ref="F395:P395"/>
    <mergeCell ref="Q395:S395"/>
    <mergeCell ref="F394:P394"/>
    <mergeCell ref="Q401:S401"/>
    <mergeCell ref="Y363:AA363"/>
    <mergeCell ref="F365:P365"/>
    <mergeCell ref="F375:P375"/>
    <mergeCell ref="F390:P390"/>
    <mergeCell ref="U383:W383"/>
    <mergeCell ref="F368:P368"/>
    <mergeCell ref="Y371:AA371"/>
    <mergeCell ref="U388:W388"/>
    <mergeCell ref="Q389:S389"/>
    <mergeCell ref="U374:W374"/>
    <mergeCell ref="F372:P372"/>
    <mergeCell ref="U390:W390"/>
    <mergeCell ref="U364:W364"/>
    <mergeCell ref="F383:P383"/>
    <mergeCell ref="F370:P370"/>
    <mergeCell ref="Q370:S370"/>
    <mergeCell ref="Q388:S388"/>
    <mergeCell ref="F384:P384"/>
    <mergeCell ref="AW530:AZ530"/>
    <mergeCell ref="AW507:AZ507"/>
    <mergeCell ref="AW496:AZ496"/>
    <mergeCell ref="AW488:AZ488"/>
    <mergeCell ref="AS454:AV454"/>
    <mergeCell ref="AW513:AZ513"/>
    <mergeCell ref="AP499:AR499"/>
    <mergeCell ref="AS509:AV509"/>
    <mergeCell ref="AW493:AZ493"/>
    <mergeCell ref="AW480:AZ480"/>
    <mergeCell ref="AS478:AV478"/>
    <mergeCell ref="AP495:AR495"/>
    <mergeCell ref="AW510:AZ510"/>
    <mergeCell ref="AW512:AZ512"/>
    <mergeCell ref="AS473:AV473"/>
    <mergeCell ref="AP474:AR474"/>
    <mergeCell ref="AP473:AR473"/>
    <mergeCell ref="AS511:AV511"/>
    <mergeCell ref="AP488:AR488"/>
    <mergeCell ref="AP497:AR497"/>
    <mergeCell ref="AS502:AV502"/>
    <mergeCell ref="AS505:AV505"/>
    <mergeCell ref="AS530:AV530"/>
    <mergeCell ref="AW528:AZ528"/>
    <mergeCell ref="AP476:AR476"/>
    <mergeCell ref="AP490:AR490"/>
    <mergeCell ref="AP463:AR463"/>
    <mergeCell ref="AP459:AR459"/>
    <mergeCell ref="AP464:AR464"/>
    <mergeCell ref="AP468:AR468"/>
    <mergeCell ref="AS490:AV490"/>
    <mergeCell ref="AS482:AV482"/>
    <mergeCell ref="AW532:AZ532"/>
    <mergeCell ref="AW531:AZ531"/>
    <mergeCell ref="AP417:AR417"/>
    <mergeCell ref="AJ395:AL395"/>
    <mergeCell ref="AS398:AV398"/>
    <mergeCell ref="AJ415:AL415"/>
    <mergeCell ref="AW409:AZ409"/>
    <mergeCell ref="AM416:AO416"/>
    <mergeCell ref="AG416:AI416"/>
    <mergeCell ref="AS528:AV528"/>
    <mergeCell ref="AS532:AV532"/>
    <mergeCell ref="AS531:AV531"/>
    <mergeCell ref="AP454:AR454"/>
    <mergeCell ref="AP502:AR502"/>
    <mergeCell ref="AW456:AZ456"/>
    <mergeCell ref="AS455:AV455"/>
    <mergeCell ref="AS456:AV456"/>
    <mergeCell ref="AP478:AR478"/>
    <mergeCell ref="AP508:AR508"/>
    <mergeCell ref="AS510:AV510"/>
    <mergeCell ref="AJ513:AL513"/>
    <mergeCell ref="AS501:AV501"/>
    <mergeCell ref="AJ520:AL520"/>
    <mergeCell ref="AJ510:AL510"/>
    <mergeCell ref="AJ489:AL489"/>
    <mergeCell ref="AM480:AO480"/>
    <mergeCell ref="AJ494:AL494"/>
    <mergeCell ref="AW414:AZ414"/>
    <mergeCell ref="AJ505:AL505"/>
    <mergeCell ref="AJ453:AL453"/>
    <mergeCell ref="AM456:AO456"/>
    <mergeCell ref="AW413:AZ413"/>
    <mergeCell ref="AS439:AV439"/>
    <mergeCell ref="AS431:AV431"/>
    <mergeCell ref="AS433:AV433"/>
    <mergeCell ref="AP435:AR435"/>
    <mergeCell ref="AS432:AV432"/>
    <mergeCell ref="AJ418:AL418"/>
    <mergeCell ref="AP440:AR440"/>
    <mergeCell ref="AJ421:AR421"/>
    <mergeCell ref="AJ444:AL444"/>
    <mergeCell ref="AJ445:AL445"/>
    <mergeCell ref="AM446:AO446"/>
    <mergeCell ref="AJ443:AL443"/>
    <mergeCell ref="AJ442:AL442"/>
    <mergeCell ref="AJ452:AL452"/>
    <mergeCell ref="AS451:AV451"/>
    <mergeCell ref="AS450:AV450"/>
    <mergeCell ref="AW420:AZ420"/>
    <mergeCell ref="AP439:AR439"/>
    <mergeCell ref="AW448:AZ448"/>
    <mergeCell ref="AS448:AV448"/>
    <mergeCell ref="AW428:AZ428"/>
    <mergeCell ref="AW436:AZ436"/>
    <mergeCell ref="AW446:AZ446"/>
    <mergeCell ref="AP437:AR437"/>
    <mergeCell ref="AP436:AR436"/>
    <mergeCell ref="AM434:AO434"/>
    <mergeCell ref="AP451:AR451"/>
    <mergeCell ref="AS434:AV434"/>
    <mergeCell ref="AP420:AR420"/>
    <mergeCell ref="AP444:AR444"/>
    <mergeCell ref="AM444:AO444"/>
    <mergeCell ref="AP445:AR445"/>
    <mergeCell ref="AP481:AR481"/>
    <mergeCell ref="AS427:AV427"/>
    <mergeCell ref="AP427:AR427"/>
    <mergeCell ref="AS435:AV435"/>
    <mergeCell ref="AS429:AV429"/>
    <mergeCell ref="AS430:AV430"/>
    <mergeCell ref="AP428:AR428"/>
    <mergeCell ref="AS436:AV436"/>
    <mergeCell ref="AP434:AR434"/>
    <mergeCell ref="AS428:AV428"/>
    <mergeCell ref="AS472:AV472"/>
    <mergeCell ref="AP494:AR494"/>
    <mergeCell ref="AW475:AZ475"/>
    <mergeCell ref="AW489:AZ489"/>
    <mergeCell ref="AS476:AV476"/>
    <mergeCell ref="AW495:AZ495"/>
    <mergeCell ref="AS493:AV493"/>
    <mergeCell ref="AP493:AR493"/>
    <mergeCell ref="AP446:AR446"/>
    <mergeCell ref="AP469:AR469"/>
    <mergeCell ref="AP447:AR447"/>
    <mergeCell ref="AS463:AV463"/>
    <mergeCell ref="AW457:AZ457"/>
    <mergeCell ref="AW461:AZ461"/>
    <mergeCell ref="AW460:AZ460"/>
    <mergeCell ref="AW469:AZ469"/>
    <mergeCell ref="AW474:AZ474"/>
    <mergeCell ref="AW470:AZ470"/>
    <mergeCell ref="AW452:AZ452"/>
    <mergeCell ref="AW454:AZ454"/>
    <mergeCell ref="AW458:AZ458"/>
    <mergeCell ref="AS443:AV443"/>
    <mergeCell ref="AP479:AR479"/>
    <mergeCell ref="AW427:AZ427"/>
    <mergeCell ref="AM439:AO439"/>
    <mergeCell ref="AP432:AR432"/>
    <mergeCell ref="AS440:AV440"/>
    <mergeCell ref="AM443:AO443"/>
    <mergeCell ref="AM451:AO451"/>
    <mergeCell ref="AW440:AZ440"/>
    <mergeCell ref="AW429:AZ429"/>
    <mergeCell ref="AW438:AZ438"/>
    <mergeCell ref="AW431:AZ431"/>
    <mergeCell ref="AW433:AZ433"/>
    <mergeCell ref="AW426:AZ426"/>
    <mergeCell ref="AP465:AR465"/>
    <mergeCell ref="AM457:AO457"/>
    <mergeCell ref="AS467:AV467"/>
    <mergeCell ref="AW467:AZ467"/>
    <mergeCell ref="AP477:AR477"/>
    <mergeCell ref="AW442:AZ442"/>
    <mergeCell ref="AM460:AO460"/>
    <mergeCell ref="AM472:AO472"/>
    <mergeCell ref="AW447:AZ447"/>
    <mergeCell ref="AM476:AO476"/>
    <mergeCell ref="AS477:AV477"/>
    <mergeCell ref="AM462:AO462"/>
    <mergeCell ref="AP458:AR458"/>
    <mergeCell ref="AM440:AO440"/>
    <mergeCell ref="AP470:AR470"/>
    <mergeCell ref="AP460:AR460"/>
    <mergeCell ref="AP455:AR455"/>
    <mergeCell ref="AP457:AR457"/>
    <mergeCell ref="AP467:AR467"/>
    <mergeCell ref="AW466:AZ466"/>
    <mergeCell ref="AM409:AO409"/>
    <mergeCell ref="AW412:AZ412"/>
    <mergeCell ref="AP410:AR410"/>
    <mergeCell ref="AM410:AO410"/>
    <mergeCell ref="AS410:AV410"/>
    <mergeCell ref="AW441:AZ441"/>
    <mergeCell ref="AW432:AZ432"/>
    <mergeCell ref="AW434:AZ434"/>
    <mergeCell ref="AP411:AR411"/>
    <mergeCell ref="AP433:AR433"/>
    <mergeCell ref="AP430:AR430"/>
    <mergeCell ref="AS421:AV421"/>
    <mergeCell ref="AW411:AZ411"/>
    <mergeCell ref="AW415:AZ415"/>
    <mergeCell ref="AP415:AR415"/>
    <mergeCell ref="AS413:AV413"/>
    <mergeCell ref="AS414:AV414"/>
    <mergeCell ref="AS415:AV415"/>
    <mergeCell ref="AS452:AV452"/>
    <mergeCell ref="AP414:AR414"/>
    <mergeCell ref="AW418:AZ418"/>
    <mergeCell ref="AW419:AZ419"/>
    <mergeCell ref="AW416:AZ416"/>
    <mergeCell ref="AW439:AZ439"/>
    <mergeCell ref="AS441:AV441"/>
    <mergeCell ref="AM437:AO437"/>
    <mergeCell ref="AM441:AO441"/>
    <mergeCell ref="AM438:AO438"/>
    <mergeCell ref="AW421:AZ421"/>
    <mergeCell ref="AW451:AZ451"/>
    <mergeCell ref="AP429:AR429"/>
    <mergeCell ref="AS412:AV412"/>
    <mergeCell ref="AS396:AV396"/>
    <mergeCell ref="AP392:AR392"/>
    <mergeCell ref="AW408:AZ408"/>
    <mergeCell ref="AW404:AZ404"/>
    <mergeCell ref="AM403:AO403"/>
    <mergeCell ref="AM397:AO397"/>
    <mergeCell ref="AS401:AV401"/>
    <mergeCell ref="AM407:AO407"/>
    <mergeCell ref="AP407:AR407"/>
    <mergeCell ref="AS407:AV407"/>
    <mergeCell ref="AW407:AZ407"/>
    <mergeCell ref="AW405:AZ405"/>
    <mergeCell ref="AW406:AZ406"/>
    <mergeCell ref="AM411:AO411"/>
    <mergeCell ref="AS408:AV408"/>
    <mergeCell ref="AS409:AV409"/>
    <mergeCell ref="AP404:AR404"/>
    <mergeCell ref="AM404:AO404"/>
    <mergeCell ref="AS403:AV403"/>
    <mergeCell ref="AW410:AZ410"/>
    <mergeCell ref="AW403:AZ403"/>
    <mergeCell ref="AW397:AZ397"/>
    <mergeCell ref="AP403:AR403"/>
    <mergeCell ref="AP402:AR402"/>
    <mergeCell ref="AS399:AV399"/>
    <mergeCell ref="AP412:AR412"/>
    <mergeCell ref="AM399:AO399"/>
    <mergeCell ref="AW435:AZ435"/>
    <mergeCell ref="AW236:AZ236"/>
    <mergeCell ref="AS242:AV242"/>
    <mergeCell ref="AS236:AV236"/>
    <mergeCell ref="AS237:AV237"/>
    <mergeCell ref="F396:P396"/>
    <mergeCell ref="AC390:AE390"/>
    <mergeCell ref="AC385:AE385"/>
    <mergeCell ref="AW395:AZ395"/>
    <mergeCell ref="AW398:AZ398"/>
    <mergeCell ref="AM392:AO392"/>
    <mergeCell ref="AP397:AR397"/>
    <mergeCell ref="AM401:AO401"/>
    <mergeCell ref="AP393:AR393"/>
    <mergeCell ref="AJ393:AL393"/>
    <mergeCell ref="AW394:AZ394"/>
    <mergeCell ref="AW399:AZ399"/>
    <mergeCell ref="AW417:AZ417"/>
    <mergeCell ref="AC400:AE400"/>
    <mergeCell ref="AC402:AE402"/>
    <mergeCell ref="Y388:AA388"/>
    <mergeCell ref="Y399:AA399"/>
    <mergeCell ref="Y409:AA409"/>
    <mergeCell ref="U385:W385"/>
    <mergeCell ref="U391:W391"/>
    <mergeCell ref="F388:P388"/>
    <mergeCell ref="F387:P387"/>
    <mergeCell ref="F393:P393"/>
    <mergeCell ref="F385:P385"/>
    <mergeCell ref="Y392:AA392"/>
    <mergeCell ref="Y391:AA391"/>
    <mergeCell ref="Y395:AA395"/>
    <mergeCell ref="AW400:AZ400"/>
    <mergeCell ref="AS390:AV390"/>
    <mergeCell ref="AP401:AR401"/>
    <mergeCell ref="AM391:AO391"/>
    <mergeCell ref="AP390:AR390"/>
    <mergeCell ref="AW389:AZ389"/>
    <mergeCell ref="AP394:AR394"/>
    <mergeCell ref="AM396:AO396"/>
    <mergeCell ref="AM390:AO390"/>
    <mergeCell ref="AS391:AV391"/>
    <mergeCell ref="AJ396:AL396"/>
    <mergeCell ref="Q391:S391"/>
    <mergeCell ref="Q386:S386"/>
    <mergeCell ref="Y386:AA386"/>
    <mergeCell ref="Y364:AA364"/>
    <mergeCell ref="Q377:S377"/>
    <mergeCell ref="Y366:AA366"/>
    <mergeCell ref="Y389:AA389"/>
    <mergeCell ref="Y375:AA375"/>
    <mergeCell ref="Y368:AA368"/>
    <mergeCell ref="U368:W368"/>
    <mergeCell ref="AC395:AE395"/>
    <mergeCell ref="Q394:S394"/>
    <mergeCell ref="Q390:S390"/>
    <mergeCell ref="U389:W389"/>
    <mergeCell ref="Q396:S396"/>
    <mergeCell ref="U398:W398"/>
    <mergeCell ref="Y397:AA397"/>
    <mergeCell ref="Y400:AA400"/>
    <mergeCell ref="U369:W369"/>
    <mergeCell ref="U370:W370"/>
    <mergeCell ref="AP241:AR241"/>
    <mergeCell ref="F199:P199"/>
    <mergeCell ref="AP228:AR228"/>
    <mergeCell ref="AJ232:AL232"/>
    <mergeCell ref="Q230:S230"/>
    <mergeCell ref="AM214:AO214"/>
    <mergeCell ref="F210:P210"/>
    <mergeCell ref="F201:P201"/>
    <mergeCell ref="U243:W243"/>
    <mergeCell ref="Q243:S243"/>
    <mergeCell ref="U206:W206"/>
    <mergeCell ref="AJ231:AL231"/>
    <mergeCell ref="AM225:AO225"/>
    <mergeCell ref="AG229:AI229"/>
    <mergeCell ref="Y234:AA234"/>
    <mergeCell ref="AC234:AE234"/>
    <mergeCell ref="AM226:AO226"/>
    <mergeCell ref="AJ214:AL214"/>
    <mergeCell ref="Q221:S221"/>
    <mergeCell ref="Q232:S232"/>
    <mergeCell ref="Q226:S226"/>
    <mergeCell ref="U227:W227"/>
    <mergeCell ref="AC223:AE223"/>
    <mergeCell ref="U229:W229"/>
    <mergeCell ref="Y229:AA229"/>
    <mergeCell ref="F223:P223"/>
    <mergeCell ref="AC208:AE208"/>
    <mergeCell ref="Q228:S228"/>
    <mergeCell ref="AC229:AE229"/>
    <mergeCell ref="AP242:AR242"/>
    <mergeCell ref="AM238:AO238"/>
    <mergeCell ref="Q235:S235"/>
    <mergeCell ref="AW243:AZ243"/>
    <mergeCell ref="AS243:AV243"/>
    <mergeCell ref="AS303:AV303"/>
    <mergeCell ref="AM290:AO290"/>
    <mergeCell ref="AJ251:AL251"/>
    <mergeCell ref="AW269:AZ269"/>
    <mergeCell ref="AW272:AZ272"/>
    <mergeCell ref="AS286:AV286"/>
    <mergeCell ref="AP283:AR283"/>
    <mergeCell ref="AW283:AZ283"/>
    <mergeCell ref="AS283:AV283"/>
    <mergeCell ref="AW266:AZ266"/>
    <mergeCell ref="AP285:AR285"/>
    <mergeCell ref="AP284:AR284"/>
    <mergeCell ref="AJ284:AL284"/>
    <mergeCell ref="AW281:AZ281"/>
    <mergeCell ref="AW271:AZ271"/>
    <mergeCell ref="AW291:AZ291"/>
    <mergeCell ref="AW289:AZ289"/>
    <mergeCell ref="AS289:AV289"/>
    <mergeCell ref="AP286:AR286"/>
    <mergeCell ref="AP298:AR298"/>
    <mergeCell ref="AS280:AV280"/>
    <mergeCell ref="AS281:AV281"/>
    <mergeCell ref="AS282:AV282"/>
    <mergeCell ref="AS272:AV272"/>
    <mergeCell ref="AS271:AV271"/>
    <mergeCell ref="AW279:AZ279"/>
    <mergeCell ref="AM257:AO257"/>
    <mergeCell ref="AS269:AV269"/>
    <mergeCell ref="AJ272:AL272"/>
    <mergeCell ref="AM271:AO271"/>
    <mergeCell ref="B310:D357"/>
    <mergeCell ref="AS290:AV290"/>
    <mergeCell ref="AC300:AE300"/>
    <mergeCell ref="AS295:AV295"/>
    <mergeCell ref="AS233:AV233"/>
    <mergeCell ref="AW233:AZ233"/>
    <mergeCell ref="AW192:AZ192"/>
    <mergeCell ref="H356:P356"/>
    <mergeCell ref="AC356:AE356"/>
    <mergeCell ref="F235:P235"/>
    <mergeCell ref="Q295:S295"/>
    <mergeCell ref="AS228:AV228"/>
    <mergeCell ref="AP313:AR313"/>
    <mergeCell ref="AP290:AR290"/>
    <mergeCell ref="AW198:AZ198"/>
    <mergeCell ref="AG205:AI205"/>
    <mergeCell ref="AS310:AV310"/>
    <mergeCell ref="AW231:AZ231"/>
    <mergeCell ref="AS301:AV301"/>
    <mergeCell ref="AP299:AR299"/>
    <mergeCell ref="AS299:AV299"/>
    <mergeCell ref="AP287:AR287"/>
    <mergeCell ref="AG322:AI322"/>
    <mergeCell ref="AP214:AR214"/>
    <mergeCell ref="AS311:AV311"/>
    <mergeCell ref="AS291:AV291"/>
    <mergeCell ref="AG202:AI202"/>
    <mergeCell ref="AW300:AZ300"/>
    <mergeCell ref="AP322:AR322"/>
    <mergeCell ref="Q213:S213"/>
    <mergeCell ref="AS317:AV317"/>
    <mergeCell ref="AW318:AZ318"/>
    <mergeCell ref="AO2:AQ2"/>
    <mergeCell ref="AL2:AN2"/>
    <mergeCell ref="AW296:AZ296"/>
    <mergeCell ref="AC203:AE203"/>
    <mergeCell ref="AN47:AQ47"/>
    <mergeCell ref="AJ44:AM44"/>
    <mergeCell ref="AJ45:AM45"/>
    <mergeCell ref="AX6:AZ7"/>
    <mergeCell ref="AR39:AU39"/>
    <mergeCell ref="AR47:AU47"/>
    <mergeCell ref="AN24:AO26"/>
    <mergeCell ref="AJ295:AL295"/>
    <mergeCell ref="AJ296:AL296"/>
    <mergeCell ref="AM296:AO296"/>
    <mergeCell ref="AP282:AR282"/>
    <mergeCell ref="AJ283:AL283"/>
    <mergeCell ref="AM283:AO283"/>
    <mergeCell ref="AX2:AZ2"/>
    <mergeCell ref="AU2:AW2"/>
    <mergeCell ref="AR2:AT2"/>
    <mergeCell ref="AU6:AW7"/>
    <mergeCell ref="AQ6:AS7"/>
    <mergeCell ref="AP6:AP7"/>
    <mergeCell ref="AP251:AR251"/>
    <mergeCell ref="AC284:AE284"/>
    <mergeCell ref="AM282:AO282"/>
    <mergeCell ref="AC242:AE242"/>
    <mergeCell ref="AJ241:AL241"/>
    <mergeCell ref="AJ238:AL238"/>
    <mergeCell ref="AM228:AO228"/>
    <mergeCell ref="AS284:AV284"/>
    <mergeCell ref="AS285:AV285"/>
    <mergeCell ref="F7:Q7"/>
    <mergeCell ref="R7:U7"/>
    <mergeCell ref="V7:Z7"/>
    <mergeCell ref="AA7:AC7"/>
    <mergeCell ref="P164:S170"/>
    <mergeCell ref="F196:P196"/>
    <mergeCell ref="AJ221:AL221"/>
    <mergeCell ref="Q237:S237"/>
    <mergeCell ref="AG232:AI232"/>
    <mergeCell ref="AG231:AI231"/>
    <mergeCell ref="U230:W230"/>
    <mergeCell ref="Q233:S233"/>
    <mergeCell ref="AJ234:AL234"/>
    <mergeCell ref="Q229:S229"/>
    <mergeCell ref="Q236:S236"/>
    <mergeCell ref="AJ224:AL224"/>
    <mergeCell ref="U228:W228"/>
    <mergeCell ref="U226:W226"/>
    <mergeCell ref="Y228:AA228"/>
    <mergeCell ref="Y233:AA233"/>
    <mergeCell ref="V177:W177"/>
    <mergeCell ref="Y207:AA207"/>
    <mergeCell ref="Q196:S196"/>
    <mergeCell ref="U196:W196"/>
    <mergeCell ref="AJ203:AL203"/>
    <mergeCell ref="AG206:AI206"/>
    <mergeCell ref="AC227:AE227"/>
    <mergeCell ref="AC199:AE199"/>
    <mergeCell ref="AG235:AI235"/>
    <mergeCell ref="AJ212:AL212"/>
    <mergeCell ref="AG193:AI193"/>
    <mergeCell ref="AJ229:AL229"/>
    <mergeCell ref="F269:P269"/>
    <mergeCell ref="F266:P266"/>
    <mergeCell ref="U267:W267"/>
    <mergeCell ref="F281:P281"/>
    <mergeCell ref="Q282:S282"/>
    <mergeCell ref="Y295:AA295"/>
    <mergeCell ref="Q267:S267"/>
    <mergeCell ref="Q271:S271"/>
    <mergeCell ref="Q272:S272"/>
    <mergeCell ref="Y292:AA292"/>
    <mergeCell ref="F271:P271"/>
    <mergeCell ref="AG286:AI286"/>
    <mergeCell ref="AC250:AE250"/>
    <mergeCell ref="AG225:AI225"/>
    <mergeCell ref="AC226:AE226"/>
    <mergeCell ref="AG282:AI282"/>
    <mergeCell ref="AC280:AE280"/>
    <mergeCell ref="Q286:S286"/>
    <mergeCell ref="F289:P289"/>
    <mergeCell ref="U271:W271"/>
    <mergeCell ref="AC283:AE283"/>
    <mergeCell ref="U280:W280"/>
    <mergeCell ref="Y279:AA279"/>
    <mergeCell ref="Q253:S253"/>
    <mergeCell ref="AC233:AE233"/>
    <mergeCell ref="Q227:S227"/>
    <mergeCell ref="U231:W231"/>
    <mergeCell ref="Y231:AA231"/>
    <mergeCell ref="AC225:AE225"/>
    <mergeCell ref="U225:W225"/>
    <mergeCell ref="Y226:AA226"/>
    <mergeCell ref="Y270:AA270"/>
    <mergeCell ref="AW310:AZ310"/>
    <mergeCell ref="AP295:AR295"/>
    <mergeCell ref="AP293:AR293"/>
    <mergeCell ref="AP314:AR314"/>
    <mergeCell ref="F272:P272"/>
    <mergeCell ref="AW303:AZ303"/>
    <mergeCell ref="AJ294:AL294"/>
    <mergeCell ref="AW292:AZ292"/>
    <mergeCell ref="AM293:AO293"/>
    <mergeCell ref="AP300:AR300"/>
    <mergeCell ref="AS297:AV297"/>
    <mergeCell ref="AP294:AR294"/>
    <mergeCell ref="AM302:AO302"/>
    <mergeCell ref="AG295:AI295"/>
    <mergeCell ref="AM292:AO292"/>
    <mergeCell ref="AP296:AR296"/>
    <mergeCell ref="AG290:AI290"/>
    <mergeCell ref="AJ290:AL290"/>
    <mergeCell ref="AW280:AZ280"/>
    <mergeCell ref="AP292:AR292"/>
    <mergeCell ref="AW298:AZ298"/>
    <mergeCell ref="AW285:AZ285"/>
    <mergeCell ref="AW284:AZ284"/>
    <mergeCell ref="AM286:AO286"/>
    <mergeCell ref="AJ288:AL288"/>
    <mergeCell ref="AJ285:AL285"/>
    <mergeCell ref="AJ303:AL303"/>
    <mergeCell ref="AP303:AR303"/>
    <mergeCell ref="AC298:AE298"/>
    <mergeCell ref="AC301:AE301"/>
    <mergeCell ref="AG292:AI292"/>
    <mergeCell ref="AJ302:AL302"/>
    <mergeCell ref="AM303:AO303"/>
    <mergeCell ref="F294:P294"/>
    <mergeCell ref="AM298:AO298"/>
    <mergeCell ref="AM291:AO291"/>
    <mergeCell ref="AM289:AO289"/>
    <mergeCell ref="AJ289:AL289"/>
    <mergeCell ref="AM299:AO299"/>
    <mergeCell ref="F315:P315"/>
    <mergeCell ref="Y301:AA301"/>
    <mergeCell ref="Q302:S302"/>
    <mergeCell ref="U297:W297"/>
    <mergeCell ref="AC296:AE296"/>
    <mergeCell ref="F314:P314"/>
    <mergeCell ref="U313:W313"/>
    <mergeCell ref="AG312:AI312"/>
    <mergeCell ref="AW302:AZ302"/>
    <mergeCell ref="U311:W311"/>
    <mergeCell ref="AC313:AE313"/>
    <mergeCell ref="Q312:S312"/>
    <mergeCell ref="U312:W312"/>
    <mergeCell ref="U315:W315"/>
    <mergeCell ref="AW304:AZ304"/>
    <mergeCell ref="AS298:AV298"/>
    <mergeCell ref="AJ297:AL297"/>
    <mergeCell ref="AJ299:AL299"/>
    <mergeCell ref="AJ298:AL298"/>
    <mergeCell ref="Q299:S299"/>
    <mergeCell ref="U298:W298"/>
    <mergeCell ref="Y297:AA297"/>
    <mergeCell ref="AC294:AE294"/>
    <mergeCell ref="AC295:AE295"/>
    <mergeCell ref="AW299:AZ299"/>
    <mergeCell ref="AW293:AZ293"/>
    <mergeCell ref="AS296:AV296"/>
    <mergeCell ref="AJ293:AL293"/>
    <mergeCell ref="AW295:AZ295"/>
    <mergeCell ref="AS288:AV288"/>
    <mergeCell ref="AS292:AV292"/>
    <mergeCell ref="AW290:AZ290"/>
    <mergeCell ref="AS287:AV287"/>
    <mergeCell ref="AJ292:AL292"/>
    <mergeCell ref="AS294:AV294"/>
    <mergeCell ref="AS293:AV293"/>
    <mergeCell ref="AP289:AR289"/>
    <mergeCell ref="Y291:AA291"/>
    <mergeCell ref="AM297:AO297"/>
    <mergeCell ref="F302:P302"/>
    <mergeCell ref="F300:P300"/>
    <mergeCell ref="AM295:AO295"/>
    <mergeCell ref="AW288:AZ288"/>
    <mergeCell ref="AP288:AR288"/>
    <mergeCell ref="AW297:AZ297"/>
    <mergeCell ref="AS302:AV302"/>
    <mergeCell ref="AP297:AR297"/>
    <mergeCell ref="AP302:AR302"/>
    <mergeCell ref="F299:P299"/>
    <mergeCell ref="U272:W272"/>
    <mergeCell ref="Y283:AA283"/>
    <mergeCell ref="F286:P286"/>
    <mergeCell ref="U286:W286"/>
    <mergeCell ref="U283:W283"/>
    <mergeCell ref="Q290:S290"/>
    <mergeCell ref="Q296:S296"/>
    <mergeCell ref="AC289:AE289"/>
    <mergeCell ref="Q293:S293"/>
    <mergeCell ref="Q303:S303"/>
    <mergeCell ref="Y310:AA310"/>
    <mergeCell ref="AG284:AI284"/>
    <mergeCell ref="Q283:S283"/>
    <mergeCell ref="F297:P297"/>
    <mergeCell ref="F298:P298"/>
    <mergeCell ref="Y288:AA288"/>
    <mergeCell ref="AG310:AI310"/>
    <mergeCell ref="AG302:AI302"/>
    <mergeCell ref="AG293:AI293"/>
    <mergeCell ref="AG294:AI294"/>
    <mergeCell ref="AG296:AI296"/>
    <mergeCell ref="F301:P301"/>
    <mergeCell ref="F287:P287"/>
    <mergeCell ref="AC299:AE299"/>
    <mergeCell ref="U295:W295"/>
    <mergeCell ref="F303:P303"/>
    <mergeCell ref="AG291:AI291"/>
    <mergeCell ref="AG288:AI288"/>
    <mergeCell ref="U302:W302"/>
    <mergeCell ref="F292:P292"/>
    <mergeCell ref="F279:P279"/>
    <mergeCell ref="F280:P280"/>
    <mergeCell ref="F310:P310"/>
    <mergeCell ref="AG303:AI303"/>
    <mergeCell ref="AG301:AI301"/>
    <mergeCell ref="AC293:AE293"/>
    <mergeCell ref="Y280:AA280"/>
    <mergeCell ref="U282:W282"/>
    <mergeCell ref="Y287:AA287"/>
    <mergeCell ref="AG285:AI285"/>
    <mergeCell ref="Y284:AA284"/>
    <mergeCell ref="AC287:AE287"/>
    <mergeCell ref="Q287:S287"/>
    <mergeCell ref="U291:W291"/>
    <mergeCell ref="AG298:AI298"/>
    <mergeCell ref="AG299:AI299"/>
    <mergeCell ref="Y300:AA300"/>
    <mergeCell ref="U301:W301"/>
    <mergeCell ref="AG297:AI297"/>
    <mergeCell ref="AG289:AI289"/>
    <mergeCell ref="AC281:AE281"/>
    <mergeCell ref="F283:P283"/>
    <mergeCell ref="AG287:AI287"/>
    <mergeCell ref="U296:W296"/>
    <mergeCell ref="AC291:AE291"/>
    <mergeCell ref="Q291:S291"/>
    <mergeCell ref="Y298:AA298"/>
    <mergeCell ref="U293:W293"/>
    <mergeCell ref="Y294:AA294"/>
    <mergeCell ref="F282:P282"/>
    <mergeCell ref="AC367:AE367"/>
    <mergeCell ref="AC351:AE351"/>
    <mergeCell ref="Y316:AA316"/>
    <mergeCell ref="Y303:AA303"/>
    <mergeCell ref="AC303:AE303"/>
    <mergeCell ref="U294:W294"/>
    <mergeCell ref="AC297:AE297"/>
    <mergeCell ref="AC311:AE311"/>
    <mergeCell ref="AJ399:AL399"/>
    <mergeCell ref="AJ390:AL390"/>
    <mergeCell ref="AC384:AE384"/>
    <mergeCell ref="AG384:AI384"/>
    <mergeCell ref="AC383:AE383"/>
    <mergeCell ref="AC387:AE387"/>
    <mergeCell ref="AJ386:AL386"/>
    <mergeCell ref="AJ387:AL387"/>
    <mergeCell ref="AG326:AI326"/>
    <mergeCell ref="AC378:AE378"/>
    <mergeCell ref="AC331:AE331"/>
    <mergeCell ref="AJ375:AL375"/>
    <mergeCell ref="AJ376:AL376"/>
    <mergeCell ref="U397:W397"/>
    <mergeCell ref="U299:W299"/>
    <mergeCell ref="U366:W366"/>
    <mergeCell ref="Y396:AA396"/>
    <mergeCell ref="AJ391:AL391"/>
    <mergeCell ref="AG392:AI392"/>
    <mergeCell ref="AG352:AI352"/>
    <mergeCell ref="AG311:AI311"/>
    <mergeCell ref="AG319:AI319"/>
    <mergeCell ref="AC394:AE394"/>
    <mergeCell ref="AG365:AI365"/>
    <mergeCell ref="AG363:AI363"/>
    <mergeCell ref="AC372:AE372"/>
    <mergeCell ref="Y367:AA367"/>
    <mergeCell ref="Y365:AA365"/>
    <mergeCell ref="Q460:S460"/>
    <mergeCell ref="AC396:AE396"/>
    <mergeCell ref="AG401:AI401"/>
    <mergeCell ref="U449:W449"/>
    <mergeCell ref="AC382:AE382"/>
    <mergeCell ref="Y402:AA402"/>
    <mergeCell ref="AC403:AE403"/>
    <mergeCell ref="AC345:AE345"/>
    <mergeCell ref="AJ409:AL409"/>
    <mergeCell ref="AC411:AE411"/>
    <mergeCell ref="Q329:S329"/>
    <mergeCell ref="Y390:AA390"/>
    <mergeCell ref="AG346:AI346"/>
    <mergeCell ref="AG399:AI399"/>
    <mergeCell ref="AG397:AI397"/>
    <mergeCell ref="AC388:AE388"/>
    <mergeCell ref="AG388:AI388"/>
    <mergeCell ref="AC377:AE377"/>
    <mergeCell ref="AC368:AE368"/>
    <mergeCell ref="AC366:AE366"/>
    <mergeCell ref="AG372:AI372"/>
    <mergeCell ref="AG379:AI379"/>
    <mergeCell ref="AG373:AI373"/>
    <mergeCell ref="U393:W393"/>
    <mergeCell ref="Q392:S392"/>
    <mergeCell ref="Q365:S365"/>
    <mergeCell ref="Q397:S397"/>
    <mergeCell ref="Y370:AA370"/>
    <mergeCell ref="Y369:AA369"/>
    <mergeCell ref="Q447:S447"/>
    <mergeCell ref="Y444:AA444"/>
    <mergeCell ref="Y456:AA456"/>
    <mergeCell ref="Q441:S441"/>
    <mergeCell ref="Q454:S454"/>
    <mergeCell ref="AG390:AI390"/>
    <mergeCell ref="AG391:AI391"/>
    <mergeCell ref="AC381:AE381"/>
    <mergeCell ref="Y380:AA380"/>
    <mergeCell ref="AG368:AI368"/>
    <mergeCell ref="AG374:AI374"/>
    <mergeCell ref="U371:W371"/>
    <mergeCell ref="AG409:AI409"/>
    <mergeCell ref="Y381:AA381"/>
    <mergeCell ref="U382:W382"/>
    <mergeCell ref="AC409:AE409"/>
    <mergeCell ref="AC410:AE410"/>
    <mergeCell ref="U395:W395"/>
    <mergeCell ref="AC376:AE376"/>
    <mergeCell ref="Y376:AA376"/>
    <mergeCell ref="AG400:AI400"/>
    <mergeCell ref="U392:W392"/>
    <mergeCell ref="U446:W446"/>
    <mergeCell ref="AG394:AI394"/>
    <mergeCell ref="Q398:S398"/>
    <mergeCell ref="Y384:AA384"/>
    <mergeCell ref="AG370:AI370"/>
    <mergeCell ref="AC380:AE380"/>
    <mergeCell ref="Y377:AA377"/>
    <mergeCell ref="AG377:AI377"/>
    <mergeCell ref="AC374:AE374"/>
    <mergeCell ref="Y373:AA373"/>
    <mergeCell ref="Y385:AA385"/>
    <mergeCell ref="AC375:AE375"/>
    <mergeCell ref="Y411:AA411"/>
    <mergeCell ref="F325:P325"/>
    <mergeCell ref="Y325:AA325"/>
    <mergeCell ref="U325:W325"/>
    <mergeCell ref="Y319:AA319"/>
    <mergeCell ref="AG317:AI317"/>
    <mergeCell ref="AC315:AE315"/>
    <mergeCell ref="AC316:AE316"/>
    <mergeCell ref="Y311:AA311"/>
    <mergeCell ref="Q323:S323"/>
    <mergeCell ref="U323:W323"/>
    <mergeCell ref="Y320:AA320"/>
    <mergeCell ref="AG356:AI356"/>
    <mergeCell ref="F341:P341"/>
    <mergeCell ref="Y324:AA324"/>
    <mergeCell ref="Y312:AA312"/>
    <mergeCell ref="F329:P329"/>
    <mergeCell ref="AC326:AE326"/>
    <mergeCell ref="AC325:AE325"/>
    <mergeCell ref="AG324:AI324"/>
    <mergeCell ref="AC321:AE321"/>
    <mergeCell ref="AC322:AE322"/>
    <mergeCell ref="AC312:AE312"/>
    <mergeCell ref="Y315:AA315"/>
    <mergeCell ref="F331:P331"/>
    <mergeCell ref="U355:W355"/>
    <mergeCell ref="Q353:S353"/>
    <mergeCell ref="U352:W352"/>
    <mergeCell ref="U353:W353"/>
    <mergeCell ref="Q344:S344"/>
    <mergeCell ref="Q342:S342"/>
    <mergeCell ref="Q318:S318"/>
    <mergeCell ref="Y347:AA347"/>
    <mergeCell ref="F515:P515"/>
    <mergeCell ref="Q523:S523"/>
    <mergeCell ref="Q514:S514"/>
    <mergeCell ref="U514:W514"/>
    <mergeCell ref="Q521:S521"/>
    <mergeCell ref="AP384:AR384"/>
    <mergeCell ref="AJ400:AL400"/>
    <mergeCell ref="AJ392:AL392"/>
    <mergeCell ref="AG393:AI393"/>
    <mergeCell ref="AC393:AE393"/>
    <mergeCell ref="AG389:AI389"/>
    <mergeCell ref="AJ388:AL388"/>
    <mergeCell ref="AC399:AE399"/>
    <mergeCell ref="AC391:AE391"/>
    <mergeCell ref="AG396:AI396"/>
    <mergeCell ref="AC436:AE436"/>
    <mergeCell ref="AC435:AE435"/>
    <mergeCell ref="AG419:AI419"/>
    <mergeCell ref="AM393:AO393"/>
    <mergeCell ref="AM386:AO386"/>
    <mergeCell ref="AG385:AI385"/>
    <mergeCell ref="Y440:AA440"/>
    <mergeCell ref="AC398:AE398"/>
    <mergeCell ref="AP480:AR480"/>
    <mergeCell ref="AJ480:AL480"/>
    <mergeCell ref="Y472:AA472"/>
    <mergeCell ref="Y481:AA481"/>
    <mergeCell ref="AS417:AV417"/>
    <mergeCell ref="AP416:AR416"/>
    <mergeCell ref="AS416:AV416"/>
    <mergeCell ref="AM414:AO414"/>
    <mergeCell ref="AS418:AV418"/>
    <mergeCell ref="AS437:AV437"/>
    <mergeCell ref="AS442:AV442"/>
    <mergeCell ref="AM389:AO389"/>
    <mergeCell ref="AS446:AV446"/>
    <mergeCell ref="AS420:AV420"/>
    <mergeCell ref="AS419:AV419"/>
    <mergeCell ref="AM415:AO415"/>
    <mergeCell ref="AM408:AO408"/>
    <mergeCell ref="AJ401:AL401"/>
    <mergeCell ref="AJ398:AL398"/>
    <mergeCell ref="AJ394:AL394"/>
    <mergeCell ref="AS397:AV397"/>
    <mergeCell ref="AM394:AO394"/>
    <mergeCell ref="AS394:AV394"/>
    <mergeCell ref="AS404:AV404"/>
    <mergeCell ref="AS445:AV445"/>
    <mergeCell ref="AS405:AV405"/>
    <mergeCell ref="AP406:AR406"/>
    <mergeCell ref="AS406:AV406"/>
    <mergeCell ref="AS411:AV411"/>
    <mergeCell ref="AS402:AV402"/>
    <mergeCell ref="AS400:AV400"/>
    <mergeCell ref="AJ413:AL413"/>
    <mergeCell ref="AJ433:AL433"/>
    <mergeCell ref="AJ407:AL407"/>
    <mergeCell ref="AJ406:AL406"/>
    <mergeCell ref="AJ408:AL408"/>
    <mergeCell ref="AS392:AV392"/>
    <mergeCell ref="AJ440:AL440"/>
    <mergeCell ref="AP489:AR489"/>
    <mergeCell ref="AG512:AI512"/>
    <mergeCell ref="AC517:AE517"/>
    <mergeCell ref="AG510:AI510"/>
    <mergeCell ref="U450:W450"/>
    <mergeCell ref="AM452:AO452"/>
    <mergeCell ref="AM491:AO491"/>
    <mergeCell ref="AS449:AV449"/>
    <mergeCell ref="AP515:AR515"/>
    <mergeCell ref="AP510:AR510"/>
    <mergeCell ref="AG492:AI492"/>
    <mergeCell ref="U517:W517"/>
    <mergeCell ref="U522:W522"/>
    <mergeCell ref="U520:W520"/>
    <mergeCell ref="Y519:AA519"/>
    <mergeCell ref="AM500:AO500"/>
    <mergeCell ref="AM453:AO453"/>
    <mergeCell ref="AM461:AO461"/>
    <mergeCell ref="AG499:AI499"/>
    <mergeCell ref="U474:W474"/>
    <mergeCell ref="Y474:AA474"/>
    <mergeCell ref="AG463:AI463"/>
    <mergeCell ref="AG459:AI459"/>
    <mergeCell ref="AM477:AO477"/>
    <mergeCell ref="Y452:AA452"/>
    <mergeCell ref="AG479:AI479"/>
    <mergeCell ref="AJ478:AL478"/>
    <mergeCell ref="Y454:AA454"/>
    <mergeCell ref="U455:W455"/>
    <mergeCell ref="U501:W501"/>
    <mergeCell ref="AS464:AV464"/>
    <mergeCell ref="AS468:AV468"/>
    <mergeCell ref="AP500:AR500"/>
    <mergeCell ref="AP506:AR506"/>
    <mergeCell ref="AP507:AR507"/>
    <mergeCell ref="AP409:AR409"/>
    <mergeCell ref="AJ417:AL417"/>
    <mergeCell ref="AC420:AE420"/>
    <mergeCell ref="AG438:AI438"/>
    <mergeCell ref="AG440:AI440"/>
    <mergeCell ref="AM420:AO420"/>
    <mergeCell ref="AG436:AI436"/>
    <mergeCell ref="AG435:AI435"/>
    <mergeCell ref="AG433:AI433"/>
    <mergeCell ref="AC432:AE432"/>
    <mergeCell ref="AJ501:AL501"/>
    <mergeCell ref="AP492:AR492"/>
    <mergeCell ref="AJ461:AL461"/>
    <mergeCell ref="AM488:AO488"/>
    <mergeCell ref="AG439:AI439"/>
    <mergeCell ref="AM474:AO474"/>
    <mergeCell ref="AJ439:AL439"/>
    <mergeCell ref="AM433:AO433"/>
    <mergeCell ref="AP431:AR431"/>
    <mergeCell ref="AP498:AR498"/>
    <mergeCell ref="AJ503:AL503"/>
    <mergeCell ref="AJ498:AL498"/>
    <mergeCell ref="AJ506:AL506"/>
    <mergeCell ref="AP503:AR503"/>
    <mergeCell ref="AG446:AI446"/>
    <mergeCell ref="AM502:AO502"/>
    <mergeCell ref="AM470:AO470"/>
    <mergeCell ref="AM499:AO499"/>
    <mergeCell ref="AP491:AR491"/>
    <mergeCell ref="AP528:AR528"/>
    <mergeCell ref="AP530:AR530"/>
    <mergeCell ref="AP516:AR516"/>
    <mergeCell ref="AP504:AR504"/>
    <mergeCell ref="AM523:AO523"/>
    <mergeCell ref="AP523:AR523"/>
    <mergeCell ref="AJ519:AL519"/>
    <mergeCell ref="AM501:AO501"/>
    <mergeCell ref="AP501:AR501"/>
    <mergeCell ref="AM524:AO524"/>
    <mergeCell ref="AM505:AO505"/>
    <mergeCell ref="AM522:AO522"/>
    <mergeCell ref="AM527:AO527"/>
    <mergeCell ref="AJ523:AL523"/>
    <mergeCell ref="AP521:AR521"/>
    <mergeCell ref="AP520:AR520"/>
    <mergeCell ref="AP524:AR524"/>
    <mergeCell ref="AP522:AR522"/>
    <mergeCell ref="AP511:AR511"/>
    <mergeCell ref="AM511:AO511"/>
    <mergeCell ref="AM526:AO526"/>
    <mergeCell ref="AM519:AO519"/>
    <mergeCell ref="AM521:AO521"/>
    <mergeCell ref="AP509:AR509"/>
    <mergeCell ref="AM508:AO508"/>
    <mergeCell ref="AJ509:AL509"/>
    <mergeCell ref="AM516:AO516"/>
    <mergeCell ref="AM514:AO514"/>
    <mergeCell ref="AM518:AO518"/>
    <mergeCell ref="AJ518:AL518"/>
    <mergeCell ref="AM507:AO507"/>
    <mergeCell ref="AM509:AO509"/>
    <mergeCell ref="AS508:AV508"/>
    <mergeCell ref="AS514:AV514"/>
    <mergeCell ref="AS500:AV500"/>
    <mergeCell ref="AS516:AV516"/>
    <mergeCell ref="AS517:AV517"/>
    <mergeCell ref="AS506:AV506"/>
    <mergeCell ref="AP535:AR535"/>
    <mergeCell ref="AP531:AR531"/>
    <mergeCell ref="AP519:AR519"/>
    <mergeCell ref="AP518:AR518"/>
    <mergeCell ref="AJ495:AL495"/>
    <mergeCell ref="AS522:AV522"/>
    <mergeCell ref="AS512:AV512"/>
    <mergeCell ref="AP513:AR513"/>
    <mergeCell ref="AS513:AV513"/>
    <mergeCell ref="AS515:AV515"/>
    <mergeCell ref="AP512:AR512"/>
    <mergeCell ref="AJ517:AL517"/>
    <mergeCell ref="AM503:AO503"/>
    <mergeCell ref="AP517:AR517"/>
    <mergeCell ref="AM528:AO528"/>
    <mergeCell ref="AP526:AR526"/>
    <mergeCell ref="AJ512:AL512"/>
    <mergeCell ref="AP514:AR514"/>
    <mergeCell ref="AJ507:AL507"/>
    <mergeCell ref="AP505:AR505"/>
    <mergeCell ref="AM510:AO510"/>
    <mergeCell ref="AM513:AO513"/>
    <mergeCell ref="AJ516:AL516"/>
    <mergeCell ref="AM533:AO533"/>
    <mergeCell ref="AM512:AO512"/>
    <mergeCell ref="AJ526:AL526"/>
    <mergeCell ref="AS537:AV537"/>
    <mergeCell ref="AP541:AR541"/>
    <mergeCell ref="AJ531:AL531"/>
    <mergeCell ref="AM531:AO531"/>
    <mergeCell ref="AJ528:AL528"/>
    <mergeCell ref="AJ524:AL524"/>
    <mergeCell ref="AS533:AV533"/>
    <mergeCell ref="U524:W524"/>
    <mergeCell ref="AJ532:AL532"/>
    <mergeCell ref="AG541:AI541"/>
    <mergeCell ref="AC539:AE539"/>
    <mergeCell ref="AM539:AO539"/>
    <mergeCell ref="AJ541:AL541"/>
    <mergeCell ref="AP540:AR540"/>
    <mergeCell ref="AP538:AR538"/>
    <mergeCell ref="AP536:AR536"/>
    <mergeCell ref="AP534:AR534"/>
    <mergeCell ref="AJ536:AL536"/>
    <mergeCell ref="AJ538:AL538"/>
    <mergeCell ref="AP532:AR532"/>
    <mergeCell ref="AJ530:AL530"/>
    <mergeCell ref="AG529:AI529"/>
    <mergeCell ref="AG524:AI524"/>
    <mergeCell ref="AP529:AR529"/>
    <mergeCell ref="AM535:AO535"/>
    <mergeCell ref="AM538:AO538"/>
    <mergeCell ref="AG528:AI528"/>
    <mergeCell ref="AG527:AI527"/>
    <mergeCell ref="AG530:AI530"/>
    <mergeCell ref="AC529:AE529"/>
    <mergeCell ref="AS525:AV525"/>
    <mergeCell ref="AM530:AO530"/>
    <mergeCell ref="AW539:AZ539"/>
    <mergeCell ref="AW534:AZ534"/>
    <mergeCell ref="AW533:AZ533"/>
    <mergeCell ref="AW540:AZ540"/>
    <mergeCell ref="AS538:AV538"/>
    <mergeCell ref="AW541:AZ541"/>
    <mergeCell ref="AW535:AZ535"/>
    <mergeCell ref="AS552:AV552"/>
    <mergeCell ref="AP533:AR533"/>
    <mergeCell ref="AW570:AZ570"/>
    <mergeCell ref="AS563:AV563"/>
    <mergeCell ref="AM560:AO560"/>
    <mergeCell ref="AM561:AO561"/>
    <mergeCell ref="AC552:AE552"/>
    <mergeCell ref="AG552:AI552"/>
    <mergeCell ref="AW549:AZ549"/>
    <mergeCell ref="AS548:AV548"/>
    <mergeCell ref="AW555:AZ555"/>
    <mergeCell ref="AS559:AV559"/>
    <mergeCell ref="AP556:AR556"/>
    <mergeCell ref="AP555:AR555"/>
    <mergeCell ref="AP553:AR553"/>
    <mergeCell ref="AP548:AR548"/>
    <mergeCell ref="AS554:AV554"/>
    <mergeCell ref="AP549:AR549"/>
    <mergeCell ref="AW553:AZ553"/>
    <mergeCell ref="AW552:AZ552"/>
    <mergeCell ref="AS562:AV562"/>
    <mergeCell ref="AW557:AZ557"/>
    <mergeCell ref="AW554:AZ554"/>
    <mergeCell ref="AW538:AZ538"/>
    <mergeCell ref="AW537:AZ537"/>
    <mergeCell ref="AS534:AV534"/>
    <mergeCell ref="AW536:AZ536"/>
    <mergeCell ref="AS541:AV541"/>
    <mergeCell ref="AS553:AV553"/>
    <mergeCell ref="AJ564:AL564"/>
    <mergeCell ref="AW559:AZ559"/>
    <mergeCell ref="AS555:AV555"/>
    <mergeCell ref="AM541:AO541"/>
    <mergeCell ref="AP558:AR558"/>
    <mergeCell ref="AW560:AZ560"/>
    <mergeCell ref="AM563:AO563"/>
    <mergeCell ref="AP562:AR562"/>
    <mergeCell ref="AP554:AR554"/>
    <mergeCell ref="AS558:AV558"/>
    <mergeCell ref="AW548:AZ548"/>
    <mergeCell ref="AP563:AR563"/>
    <mergeCell ref="AW550:AZ550"/>
    <mergeCell ref="AW556:AZ556"/>
    <mergeCell ref="AW542:AZ542"/>
    <mergeCell ref="AW551:AZ551"/>
    <mergeCell ref="AW547:AZ547"/>
    <mergeCell ref="AS549:AV549"/>
    <mergeCell ref="AJ550:AL550"/>
    <mergeCell ref="AP552:AR552"/>
    <mergeCell ref="AW564:AZ564"/>
    <mergeCell ref="AM559:AO559"/>
    <mergeCell ref="AM556:AO556"/>
    <mergeCell ref="AP557:AR557"/>
    <mergeCell ref="AW558:AZ558"/>
    <mergeCell ref="AW561:AZ561"/>
    <mergeCell ref="R616:T616"/>
    <mergeCell ref="AD595:AF595"/>
    <mergeCell ref="AP550:AR550"/>
    <mergeCell ref="Q561:S561"/>
    <mergeCell ref="F579:P579"/>
    <mergeCell ref="Y582:AA582"/>
    <mergeCell ref="AS589:AV589"/>
    <mergeCell ref="Y590:AA590"/>
    <mergeCell ref="U587:W587"/>
    <mergeCell ref="AG580:AI580"/>
    <mergeCell ref="U594:V594"/>
    <mergeCell ref="AM578:AO578"/>
    <mergeCell ref="AM582:AO582"/>
    <mergeCell ref="AG587:AI587"/>
    <mergeCell ref="U579:W579"/>
    <mergeCell ref="U576:W576"/>
    <mergeCell ref="U585:W585"/>
    <mergeCell ref="AG590:AI590"/>
    <mergeCell ref="AJ590:AL590"/>
    <mergeCell ref="AM590:AO590"/>
    <mergeCell ref="AJ580:AL580"/>
    <mergeCell ref="Y587:AA587"/>
    <mergeCell ref="Y564:AA564"/>
    <mergeCell ref="Y571:AA571"/>
    <mergeCell ref="Y573:AA573"/>
    <mergeCell ref="AG577:AI577"/>
    <mergeCell ref="Y578:AA578"/>
    <mergeCell ref="AS581:AV581"/>
    <mergeCell ref="AC572:AE572"/>
    <mergeCell ref="AM572:AO572"/>
    <mergeCell ref="AG574:AI574"/>
    <mergeCell ref="AC579:AE579"/>
    <mergeCell ref="AG573:AI573"/>
    <mergeCell ref="Y585:AA585"/>
    <mergeCell ref="Y584:AA584"/>
    <mergeCell ref="AC581:AE581"/>
    <mergeCell ref="H586:P586"/>
    <mergeCell ref="Y565:AA565"/>
    <mergeCell ref="F567:P567"/>
    <mergeCell ref="Q591:S591"/>
    <mergeCell ref="AD617:AF617"/>
    <mergeCell ref="AJ617:AM617"/>
    <mergeCell ref="AJ601:AR601"/>
    <mergeCell ref="AP592:AR592"/>
    <mergeCell ref="AC592:AE592"/>
    <mergeCell ref="AJ585:AL585"/>
    <mergeCell ref="Y598:AA598"/>
    <mergeCell ref="AC591:AE591"/>
    <mergeCell ref="AG591:AI591"/>
    <mergeCell ref="AJ591:AL591"/>
    <mergeCell ref="AC589:AE589"/>
    <mergeCell ref="Y594:AA594"/>
    <mergeCell ref="AD596:AF596"/>
    <mergeCell ref="AG586:AI586"/>
    <mergeCell ref="X617:Z617"/>
    <mergeCell ref="AG583:AI583"/>
    <mergeCell ref="AC584:AE584"/>
    <mergeCell ref="AM585:AO585"/>
    <mergeCell ref="Y588:AA588"/>
    <mergeCell ref="AM587:AO587"/>
    <mergeCell ref="H587:P587"/>
    <mergeCell ref="Q599:R599"/>
    <mergeCell ref="U599:V599"/>
    <mergeCell ref="Y599:AA599"/>
    <mergeCell ref="AC588:AE588"/>
    <mergeCell ref="Q592:S592"/>
    <mergeCell ref="U592:W592"/>
    <mergeCell ref="U591:W591"/>
    <mergeCell ref="Y591:AA591"/>
    <mergeCell ref="Q589:S589"/>
    <mergeCell ref="U589:W589"/>
    <mergeCell ref="Y589:AA589"/>
    <mergeCell ref="Q570:S570"/>
    <mergeCell ref="U578:W578"/>
    <mergeCell ref="U583:W583"/>
    <mergeCell ref="Q584:S584"/>
    <mergeCell ref="U584:W584"/>
    <mergeCell ref="Q585:S585"/>
    <mergeCell ref="U582:W582"/>
    <mergeCell ref="Y577:AA577"/>
    <mergeCell ref="U580:W580"/>
    <mergeCell ref="U577:W577"/>
    <mergeCell ref="AC577:AE577"/>
    <mergeCell ref="AJ570:AL570"/>
    <mergeCell ref="Q587:S587"/>
    <mergeCell ref="AJ574:AL574"/>
    <mergeCell ref="AG589:AI589"/>
    <mergeCell ref="AC578:AE578"/>
    <mergeCell ref="AC586:AE586"/>
    <mergeCell ref="F585:P585"/>
    <mergeCell ref="Q582:S582"/>
    <mergeCell ref="Q576:S576"/>
    <mergeCell ref="Y579:AA579"/>
    <mergeCell ref="F565:P565"/>
    <mergeCell ref="F566:P566"/>
    <mergeCell ref="Y580:AA580"/>
    <mergeCell ref="AC580:AE580"/>
    <mergeCell ref="U574:W574"/>
    <mergeCell ref="Y572:AA572"/>
    <mergeCell ref="U572:W572"/>
    <mergeCell ref="Q567:S567"/>
    <mergeCell ref="F571:P571"/>
    <mergeCell ref="F572:P572"/>
    <mergeCell ref="F568:P568"/>
    <mergeCell ref="AC576:AE576"/>
    <mergeCell ref="F584:P584"/>
    <mergeCell ref="AC583:AE583"/>
    <mergeCell ref="AC585:AE585"/>
    <mergeCell ref="AC574:AE574"/>
    <mergeCell ref="AC582:AE582"/>
    <mergeCell ref="Q574:S574"/>
    <mergeCell ref="Q580:S580"/>
    <mergeCell ref="Q577:S577"/>
    <mergeCell ref="AJ586:AL586"/>
    <mergeCell ref="U598:V598"/>
    <mergeCell ref="U596:V596"/>
    <mergeCell ref="H591:P591"/>
    <mergeCell ref="H590:P590"/>
    <mergeCell ref="Q590:S590"/>
    <mergeCell ref="U590:W590"/>
    <mergeCell ref="Y561:AA561"/>
    <mergeCell ref="U568:W568"/>
    <mergeCell ref="U566:W566"/>
    <mergeCell ref="Y562:AA562"/>
    <mergeCell ref="Q573:S573"/>
    <mergeCell ref="U573:W573"/>
    <mergeCell ref="U563:W563"/>
    <mergeCell ref="Q572:S572"/>
    <mergeCell ref="Q571:S571"/>
    <mergeCell ref="U570:W570"/>
    <mergeCell ref="Q569:S569"/>
    <mergeCell ref="F577:P577"/>
    <mergeCell ref="H589:P589"/>
    <mergeCell ref="H592:P592"/>
    <mergeCell ref="U588:W588"/>
    <mergeCell ref="U569:W569"/>
    <mergeCell ref="Y597:AA597"/>
    <mergeCell ref="U595:V595"/>
    <mergeCell ref="Q595:R595"/>
    <mergeCell ref="E586:F592"/>
    <mergeCell ref="Q551:S551"/>
    <mergeCell ref="Q558:S558"/>
    <mergeCell ref="Y570:AA570"/>
    <mergeCell ref="U571:W571"/>
    <mergeCell ref="Y574:AA574"/>
    <mergeCell ref="U567:W567"/>
    <mergeCell ref="F583:P583"/>
    <mergeCell ref="F582:P582"/>
    <mergeCell ref="Q552:S552"/>
    <mergeCell ref="U560:W560"/>
    <mergeCell ref="Q560:S560"/>
    <mergeCell ref="F575:P575"/>
    <mergeCell ref="F570:P570"/>
    <mergeCell ref="Q579:S579"/>
    <mergeCell ref="F561:P561"/>
    <mergeCell ref="U575:W575"/>
    <mergeCell ref="Y583:AA583"/>
    <mergeCell ref="F563:P563"/>
    <mergeCell ref="F580:P580"/>
    <mergeCell ref="Q581:S581"/>
    <mergeCell ref="U581:W581"/>
    <mergeCell ref="Y581:AA581"/>
    <mergeCell ref="Q565:S565"/>
    <mergeCell ref="Q568:S568"/>
    <mergeCell ref="F578:P578"/>
    <mergeCell ref="Q578:S578"/>
    <mergeCell ref="Q583:S583"/>
    <mergeCell ref="F551:P551"/>
    <mergeCell ref="Y558:AA558"/>
    <mergeCell ref="F560:P560"/>
    <mergeCell ref="Y555:AA555"/>
    <mergeCell ref="B548:D601"/>
    <mergeCell ref="Q548:S548"/>
    <mergeCell ref="F576:P576"/>
    <mergeCell ref="Q563:S563"/>
    <mergeCell ref="G596:P596"/>
    <mergeCell ref="Q596:R596"/>
    <mergeCell ref="Y595:AA595"/>
    <mergeCell ref="Q594:R594"/>
    <mergeCell ref="Q556:S556"/>
    <mergeCell ref="Y592:AA592"/>
    <mergeCell ref="Q575:S575"/>
    <mergeCell ref="Q586:S586"/>
    <mergeCell ref="U586:W586"/>
    <mergeCell ref="Y586:AA586"/>
    <mergeCell ref="H588:P588"/>
    <mergeCell ref="Q588:S588"/>
    <mergeCell ref="U552:W552"/>
    <mergeCell ref="U559:W559"/>
    <mergeCell ref="F553:P553"/>
    <mergeCell ref="U551:W551"/>
    <mergeCell ref="Y551:AA551"/>
    <mergeCell ref="U556:W556"/>
    <mergeCell ref="Y556:AA556"/>
    <mergeCell ref="U555:W555"/>
    <mergeCell ref="Q555:S555"/>
    <mergeCell ref="Q553:S553"/>
    <mergeCell ref="U554:W554"/>
    <mergeCell ref="U553:W553"/>
    <mergeCell ref="F556:P556"/>
    <mergeCell ref="Y576:AA576"/>
    <mergeCell ref="F548:P548"/>
    <mergeCell ref="Q549:S549"/>
    <mergeCell ref="F549:P549"/>
    <mergeCell ref="F552:P552"/>
    <mergeCell ref="F555:P555"/>
    <mergeCell ref="U550:W550"/>
    <mergeCell ref="U549:W549"/>
    <mergeCell ref="U536:W536"/>
    <mergeCell ref="Y548:AA548"/>
    <mergeCell ref="AC553:AE553"/>
    <mergeCell ref="AG553:AI553"/>
    <mergeCell ref="Y554:AA554"/>
    <mergeCell ref="Q554:S554"/>
    <mergeCell ref="Y553:AA553"/>
    <mergeCell ref="Y575:AA575"/>
    <mergeCell ref="AC559:AE559"/>
    <mergeCell ref="F564:P564"/>
    <mergeCell ref="F557:P557"/>
    <mergeCell ref="Q557:S557"/>
    <mergeCell ref="Y559:AA559"/>
    <mergeCell ref="F558:P558"/>
    <mergeCell ref="F559:P559"/>
    <mergeCell ref="F554:P554"/>
    <mergeCell ref="Q559:S559"/>
    <mergeCell ref="F573:P573"/>
    <mergeCell ref="Q566:S566"/>
    <mergeCell ref="U558:W558"/>
    <mergeCell ref="U561:W561"/>
    <mergeCell ref="U557:W557"/>
    <mergeCell ref="AC561:AE561"/>
    <mergeCell ref="Y557:AA557"/>
    <mergeCell ref="F574:P574"/>
    <mergeCell ref="AG570:AI570"/>
    <mergeCell ref="U534:W534"/>
    <mergeCell ref="Y532:AA532"/>
    <mergeCell ref="U531:W531"/>
    <mergeCell ref="Y534:AA534"/>
    <mergeCell ref="Q531:S531"/>
    <mergeCell ref="Y530:AA530"/>
    <mergeCell ref="Y531:AA531"/>
    <mergeCell ref="U538:W538"/>
    <mergeCell ref="Q532:S532"/>
    <mergeCell ref="F533:P533"/>
    <mergeCell ref="F550:P550"/>
    <mergeCell ref="U548:W548"/>
    <mergeCell ref="AG562:AI562"/>
    <mergeCell ref="U564:W564"/>
    <mergeCell ref="AC566:AE566"/>
    <mergeCell ref="AC564:AE564"/>
    <mergeCell ref="AC571:AE571"/>
    <mergeCell ref="F562:P562"/>
    <mergeCell ref="Q562:S562"/>
    <mergeCell ref="U562:W562"/>
    <mergeCell ref="F569:P569"/>
    <mergeCell ref="Q564:S564"/>
    <mergeCell ref="AC556:AE556"/>
    <mergeCell ref="Y539:AA539"/>
    <mergeCell ref="Y540:AA540"/>
    <mergeCell ref="E535:F541"/>
    <mergeCell ref="H537:P537"/>
    <mergeCell ref="H540:P540"/>
    <mergeCell ref="Y567:AA567"/>
    <mergeCell ref="U565:W565"/>
    <mergeCell ref="AG571:AI571"/>
    <mergeCell ref="Y569:AA569"/>
    <mergeCell ref="AC541:AE541"/>
    <mergeCell ref="AC540:AE540"/>
    <mergeCell ref="AC534:AE534"/>
    <mergeCell ref="AC530:AE530"/>
    <mergeCell ref="AC531:AE531"/>
    <mergeCell ref="Y538:AA538"/>
    <mergeCell ref="AC537:AE537"/>
    <mergeCell ref="Y529:AA529"/>
    <mergeCell ref="Q539:S539"/>
    <mergeCell ref="Q534:S534"/>
    <mergeCell ref="Q537:S537"/>
    <mergeCell ref="F531:P531"/>
    <mergeCell ref="AC525:AE525"/>
    <mergeCell ref="F530:P530"/>
    <mergeCell ref="F532:P532"/>
    <mergeCell ref="H538:P538"/>
    <mergeCell ref="Q540:S540"/>
    <mergeCell ref="Q536:S536"/>
    <mergeCell ref="U541:W541"/>
    <mergeCell ref="H536:P536"/>
    <mergeCell ref="Y537:AA537"/>
    <mergeCell ref="U535:W535"/>
    <mergeCell ref="F534:P534"/>
    <mergeCell ref="Y535:AA535"/>
    <mergeCell ref="H535:P535"/>
    <mergeCell ref="U540:W540"/>
    <mergeCell ref="U530:W530"/>
    <mergeCell ref="U537:W537"/>
    <mergeCell ref="U532:W532"/>
    <mergeCell ref="Y533:AA533"/>
    <mergeCell ref="U533:W533"/>
    <mergeCell ref="U539:W539"/>
    <mergeCell ref="U510:W510"/>
    <mergeCell ref="AC516:AE516"/>
    <mergeCell ref="U523:W523"/>
    <mergeCell ref="U518:W518"/>
    <mergeCell ref="Q550:S550"/>
    <mergeCell ref="Y536:AA536"/>
    <mergeCell ref="Q535:S535"/>
    <mergeCell ref="Q529:S529"/>
    <mergeCell ref="H539:P539"/>
    <mergeCell ref="Y541:AA541"/>
    <mergeCell ref="F529:P529"/>
    <mergeCell ref="Y550:AA550"/>
    <mergeCell ref="Q533:S533"/>
    <mergeCell ref="Q538:S538"/>
    <mergeCell ref="Q530:S530"/>
    <mergeCell ref="H541:P541"/>
    <mergeCell ref="Q541:S541"/>
    <mergeCell ref="F528:P528"/>
    <mergeCell ref="U529:W529"/>
    <mergeCell ref="F522:P522"/>
    <mergeCell ref="Q516:S516"/>
    <mergeCell ref="U519:W519"/>
    <mergeCell ref="Q525:S525"/>
    <mergeCell ref="U525:W525"/>
    <mergeCell ref="Y525:AA525"/>
    <mergeCell ref="Q527:S527"/>
    <mergeCell ref="AC549:AE549"/>
    <mergeCell ref="Q528:S528"/>
    <mergeCell ref="U528:W528"/>
    <mergeCell ref="Y528:AA528"/>
    <mergeCell ref="F527:P527"/>
    <mergeCell ref="Q524:S524"/>
    <mergeCell ref="AG478:AI478"/>
    <mergeCell ref="AG477:AI477"/>
    <mergeCell ref="AG521:AI521"/>
    <mergeCell ref="F512:P512"/>
    <mergeCell ref="U512:W512"/>
    <mergeCell ref="Q511:S511"/>
    <mergeCell ref="Q509:S509"/>
    <mergeCell ref="AC526:AE526"/>
    <mergeCell ref="U521:W521"/>
    <mergeCell ref="Y523:AA523"/>
    <mergeCell ref="AC524:AE524"/>
    <mergeCell ref="F511:P511"/>
    <mergeCell ref="AC513:AE513"/>
    <mergeCell ref="U527:W527"/>
    <mergeCell ref="Y527:AA527"/>
    <mergeCell ref="AC527:AE527"/>
    <mergeCell ref="U515:W515"/>
    <mergeCell ref="Y522:AA522"/>
    <mergeCell ref="AC518:AE518"/>
    <mergeCell ref="F516:P516"/>
    <mergeCell ref="U516:W516"/>
    <mergeCell ref="F513:P513"/>
    <mergeCell ref="F514:P514"/>
    <mergeCell ref="U513:W513"/>
    <mergeCell ref="Q515:S515"/>
    <mergeCell ref="F518:P518"/>
    <mergeCell ref="F523:P523"/>
    <mergeCell ref="F524:P524"/>
    <mergeCell ref="Q512:S512"/>
    <mergeCell ref="AC512:AE512"/>
    <mergeCell ref="F510:P510"/>
    <mergeCell ref="Q510:S510"/>
    <mergeCell ref="U493:W493"/>
    <mergeCell ref="U489:W489"/>
    <mergeCell ref="AC491:AE491"/>
    <mergeCell ref="AC493:AE493"/>
    <mergeCell ref="AG523:AI523"/>
    <mergeCell ref="Q495:S495"/>
    <mergeCell ref="U492:W492"/>
    <mergeCell ref="U451:W451"/>
    <mergeCell ref="Y502:AA502"/>
    <mergeCell ref="U500:W500"/>
    <mergeCell ref="Q450:S450"/>
    <mergeCell ref="Q446:S446"/>
    <mergeCell ref="U447:W447"/>
    <mergeCell ref="Q520:S520"/>
    <mergeCell ref="AC521:AE521"/>
    <mergeCell ref="F521:P521"/>
    <mergeCell ref="Y517:AA517"/>
    <mergeCell ref="Q513:S513"/>
    <mergeCell ref="AG513:AI513"/>
    <mergeCell ref="U505:W505"/>
    <mergeCell ref="Y507:AA507"/>
    <mergeCell ref="Y511:AA511"/>
    <mergeCell ref="AG515:AI515"/>
    <mergeCell ref="Q507:S507"/>
    <mergeCell ref="U507:W507"/>
    <mergeCell ref="U508:W508"/>
    <mergeCell ref="Q508:S508"/>
    <mergeCell ref="AG518:AI518"/>
    <mergeCell ref="AG517:AI517"/>
    <mergeCell ref="AG491:AI491"/>
    <mergeCell ref="AG488:AI488"/>
    <mergeCell ref="AG481:AI481"/>
    <mergeCell ref="AC499:AE499"/>
    <mergeCell ref="AC498:AE498"/>
    <mergeCell ref="F500:P500"/>
    <mergeCell ref="U509:W509"/>
    <mergeCell ref="Q500:S500"/>
    <mergeCell ref="F505:P505"/>
    <mergeCell ref="F506:P506"/>
    <mergeCell ref="F507:P507"/>
    <mergeCell ref="F508:P508"/>
    <mergeCell ref="F501:P501"/>
    <mergeCell ref="Q506:S506"/>
    <mergeCell ref="Y506:AA506"/>
    <mergeCell ref="AC506:AE506"/>
    <mergeCell ref="Q505:S505"/>
    <mergeCell ref="F503:P503"/>
    <mergeCell ref="Q497:S497"/>
    <mergeCell ref="Q496:S496"/>
    <mergeCell ref="U496:W496"/>
    <mergeCell ref="Y512:AA512"/>
    <mergeCell ref="F519:P519"/>
    <mergeCell ref="Y515:AA515"/>
    <mergeCell ref="Y510:AA510"/>
    <mergeCell ref="U511:W511"/>
    <mergeCell ref="F509:P509"/>
    <mergeCell ref="AC509:AE509"/>
    <mergeCell ref="AC476:AE476"/>
    <mergeCell ref="AC508:AE508"/>
    <mergeCell ref="AC507:AE507"/>
    <mergeCell ref="AC514:AE514"/>
    <mergeCell ref="Q498:S498"/>
    <mergeCell ref="U498:W498"/>
    <mergeCell ref="Y493:AA493"/>
    <mergeCell ref="Y492:AA492"/>
    <mergeCell ref="F473:P473"/>
    <mergeCell ref="Q469:S469"/>
    <mergeCell ref="Y469:AA469"/>
    <mergeCell ref="H478:P478"/>
    <mergeCell ref="Q481:S481"/>
    <mergeCell ref="H479:P479"/>
    <mergeCell ref="H481:P481"/>
    <mergeCell ref="U499:W499"/>
    <mergeCell ref="Y497:AA497"/>
    <mergeCell ref="AC479:AE479"/>
    <mergeCell ref="Q492:S492"/>
    <mergeCell ref="U488:W488"/>
    <mergeCell ref="U476:W476"/>
    <mergeCell ref="U490:W490"/>
    <mergeCell ref="Y479:AA479"/>
    <mergeCell ref="Y478:AA478"/>
    <mergeCell ref="Q494:S494"/>
    <mergeCell ref="E475:F481"/>
    <mergeCell ref="Q457:S457"/>
    <mergeCell ref="U468:W468"/>
    <mergeCell ref="Q458:S458"/>
    <mergeCell ref="F470:P470"/>
    <mergeCell ref="U480:W480"/>
    <mergeCell ref="Y480:AA480"/>
    <mergeCell ref="Q477:S477"/>
    <mergeCell ref="U475:W475"/>
    <mergeCell ref="Y475:AA475"/>
    <mergeCell ref="Y488:AA488"/>
    <mergeCell ref="U448:W448"/>
    <mergeCell ref="Q478:S478"/>
    <mergeCell ref="U477:W477"/>
    <mergeCell ref="AC475:AE475"/>
    <mergeCell ref="H477:P477"/>
    <mergeCell ref="Q468:S468"/>
    <mergeCell ref="AC462:AE462"/>
    <mergeCell ref="Q443:S443"/>
    <mergeCell ref="U491:W491"/>
    <mergeCell ref="Q451:S451"/>
    <mergeCell ref="Q472:S472"/>
    <mergeCell ref="AC488:AE488"/>
    <mergeCell ref="AC477:AE477"/>
    <mergeCell ref="Q461:S461"/>
    <mergeCell ref="Q470:S470"/>
    <mergeCell ref="U479:W479"/>
    <mergeCell ref="Q471:S471"/>
    <mergeCell ref="Q467:S467"/>
    <mergeCell ref="U467:W467"/>
    <mergeCell ref="Y467:AA467"/>
    <mergeCell ref="AC465:AE465"/>
    <mergeCell ref="U456:W456"/>
    <mergeCell ref="U453:W453"/>
    <mergeCell ref="AC446:AE446"/>
    <mergeCell ref="Q490:S490"/>
    <mergeCell ref="AC470:AE470"/>
    <mergeCell ref="AC466:AE466"/>
    <mergeCell ref="U478:W478"/>
    <mergeCell ref="Q476:S476"/>
    <mergeCell ref="B363:D421"/>
    <mergeCell ref="F496:P496"/>
    <mergeCell ref="Q502:S502"/>
    <mergeCell ref="Y379:AA379"/>
    <mergeCell ref="Y393:AA393"/>
    <mergeCell ref="Q491:S491"/>
    <mergeCell ref="B427:D482"/>
    <mergeCell ref="Q526:S526"/>
    <mergeCell ref="U526:W526"/>
    <mergeCell ref="H476:P476"/>
    <mergeCell ref="Y414:AA414"/>
    <mergeCell ref="Q444:S444"/>
    <mergeCell ref="U442:W442"/>
    <mergeCell ref="F444:P444"/>
    <mergeCell ref="Q442:S442"/>
    <mergeCell ref="U443:W443"/>
    <mergeCell ref="Q465:S465"/>
    <mergeCell ref="U465:W465"/>
    <mergeCell ref="Y465:AA465"/>
    <mergeCell ref="F464:P464"/>
    <mergeCell ref="Q464:S464"/>
    <mergeCell ref="U497:W497"/>
    <mergeCell ref="Y495:AA495"/>
    <mergeCell ref="U494:W494"/>
    <mergeCell ref="U495:W495"/>
    <mergeCell ref="F490:P490"/>
    <mergeCell ref="F492:P492"/>
    <mergeCell ref="F493:P493"/>
    <mergeCell ref="U452:W452"/>
    <mergeCell ref="Y455:AA455"/>
    <mergeCell ref="Y451:AA451"/>
    <mergeCell ref="Q479:S479"/>
    <mergeCell ref="B488:D542"/>
    <mergeCell ref="Q488:S488"/>
    <mergeCell ref="F449:P449"/>
    <mergeCell ref="U454:W454"/>
    <mergeCell ref="Y491:AA491"/>
    <mergeCell ref="Q474:S474"/>
    <mergeCell ref="H475:P475"/>
    <mergeCell ref="Q475:S475"/>
    <mergeCell ref="F491:P491"/>
    <mergeCell ref="F488:P488"/>
    <mergeCell ref="F489:P489"/>
    <mergeCell ref="Q489:S489"/>
    <mergeCell ref="U464:W464"/>
    <mergeCell ref="Y464:AA464"/>
    <mergeCell ref="Q463:S463"/>
    <mergeCell ref="Q462:S462"/>
    <mergeCell ref="Q473:S473"/>
    <mergeCell ref="F458:P458"/>
    <mergeCell ref="F472:P472"/>
    <mergeCell ref="U470:W470"/>
    <mergeCell ref="U460:W460"/>
    <mergeCell ref="F504:P504"/>
    <mergeCell ref="Q504:S504"/>
    <mergeCell ref="U504:W504"/>
    <mergeCell ref="Y503:AA503"/>
    <mergeCell ref="Q503:S503"/>
    <mergeCell ref="U502:W502"/>
    <mergeCell ref="F502:P502"/>
    <mergeCell ref="Q501:S501"/>
    <mergeCell ref="Q493:S493"/>
    <mergeCell ref="H480:P480"/>
    <mergeCell ref="Q480:S480"/>
    <mergeCell ref="Y448:AA448"/>
    <mergeCell ref="Q456:S456"/>
    <mergeCell ref="F454:P454"/>
    <mergeCell ref="F457:P457"/>
    <mergeCell ref="F461:P461"/>
    <mergeCell ref="U473:W473"/>
    <mergeCell ref="F455:P455"/>
    <mergeCell ref="U472:W472"/>
    <mergeCell ref="Y473:AA473"/>
    <mergeCell ref="U445:W445"/>
    <mergeCell ref="Y466:AA466"/>
    <mergeCell ref="F465:P465"/>
    <mergeCell ref="Y446:AA446"/>
    <mergeCell ref="F447:P447"/>
    <mergeCell ref="F452:P452"/>
    <mergeCell ref="F462:P462"/>
    <mergeCell ref="Y457:AA457"/>
    <mergeCell ref="F448:P448"/>
    <mergeCell ref="Q448:S448"/>
    <mergeCell ref="F468:P468"/>
    <mergeCell ref="Q449:S449"/>
    <mergeCell ref="Y449:AA449"/>
    <mergeCell ref="Q452:S452"/>
    <mergeCell ref="F469:P469"/>
    <mergeCell ref="F451:P451"/>
    <mergeCell ref="F446:P446"/>
    <mergeCell ref="F471:P471"/>
    <mergeCell ref="AP419:AR419"/>
    <mergeCell ref="Y410:AA410"/>
    <mergeCell ref="U457:W457"/>
    <mergeCell ref="AM412:AO412"/>
    <mergeCell ref="Y427:AA427"/>
    <mergeCell ref="Y419:AA419"/>
    <mergeCell ref="Y415:AA415"/>
    <mergeCell ref="AC415:AE415"/>
    <mergeCell ref="AJ405:AL405"/>
    <mergeCell ref="AJ402:AL402"/>
    <mergeCell ref="AG441:AI441"/>
    <mergeCell ref="AP400:AR400"/>
    <mergeCell ref="F463:P463"/>
    <mergeCell ref="Y461:AA461"/>
    <mergeCell ref="Y463:AA463"/>
    <mergeCell ref="Y458:AA458"/>
    <mergeCell ref="U459:W459"/>
    <mergeCell ref="F460:P460"/>
    <mergeCell ref="Y460:AA460"/>
    <mergeCell ref="F456:P456"/>
    <mergeCell ref="Y406:AA406"/>
    <mergeCell ref="AC443:AE443"/>
    <mergeCell ref="F459:P459"/>
    <mergeCell ref="U463:W463"/>
    <mergeCell ref="Y459:AA459"/>
    <mergeCell ref="Y462:AA462"/>
    <mergeCell ref="F450:P450"/>
    <mergeCell ref="F453:P453"/>
    <mergeCell ref="F443:P443"/>
    <mergeCell ref="AC451:AE451"/>
    <mergeCell ref="AP408:AR408"/>
    <mergeCell ref="AP405:AR405"/>
    <mergeCell ref="AJ365:AL365"/>
    <mergeCell ref="Y471:AA471"/>
    <mergeCell ref="Q459:S459"/>
    <mergeCell ref="F466:P466"/>
    <mergeCell ref="Q466:S466"/>
    <mergeCell ref="U466:W466"/>
    <mergeCell ref="Q411:S411"/>
    <mergeCell ref="F413:P413"/>
    <mergeCell ref="U411:W411"/>
    <mergeCell ref="U408:W408"/>
    <mergeCell ref="U413:W413"/>
    <mergeCell ref="Y447:AA447"/>
    <mergeCell ref="Y450:AA450"/>
    <mergeCell ref="Q453:S453"/>
    <mergeCell ref="Y476:AA476"/>
    <mergeCell ref="AM371:AO371"/>
    <mergeCell ref="U469:W469"/>
    <mergeCell ref="U458:W458"/>
    <mergeCell ref="Y404:AA404"/>
    <mergeCell ref="Y403:AA403"/>
    <mergeCell ref="Y383:AA383"/>
    <mergeCell ref="AC469:AE469"/>
    <mergeCell ref="U461:W461"/>
    <mergeCell ref="Q439:S439"/>
    <mergeCell ref="U471:W471"/>
    <mergeCell ref="AC473:AE473"/>
    <mergeCell ref="AG444:AI444"/>
    <mergeCell ref="U444:W444"/>
    <mergeCell ref="Y445:AA445"/>
    <mergeCell ref="AJ476:AL476"/>
    <mergeCell ref="AC373:AE373"/>
    <mergeCell ref="Q445:S445"/>
    <mergeCell ref="AW339:AZ339"/>
    <mergeCell ref="Y328:AA328"/>
    <mergeCell ref="AP335:AR335"/>
    <mergeCell ref="AP339:AR339"/>
    <mergeCell ref="AC328:AE328"/>
    <mergeCell ref="AG329:AI329"/>
    <mergeCell ref="AS334:AV334"/>
    <mergeCell ref="AM341:AO341"/>
    <mergeCell ref="Y334:AA334"/>
    <mergeCell ref="AS340:AV340"/>
    <mergeCell ref="AM340:AO340"/>
    <mergeCell ref="AS339:AV339"/>
    <mergeCell ref="AW340:AZ340"/>
    <mergeCell ref="AS338:AV338"/>
    <mergeCell ref="AM330:AO330"/>
    <mergeCell ref="AG330:AI330"/>
    <mergeCell ref="AM332:AO332"/>
    <mergeCell ref="AP337:AR337"/>
    <mergeCell ref="AM335:AO335"/>
    <mergeCell ref="AP334:AR334"/>
    <mergeCell ref="AM338:AO338"/>
    <mergeCell ref="AW335:AZ335"/>
    <mergeCell ref="AW336:AZ336"/>
    <mergeCell ref="AW338:AZ338"/>
    <mergeCell ref="AJ333:AL333"/>
    <mergeCell ref="AP333:AR333"/>
    <mergeCell ref="Y339:AA339"/>
    <mergeCell ref="Y341:AA341"/>
    <mergeCell ref="AW334:AZ334"/>
    <mergeCell ref="AM331:AO331"/>
    <mergeCell ref="AW333:AZ333"/>
    <mergeCell ref="AW332:AZ332"/>
    <mergeCell ref="AW337:AZ337"/>
    <mergeCell ref="AP328:AR328"/>
    <mergeCell ref="AS332:AV332"/>
    <mergeCell ref="AS328:AV328"/>
    <mergeCell ref="AS327:AV327"/>
    <mergeCell ref="AM333:AO333"/>
    <mergeCell ref="AS330:AV330"/>
    <mergeCell ref="AM334:AO334"/>
    <mergeCell ref="AW329:AZ329"/>
    <mergeCell ref="AW330:AZ330"/>
    <mergeCell ref="AW327:AZ327"/>
    <mergeCell ref="AW331:AZ331"/>
    <mergeCell ref="AP327:AR327"/>
    <mergeCell ref="AP336:AR336"/>
    <mergeCell ref="AS335:AV335"/>
    <mergeCell ref="AS333:AV333"/>
    <mergeCell ref="AS337:AV337"/>
    <mergeCell ref="AP332:AR332"/>
    <mergeCell ref="AP330:AR330"/>
    <mergeCell ref="AP301:AR301"/>
    <mergeCell ref="AJ332:AL332"/>
    <mergeCell ref="AS329:AV329"/>
    <mergeCell ref="AM329:AO329"/>
    <mergeCell ref="AJ327:AL327"/>
    <mergeCell ref="AW326:AZ326"/>
    <mergeCell ref="AS321:AV321"/>
    <mergeCell ref="AP316:AR316"/>
    <mergeCell ref="AM314:AO314"/>
    <mergeCell ref="AS314:AV314"/>
    <mergeCell ref="AJ319:AL319"/>
    <mergeCell ref="AW316:AZ316"/>
    <mergeCell ref="AS319:AV319"/>
    <mergeCell ref="AS318:AV318"/>
    <mergeCell ref="AJ316:AL316"/>
    <mergeCell ref="AP317:AR317"/>
    <mergeCell ref="AW317:AZ317"/>
    <mergeCell ref="AP321:AR321"/>
    <mergeCell ref="AJ320:AL320"/>
    <mergeCell ref="AW320:AZ320"/>
    <mergeCell ref="AS331:AV331"/>
    <mergeCell ref="AS316:AV316"/>
    <mergeCell ref="AS315:AV315"/>
    <mergeCell ref="AJ321:AL321"/>
    <mergeCell ref="AP329:AR329"/>
    <mergeCell ref="AM327:AO327"/>
    <mergeCell ref="AJ325:AL325"/>
    <mergeCell ref="AM318:AO318"/>
    <mergeCell ref="AP315:AR315"/>
    <mergeCell ref="AS320:AV320"/>
    <mergeCell ref="AP326:AR326"/>
    <mergeCell ref="AW325:AZ325"/>
    <mergeCell ref="AG300:AI300"/>
    <mergeCell ref="AJ317:AL317"/>
    <mergeCell ref="AJ311:AL311"/>
    <mergeCell ref="AP311:AR311"/>
    <mergeCell ref="AM312:AO312"/>
    <mergeCell ref="AJ312:AL312"/>
    <mergeCell ref="AW321:AZ321"/>
    <mergeCell ref="AW324:AZ324"/>
    <mergeCell ref="AJ326:AL326"/>
    <mergeCell ref="AS326:AV326"/>
    <mergeCell ref="AS300:AV300"/>
    <mergeCell ref="AW301:AZ301"/>
    <mergeCell ref="AM301:AO301"/>
    <mergeCell ref="AW328:AZ328"/>
    <mergeCell ref="AW313:AZ313"/>
    <mergeCell ref="AW312:AZ312"/>
    <mergeCell ref="AP310:AR310"/>
    <mergeCell ref="AS313:AV313"/>
    <mergeCell ref="AJ310:AL310"/>
    <mergeCell ref="AS312:AV312"/>
    <mergeCell ref="AM313:AO313"/>
    <mergeCell ref="AJ313:AL313"/>
    <mergeCell ref="AW311:AZ311"/>
    <mergeCell ref="AW309:AZ309"/>
    <mergeCell ref="AS304:AV304"/>
    <mergeCell ref="AM310:AO310"/>
    <mergeCell ref="AM311:AO311"/>
    <mergeCell ref="AM300:AO300"/>
    <mergeCell ref="AS324:AV324"/>
    <mergeCell ref="AS325:AV325"/>
    <mergeCell ref="AP324:AR324"/>
    <mergeCell ref="AM323:AO323"/>
    <mergeCell ref="AJ318:AL318"/>
    <mergeCell ref="AM317:AO317"/>
    <mergeCell ref="AJ315:AL315"/>
    <mergeCell ref="AM320:AO320"/>
    <mergeCell ref="AM315:AO315"/>
    <mergeCell ref="AJ304:AR304"/>
    <mergeCell ref="Y317:AA317"/>
    <mergeCell ref="U320:W320"/>
    <mergeCell ref="Y314:AA314"/>
    <mergeCell ref="Y321:AA321"/>
    <mergeCell ref="AG320:AI320"/>
    <mergeCell ref="U324:W324"/>
    <mergeCell ref="U322:W322"/>
    <mergeCell ref="AM324:AO324"/>
    <mergeCell ref="AC327:AE327"/>
    <mergeCell ref="U326:W326"/>
    <mergeCell ref="AM322:AO322"/>
    <mergeCell ref="AC317:AE317"/>
    <mergeCell ref="AC310:AE310"/>
    <mergeCell ref="Y322:AA322"/>
    <mergeCell ref="AM326:AO326"/>
    <mergeCell ref="AP318:AR318"/>
    <mergeCell ref="AC314:AE314"/>
    <mergeCell ref="AJ314:AL314"/>
    <mergeCell ref="AM316:AO316"/>
    <mergeCell ref="Y313:AA313"/>
    <mergeCell ref="AW286:AZ286"/>
    <mergeCell ref="AM287:AO287"/>
    <mergeCell ref="AP268:AR268"/>
    <mergeCell ref="AP280:AR280"/>
    <mergeCell ref="AJ286:AL286"/>
    <mergeCell ref="AM288:AO288"/>
    <mergeCell ref="AW287:AZ287"/>
    <mergeCell ref="AW255:AZ255"/>
    <mergeCell ref="AM253:AO253"/>
    <mergeCell ref="AP257:AR257"/>
    <mergeCell ref="U262:W262"/>
    <mergeCell ref="AJ264:AL264"/>
    <mergeCell ref="AJ265:AL265"/>
    <mergeCell ref="AW256:AZ256"/>
    <mergeCell ref="AP258:AR258"/>
    <mergeCell ref="AC256:AE256"/>
    <mergeCell ref="U257:W257"/>
    <mergeCell ref="AS264:AV264"/>
    <mergeCell ref="AJ271:AL271"/>
    <mergeCell ref="AW268:AZ268"/>
    <mergeCell ref="AS268:AV268"/>
    <mergeCell ref="AS270:AV270"/>
    <mergeCell ref="AW267:AZ267"/>
    <mergeCell ref="AS265:AV265"/>
    <mergeCell ref="U284:W284"/>
    <mergeCell ref="AJ300:AL300"/>
    <mergeCell ref="AP312:AR312"/>
    <mergeCell ref="AC262:AE262"/>
    <mergeCell ref="AG254:AI254"/>
    <mergeCell ref="AJ253:AL253"/>
    <mergeCell ref="AW261:AZ261"/>
    <mergeCell ref="AW259:AZ259"/>
    <mergeCell ref="AJ260:AL260"/>
    <mergeCell ref="AP261:AR261"/>
    <mergeCell ref="AM260:AO260"/>
    <mergeCell ref="AM259:AO259"/>
    <mergeCell ref="AS260:AV260"/>
    <mergeCell ref="AW260:AZ260"/>
    <mergeCell ref="Q263:S263"/>
    <mergeCell ref="AJ255:AL255"/>
    <mergeCell ref="AS259:AV259"/>
    <mergeCell ref="AJ259:AL259"/>
    <mergeCell ref="AG261:AI261"/>
    <mergeCell ref="AW257:AZ257"/>
    <mergeCell ref="AW258:AZ258"/>
    <mergeCell ref="AG255:AI255"/>
    <mergeCell ref="AG256:AI256"/>
    <mergeCell ref="AW254:AZ254"/>
    <mergeCell ref="AM256:AO256"/>
    <mergeCell ref="B279:D304"/>
    <mergeCell ref="F290:P290"/>
    <mergeCell ref="F291:P291"/>
    <mergeCell ref="Y289:AA289"/>
    <mergeCell ref="F285:P285"/>
    <mergeCell ref="Y293:AA293"/>
    <mergeCell ref="Q279:S279"/>
    <mergeCell ref="F288:P288"/>
    <mergeCell ref="Q281:S281"/>
    <mergeCell ref="B250:D273"/>
    <mergeCell ref="Y268:AA268"/>
    <mergeCell ref="Q266:S266"/>
    <mergeCell ref="F293:P293"/>
    <mergeCell ref="Q289:S289"/>
    <mergeCell ref="U289:W289"/>
    <mergeCell ref="U265:W265"/>
    <mergeCell ref="Y265:AA265"/>
    <mergeCell ref="Y257:AA257"/>
    <mergeCell ref="Y254:AA254"/>
    <mergeCell ref="Y263:AA263"/>
    <mergeCell ref="F263:P263"/>
    <mergeCell ref="Y252:AA252"/>
    <mergeCell ref="F255:P255"/>
    <mergeCell ref="F261:P261"/>
    <mergeCell ref="F253:P253"/>
    <mergeCell ref="F250:P250"/>
    <mergeCell ref="F252:P252"/>
    <mergeCell ref="U269:W269"/>
    <mergeCell ref="U292:W292"/>
    <mergeCell ref="U290:W290"/>
    <mergeCell ref="Y255:AA255"/>
    <mergeCell ref="F284:P284"/>
    <mergeCell ref="F264:P264"/>
    <mergeCell ref="F259:P259"/>
    <mergeCell ref="U259:W259"/>
    <mergeCell ref="U256:W256"/>
    <mergeCell ref="F267:P267"/>
    <mergeCell ref="F265:P265"/>
    <mergeCell ref="U240:W240"/>
    <mergeCell ref="Y240:AA240"/>
    <mergeCell ref="Q258:S258"/>
    <mergeCell ref="U258:W258"/>
    <mergeCell ref="Q259:S259"/>
    <mergeCell ref="Y266:AA266"/>
    <mergeCell ref="U260:W260"/>
    <mergeCell ref="Y260:AA260"/>
    <mergeCell ref="Y267:AA267"/>
    <mergeCell ref="Q261:S261"/>
    <mergeCell ref="U263:W263"/>
    <mergeCell ref="U266:W266"/>
    <mergeCell ref="F260:P260"/>
    <mergeCell ref="U255:W255"/>
    <mergeCell ref="F256:P256"/>
    <mergeCell ref="F243:P243"/>
    <mergeCell ref="U250:W250"/>
    <mergeCell ref="F241:P241"/>
    <mergeCell ref="Q250:S250"/>
    <mergeCell ref="F258:P258"/>
    <mergeCell ref="Q257:S257"/>
    <mergeCell ref="Y243:AA243"/>
    <mergeCell ref="AW264:AZ264"/>
    <mergeCell ref="AW278:AZ278"/>
    <mergeCell ref="AW273:AZ273"/>
    <mergeCell ref="AW270:AZ270"/>
    <mergeCell ref="AW282:AZ282"/>
    <mergeCell ref="AP272:AR272"/>
    <mergeCell ref="AJ281:AL281"/>
    <mergeCell ref="AC282:AE282"/>
    <mergeCell ref="U268:W268"/>
    <mergeCell ref="AC267:AE267"/>
    <mergeCell ref="AC265:AE265"/>
    <mergeCell ref="AP262:AR262"/>
    <mergeCell ref="AG271:AI271"/>
    <mergeCell ref="AG262:AI262"/>
    <mergeCell ref="AM263:AO263"/>
    <mergeCell ref="AG266:AI266"/>
    <mergeCell ref="AP266:AR266"/>
    <mergeCell ref="AM266:AO266"/>
    <mergeCell ref="Y272:AA272"/>
    <mergeCell ref="AC266:AE266"/>
    <mergeCell ref="AC263:AE263"/>
    <mergeCell ref="AW263:AZ263"/>
    <mergeCell ref="AG264:AI264"/>
    <mergeCell ref="AG280:AI280"/>
    <mergeCell ref="AG279:AI279"/>
    <mergeCell ref="AS273:AV273"/>
    <mergeCell ref="AS279:AV279"/>
    <mergeCell ref="AG281:AI281"/>
    <mergeCell ref="AG272:AI272"/>
    <mergeCell ref="Y269:AA269"/>
    <mergeCell ref="AP269:AR269"/>
    <mergeCell ref="AM281:AO281"/>
    <mergeCell ref="AM241:AO241"/>
    <mergeCell ref="AM240:AO240"/>
    <mergeCell ref="AP240:AR240"/>
    <mergeCell ref="AW239:AZ239"/>
    <mergeCell ref="AJ240:AL240"/>
    <mergeCell ref="AM239:AO239"/>
    <mergeCell ref="AP260:AR260"/>
    <mergeCell ref="AJ257:AL257"/>
    <mergeCell ref="AS256:AV256"/>
    <mergeCell ref="AJ268:AL268"/>
    <mergeCell ref="Q265:S265"/>
    <mergeCell ref="AM272:AO272"/>
    <mergeCell ref="U270:W270"/>
    <mergeCell ref="Y271:AA271"/>
    <mergeCell ref="Q270:S270"/>
    <mergeCell ref="Q251:S251"/>
    <mergeCell ref="U251:W251"/>
    <mergeCell ref="Y253:AA253"/>
    <mergeCell ref="AC254:AE254"/>
    <mergeCell ref="AC259:AE259"/>
    <mergeCell ref="AJ254:AL254"/>
    <mergeCell ref="AP254:AR254"/>
    <mergeCell ref="AW253:AZ253"/>
    <mergeCell ref="AS257:AV257"/>
    <mergeCell ref="AC260:AE260"/>
    <mergeCell ref="AP259:AR259"/>
    <mergeCell ref="AS254:AV254"/>
    <mergeCell ref="AW251:AZ251"/>
    <mergeCell ref="AS241:AV241"/>
    <mergeCell ref="AW242:AZ242"/>
    <mergeCell ref="AP250:AR250"/>
    <mergeCell ref="AJ262:AL262"/>
    <mergeCell ref="D148:E148"/>
    <mergeCell ref="AK177:AN177"/>
    <mergeCell ref="AW210:AZ210"/>
    <mergeCell ref="AS205:AV205"/>
    <mergeCell ref="AV165:AZ165"/>
    <mergeCell ref="AA164:AC164"/>
    <mergeCell ref="AU152:AU153"/>
    <mergeCell ref="Y199:AA199"/>
    <mergeCell ref="AA165:AC165"/>
    <mergeCell ref="P153:S153"/>
    <mergeCell ref="V167:X167"/>
    <mergeCell ref="AA170:AC170"/>
    <mergeCell ref="AC210:AE210"/>
    <mergeCell ref="AJ210:AL210"/>
    <mergeCell ref="T170:U170"/>
    <mergeCell ref="AF164:AJ164"/>
    <mergeCell ref="AS210:AV210"/>
    <mergeCell ref="AA171:AC171"/>
    <mergeCell ref="AV158:AZ158"/>
    <mergeCell ref="AS166:AU166"/>
    <mergeCell ref="Q205:S205"/>
    <mergeCell ref="T169:U169"/>
    <mergeCell ref="Q206:S206"/>
    <mergeCell ref="AG210:AI210"/>
    <mergeCell ref="AG207:AI207"/>
    <mergeCell ref="U207:W207"/>
    <mergeCell ref="Q208:S208"/>
    <mergeCell ref="AK176:AN176"/>
    <mergeCell ref="AC197:AE197"/>
    <mergeCell ref="AM201:AO201"/>
    <mergeCell ref="T164:U164"/>
    <mergeCell ref="V169:X169"/>
    <mergeCell ref="D163:E163"/>
    <mergeCell ref="AO168:AR168"/>
    <mergeCell ref="V170:X170"/>
    <mergeCell ref="AK164:AN164"/>
    <mergeCell ref="AS165:AU165"/>
    <mergeCell ref="AO165:AR165"/>
    <mergeCell ref="AF165:AJ165"/>
    <mergeCell ref="T167:U167"/>
    <mergeCell ref="AW200:AZ200"/>
    <mergeCell ref="AP196:AR196"/>
    <mergeCell ref="AF173:AH173"/>
    <mergeCell ref="AS164:AU164"/>
    <mergeCell ref="AS170:AU170"/>
    <mergeCell ref="AF168:AJ168"/>
    <mergeCell ref="V173:X173"/>
    <mergeCell ref="Y200:AA200"/>
    <mergeCell ref="AF169:AJ169"/>
    <mergeCell ref="AA180:AB180"/>
    <mergeCell ref="AA172:AC172"/>
    <mergeCell ref="V176:W176"/>
    <mergeCell ref="Y194:AA194"/>
    <mergeCell ref="F197:P197"/>
    <mergeCell ref="AW194:AZ194"/>
    <mergeCell ref="AA169:AC169"/>
    <mergeCell ref="V168:X168"/>
    <mergeCell ref="Q195:S195"/>
    <mergeCell ref="Q192:S192"/>
    <mergeCell ref="AV166:AZ166"/>
    <mergeCell ref="F191:P191"/>
    <mergeCell ref="AA179:AB179"/>
    <mergeCell ref="Y198:AA198"/>
    <mergeCell ref="AV164:AZ164"/>
    <mergeCell ref="K143:M143"/>
    <mergeCell ref="D151:E151"/>
    <mergeCell ref="K145:M145"/>
    <mergeCell ref="AV98:AY98"/>
    <mergeCell ref="AX99:AY99"/>
    <mergeCell ref="P152:S152"/>
    <mergeCell ref="D116:E116"/>
    <mergeCell ref="P129:S129"/>
    <mergeCell ref="K144:M144"/>
    <mergeCell ref="P130:S130"/>
    <mergeCell ref="P98:S98"/>
    <mergeCell ref="F138:K139"/>
    <mergeCell ref="B83:E110"/>
    <mergeCell ref="L109:N109"/>
    <mergeCell ref="B116:C122"/>
    <mergeCell ref="D129:E136"/>
    <mergeCell ref="D138:E147"/>
    <mergeCell ref="H98:K98"/>
    <mergeCell ref="R83:U84"/>
    <mergeCell ref="L97:N97"/>
    <mergeCell ref="T117:W117"/>
    <mergeCell ref="T104:U104"/>
    <mergeCell ref="L106:O106"/>
    <mergeCell ref="H106:K106"/>
    <mergeCell ref="F117:K118"/>
    <mergeCell ref="H109:J109"/>
    <mergeCell ref="H108:J108"/>
    <mergeCell ref="R143:S143"/>
    <mergeCell ref="R144:S144"/>
    <mergeCell ref="L108:N108"/>
    <mergeCell ref="AV152:AZ153"/>
    <mergeCell ref="AF143:AG143"/>
    <mergeCell ref="D117:E122"/>
    <mergeCell ref="D149:E150"/>
    <mergeCell ref="D152:E157"/>
    <mergeCell ref="X120:Y120"/>
    <mergeCell ref="T130:W130"/>
    <mergeCell ref="T119:U119"/>
    <mergeCell ref="X130:AA130"/>
    <mergeCell ref="T118:W118"/>
    <mergeCell ref="P138:S138"/>
    <mergeCell ref="P139:S139"/>
    <mergeCell ref="AF130:AI130"/>
    <mergeCell ref="AF139:AI139"/>
    <mergeCell ref="AF138:AI138"/>
    <mergeCell ref="AB138:AE138"/>
    <mergeCell ref="T120:U120"/>
    <mergeCell ref="X119:Y119"/>
    <mergeCell ref="AU117:AU118"/>
    <mergeCell ref="R142:S142"/>
    <mergeCell ref="F152:K153"/>
    <mergeCell ref="L149:O150"/>
    <mergeCell ref="D137:E137"/>
    <mergeCell ref="L138:O139"/>
    <mergeCell ref="T121:U121"/>
    <mergeCell ref="K135:M135"/>
    <mergeCell ref="F140:K141"/>
    <mergeCell ref="L140:O141"/>
    <mergeCell ref="T140:W140"/>
    <mergeCell ref="T144:U144"/>
    <mergeCell ref="V144:W144"/>
    <mergeCell ref="AU129:AU130"/>
    <mergeCell ref="AU149:AU150"/>
    <mergeCell ref="AR149:AT150"/>
    <mergeCell ref="AR129:AT130"/>
    <mergeCell ref="AJ138:AM139"/>
    <mergeCell ref="AJ129:AM130"/>
    <mergeCell ref="AF129:AI129"/>
    <mergeCell ref="AR117:AT118"/>
    <mergeCell ref="AN149:AQ150"/>
    <mergeCell ref="T129:W129"/>
    <mergeCell ref="T143:U143"/>
    <mergeCell ref="AJ88:AM88"/>
    <mergeCell ref="T92:W92"/>
    <mergeCell ref="AF88:AI88"/>
    <mergeCell ref="AN92:AQ92"/>
    <mergeCell ref="AN93:AQ93"/>
    <mergeCell ref="AF108:AH108"/>
    <mergeCell ref="AN94:AQ94"/>
    <mergeCell ref="AN106:AQ106"/>
    <mergeCell ref="AJ106:AM106"/>
    <mergeCell ref="V103:W103"/>
    <mergeCell ref="AF92:AI92"/>
    <mergeCell ref="AN88:AQ88"/>
    <mergeCell ref="AR98:AU98"/>
    <mergeCell ref="AB98:AE98"/>
    <mergeCell ref="AR97:AU97"/>
    <mergeCell ref="T142:U142"/>
    <mergeCell ref="V142:W142"/>
    <mergeCell ref="V143:W143"/>
    <mergeCell ref="AF103:AI103"/>
    <mergeCell ref="T103:U103"/>
    <mergeCell ref="AP108:AR108"/>
    <mergeCell ref="AF104:AI104"/>
    <mergeCell ref="T100:U100"/>
    <mergeCell ref="AN91:AQ91"/>
    <mergeCell ref="AR83:AU84"/>
    <mergeCell ref="T87:W87"/>
    <mergeCell ref="T102:U102"/>
    <mergeCell ref="T101:U101"/>
    <mergeCell ref="V100:W100"/>
    <mergeCell ref="T98:W98"/>
    <mergeCell ref="AF97:AG97"/>
    <mergeCell ref="AH97:AI97"/>
    <mergeCell ref="X97:AA97"/>
    <mergeCell ref="AB90:AE90"/>
    <mergeCell ref="AJ87:AM87"/>
    <mergeCell ref="AF98:AI98"/>
    <mergeCell ref="AF94:AI94"/>
    <mergeCell ref="X87:AA87"/>
    <mergeCell ref="T91:W91"/>
    <mergeCell ref="AB93:AE93"/>
    <mergeCell ref="AF87:AI87"/>
    <mergeCell ref="X98:AA98"/>
    <mergeCell ref="V102:W102"/>
    <mergeCell ref="AB97:AE97"/>
    <mergeCell ref="AJ97:AM97"/>
    <mergeCell ref="AN98:AQ98"/>
    <mergeCell ref="V101:W101"/>
    <mergeCell ref="AJ90:AM90"/>
    <mergeCell ref="AN87:AQ87"/>
    <mergeCell ref="AB87:AE87"/>
    <mergeCell ref="AJ92:AM92"/>
    <mergeCell ref="AJ94:AM94"/>
    <mergeCell ref="X94:AA94"/>
    <mergeCell ref="AB94:AE94"/>
    <mergeCell ref="T89:W89"/>
    <mergeCell ref="T90:W90"/>
    <mergeCell ref="AB91:AE91"/>
    <mergeCell ref="AF93:AI93"/>
    <mergeCell ref="AN97:AQ97"/>
    <mergeCell ref="AV100:AW100"/>
    <mergeCell ref="AV106:AY106"/>
    <mergeCell ref="R109:T109"/>
    <mergeCell ref="P97:R97"/>
    <mergeCell ref="AV99:AW99"/>
    <mergeCell ref="AV94:AY94"/>
    <mergeCell ref="P106:S106"/>
    <mergeCell ref="AR73:AU73"/>
    <mergeCell ref="AV73:AZ73"/>
    <mergeCell ref="AF51:AI52"/>
    <mergeCell ref="AL58:AM67"/>
    <mergeCell ref="AT109:AV109"/>
    <mergeCell ref="AV101:AW101"/>
    <mergeCell ref="AN89:AQ89"/>
    <mergeCell ref="AJ91:AM91"/>
    <mergeCell ref="AF91:AI91"/>
    <mergeCell ref="AX101:AY101"/>
    <mergeCell ref="AF90:AI90"/>
    <mergeCell ref="AJ93:AM93"/>
    <mergeCell ref="AB92:AE92"/>
    <mergeCell ref="AJ98:AM98"/>
    <mergeCell ref="AN83:AQ84"/>
    <mergeCell ref="AV87:AY87"/>
    <mergeCell ref="AV88:AY88"/>
    <mergeCell ref="AV89:AY89"/>
    <mergeCell ref="AP109:AR109"/>
    <mergeCell ref="AJ89:AM89"/>
    <mergeCell ref="AV83:AZ84"/>
    <mergeCell ref="AX100:AY100"/>
    <mergeCell ref="AV90:AY90"/>
    <mergeCell ref="AV91:AY91"/>
    <mergeCell ref="AV92:AY92"/>
    <mergeCell ref="AV93:AY93"/>
    <mergeCell ref="AV97:AY97"/>
    <mergeCell ref="AT108:AV108"/>
    <mergeCell ref="AR106:AU106"/>
    <mergeCell ref="AB108:AD108"/>
    <mergeCell ref="AL109:AN109"/>
    <mergeCell ref="AB109:AD109"/>
    <mergeCell ref="U12:X12"/>
    <mergeCell ref="AJ20:AM20"/>
    <mergeCell ref="AF24:AI26"/>
    <mergeCell ref="AB37:AE37"/>
    <mergeCell ref="Z19:AA19"/>
    <mergeCell ref="AS12:AV12"/>
    <mergeCell ref="AF36:AI36"/>
    <mergeCell ref="AV36:AZ36"/>
    <mergeCell ref="AJ46:AM46"/>
    <mergeCell ref="AR58:AU67"/>
    <mergeCell ref="V47:Y47"/>
    <mergeCell ref="V67:Y67"/>
    <mergeCell ref="Z65:AA65"/>
    <mergeCell ref="AN46:AQ46"/>
    <mergeCell ref="AR42:AU42"/>
    <mergeCell ref="AF39:AI39"/>
    <mergeCell ref="Z73:AA73"/>
    <mergeCell ref="AV37:AZ48"/>
    <mergeCell ref="AB44:AE44"/>
    <mergeCell ref="AF47:AI47"/>
    <mergeCell ref="AB51:AE51"/>
    <mergeCell ref="AV19:AZ23"/>
    <mergeCell ref="M10:P10"/>
    <mergeCell ref="AJ48:AM48"/>
    <mergeCell ref="V59:Y59"/>
    <mergeCell ref="AB62:AE62"/>
    <mergeCell ref="AF58:AI67"/>
    <mergeCell ref="AB47:AE47"/>
    <mergeCell ref="AN51:AO52"/>
    <mergeCell ref="AJ47:AM47"/>
    <mergeCell ref="AP54:AQ54"/>
    <mergeCell ref="AV51:AZ52"/>
    <mergeCell ref="AP55:AQ55"/>
    <mergeCell ref="AP53:AQ53"/>
    <mergeCell ref="AB25:AE25"/>
    <mergeCell ref="AB20:AE20"/>
    <mergeCell ref="AJ36:AM36"/>
    <mergeCell ref="AR19:AU23"/>
    <mergeCell ref="AV58:AZ67"/>
    <mergeCell ref="AN45:AQ45"/>
    <mergeCell ref="V41:Y41"/>
    <mergeCell ref="Z41:AA41"/>
    <mergeCell ref="AB41:AE41"/>
    <mergeCell ref="AF41:AI41"/>
    <mergeCell ref="AN41:AQ41"/>
    <mergeCell ref="V45:Y45"/>
    <mergeCell ref="AR41:AU41"/>
    <mergeCell ref="Z43:AA43"/>
    <mergeCell ref="AR48:AU48"/>
    <mergeCell ref="AN48:AQ48"/>
    <mergeCell ref="AB67:AE67"/>
    <mergeCell ref="AF45:AI45"/>
    <mergeCell ref="AR51:AU52"/>
    <mergeCell ref="AR36:AU36"/>
    <mergeCell ref="AW12:AZ12"/>
    <mergeCell ref="AV24:AZ26"/>
    <mergeCell ref="AJ43:AM43"/>
    <mergeCell ref="Z21:AA21"/>
    <mergeCell ref="AO12:AR12"/>
    <mergeCell ref="Y12:AB12"/>
    <mergeCell ref="AB22:AE22"/>
    <mergeCell ref="AF37:AI37"/>
    <mergeCell ref="AF46:AI46"/>
    <mergeCell ref="Z44:AA44"/>
    <mergeCell ref="AL24:AM26"/>
    <mergeCell ref="AB46:AE46"/>
    <mergeCell ref="AS10:AV10"/>
    <mergeCell ref="AJ22:AM22"/>
    <mergeCell ref="AR40:AU40"/>
    <mergeCell ref="AN44:AQ44"/>
    <mergeCell ref="AF40:AI40"/>
    <mergeCell ref="AB43:AE43"/>
    <mergeCell ref="AF43:AI43"/>
    <mergeCell ref="V40:Y40"/>
    <mergeCell ref="Y10:AB10"/>
    <mergeCell ref="AN37:AQ37"/>
    <mergeCell ref="U10:X10"/>
    <mergeCell ref="AN40:AQ40"/>
    <mergeCell ref="V26:Y26"/>
    <mergeCell ref="AB40:AE40"/>
    <mergeCell ref="Z24:AA24"/>
    <mergeCell ref="AB24:AE24"/>
    <mergeCell ref="AB23:AE23"/>
    <mergeCell ref="V38:Y38"/>
    <mergeCell ref="AB65:AE65"/>
    <mergeCell ref="AB64:AE64"/>
    <mergeCell ref="Z40:AA40"/>
    <mergeCell ref="AP51:AQ52"/>
    <mergeCell ref="AR45:AU45"/>
    <mergeCell ref="AJ19:AM19"/>
    <mergeCell ref="V24:Y24"/>
    <mergeCell ref="AK10:AN10"/>
    <mergeCell ref="AG10:AJ10"/>
    <mergeCell ref="AB26:AE26"/>
    <mergeCell ref="Z20:AA20"/>
    <mergeCell ref="V21:Y21"/>
    <mergeCell ref="Z38:AA38"/>
    <mergeCell ref="AG12:AJ12"/>
    <mergeCell ref="AR38:AU38"/>
    <mergeCell ref="V25:Y25"/>
    <mergeCell ref="V20:Y20"/>
    <mergeCell ref="AF42:AI42"/>
    <mergeCell ref="AB39:AE39"/>
    <mergeCell ref="AK12:AN12"/>
    <mergeCell ref="AK6:AL7"/>
    <mergeCell ref="AF89:AI89"/>
    <mergeCell ref="AB88:AE88"/>
    <mergeCell ref="AM6:AO7"/>
    <mergeCell ref="AD6:AJ6"/>
    <mergeCell ref="V6:Z6"/>
    <mergeCell ref="Z61:AA61"/>
    <mergeCell ref="AN73:AQ73"/>
    <mergeCell ref="Q10:T10"/>
    <mergeCell ref="R36:U36"/>
    <mergeCell ref="R23:U23"/>
    <mergeCell ref="R59:U59"/>
    <mergeCell ref="AJ58:AK67"/>
    <mergeCell ref="V60:Y60"/>
    <mergeCell ref="AB61:AE61"/>
    <mergeCell ref="V36:AA36"/>
    <mergeCell ref="AN43:AQ43"/>
    <mergeCell ref="AJ40:AM40"/>
    <mergeCell ref="AJ41:AM41"/>
    <mergeCell ref="AB19:AE19"/>
    <mergeCell ref="AF19:AI23"/>
    <mergeCell ref="R21:U21"/>
    <mergeCell ref="V22:Y22"/>
    <mergeCell ref="Z37:AA37"/>
    <mergeCell ref="N28:AA28"/>
    <mergeCell ref="AJ24:AK26"/>
    <mergeCell ref="AJ21:AM21"/>
    <mergeCell ref="R6:U6"/>
    <mergeCell ref="AP24:AQ26"/>
    <mergeCell ref="AF38:AI38"/>
    <mergeCell ref="V43:Y43"/>
    <mergeCell ref="AB36:AE36"/>
    <mergeCell ref="AF2:AH2"/>
    <mergeCell ref="AK5:AL5"/>
    <mergeCell ref="AF73:AI73"/>
    <mergeCell ref="AR43:AU43"/>
    <mergeCell ref="AR37:AU37"/>
    <mergeCell ref="Z22:AA22"/>
    <mergeCell ref="V39:Y39"/>
    <mergeCell ref="AJ39:AM39"/>
    <mergeCell ref="AN38:AQ38"/>
    <mergeCell ref="AN42:AQ42"/>
    <mergeCell ref="AB38:AE38"/>
    <mergeCell ref="AB48:AE48"/>
    <mergeCell ref="AF48:AI48"/>
    <mergeCell ref="AJ42:AM42"/>
    <mergeCell ref="AR24:AU26"/>
    <mergeCell ref="Z46:AA46"/>
    <mergeCell ref="Z25:AA25"/>
    <mergeCell ref="AI2:AK2"/>
    <mergeCell ref="W2:Y2"/>
    <mergeCell ref="AD5:AJ5"/>
    <mergeCell ref="Z23:AA23"/>
    <mergeCell ref="AN36:AQ36"/>
    <mergeCell ref="AJ23:AM23"/>
    <mergeCell ref="AN39:AQ39"/>
    <mergeCell ref="AJ37:AM37"/>
    <mergeCell ref="AJ38:AM38"/>
    <mergeCell ref="AR46:AU46"/>
    <mergeCell ref="AD7:AJ7"/>
    <mergeCell ref="AC10:AF10"/>
    <mergeCell ref="AC12:AF12"/>
    <mergeCell ref="AB66:AE66"/>
    <mergeCell ref="V5:Z5"/>
    <mergeCell ref="AV77:AZ77"/>
    <mergeCell ref="AB106:AE106"/>
    <mergeCell ref="AN90:AQ90"/>
    <mergeCell ref="AO10:AR10"/>
    <mergeCell ref="R58:U58"/>
    <mergeCell ref="D164:E182"/>
    <mergeCell ref="V66:Y66"/>
    <mergeCell ref="AA166:AC166"/>
    <mergeCell ref="V104:W104"/>
    <mergeCell ref="T97:V97"/>
    <mergeCell ref="T93:W93"/>
    <mergeCell ref="R24:U24"/>
    <mergeCell ref="D57:E57"/>
    <mergeCell ref="R38:U38"/>
    <mergeCell ref="R44:U44"/>
    <mergeCell ref="R41:U41"/>
    <mergeCell ref="R42:U42"/>
    <mergeCell ref="R46:U46"/>
    <mergeCell ref="R40:U40"/>
    <mergeCell ref="R43:U43"/>
    <mergeCell ref="R60:U60"/>
    <mergeCell ref="R51:U51"/>
    <mergeCell ref="V52:Y52"/>
    <mergeCell ref="AB52:AE52"/>
    <mergeCell ref="R47:U47"/>
    <mergeCell ref="AV129:AZ130"/>
    <mergeCell ref="X138:AA138"/>
    <mergeCell ref="AW10:AZ10"/>
    <mergeCell ref="AF44:AI44"/>
    <mergeCell ref="V44:Y44"/>
    <mergeCell ref="Z45:AA45"/>
    <mergeCell ref="AB58:AE58"/>
    <mergeCell ref="AB130:AE130"/>
    <mergeCell ref="Z145:AA145"/>
    <mergeCell ref="X139:AA139"/>
    <mergeCell ref="AJ149:AM150"/>
    <mergeCell ref="AB119:AC119"/>
    <mergeCell ref="AB117:AE117"/>
    <mergeCell ref="AB129:AE129"/>
    <mergeCell ref="AN138:AQ139"/>
    <mergeCell ref="AV117:AZ118"/>
    <mergeCell ref="AV149:AZ150"/>
    <mergeCell ref="AJ117:AM118"/>
    <mergeCell ref="AV170:AZ170"/>
    <mergeCell ref="AK166:AN166"/>
    <mergeCell ref="X129:AA129"/>
    <mergeCell ref="AB139:AE139"/>
    <mergeCell ref="X117:AA117"/>
    <mergeCell ref="AV167:AZ167"/>
    <mergeCell ref="AK169:AN169"/>
    <mergeCell ref="AF167:AJ167"/>
    <mergeCell ref="AB120:AC120"/>
    <mergeCell ref="X118:AA118"/>
    <mergeCell ref="AB140:AE140"/>
    <mergeCell ref="AF140:AI140"/>
    <mergeCell ref="AJ140:AM141"/>
    <mergeCell ref="AN140:AQ141"/>
    <mergeCell ref="AB141:AE141"/>
    <mergeCell ref="AV138:AZ141"/>
    <mergeCell ref="AR138:AT141"/>
    <mergeCell ref="AU138:AU141"/>
    <mergeCell ref="AF166:AJ166"/>
    <mergeCell ref="AS168:AU168"/>
    <mergeCell ref="AN129:AQ130"/>
    <mergeCell ref="AM243:AO243"/>
    <mergeCell ref="AP253:AR253"/>
    <mergeCell ref="AW244:AZ244"/>
    <mergeCell ref="AP256:AR256"/>
    <mergeCell ref="AS230:AV230"/>
    <mergeCell ref="AW229:AZ229"/>
    <mergeCell ref="AW250:AZ250"/>
    <mergeCell ref="AP239:AR239"/>
    <mergeCell ref="AS239:AV239"/>
    <mergeCell ref="AW249:AZ249"/>
    <mergeCell ref="AW240:AZ240"/>
    <mergeCell ref="AW252:AZ252"/>
    <mergeCell ref="AP255:AR255"/>
    <mergeCell ref="AS255:AV255"/>
    <mergeCell ref="AP252:AR252"/>
    <mergeCell ref="AM255:AO255"/>
    <mergeCell ref="AW241:AZ241"/>
    <mergeCell ref="AW235:AZ235"/>
    <mergeCell ref="AP233:AR233"/>
    <mergeCell ref="AS244:AV244"/>
    <mergeCell ref="AM242:AO242"/>
    <mergeCell ref="AW238:AZ238"/>
    <mergeCell ref="AW237:AZ237"/>
    <mergeCell ref="AP243:AR243"/>
    <mergeCell ref="AM250:AO250"/>
    <mergeCell ref="AW232:AZ232"/>
    <mergeCell ref="AS231:AV231"/>
    <mergeCell ref="AS240:AV240"/>
    <mergeCell ref="AM237:AO237"/>
    <mergeCell ref="AP236:AR236"/>
    <mergeCell ref="AS235:AV235"/>
    <mergeCell ref="AS234:AV234"/>
    <mergeCell ref="F214:P214"/>
    <mergeCell ref="Q211:S211"/>
    <mergeCell ref="AG211:AI211"/>
    <mergeCell ref="AA181:AB181"/>
    <mergeCell ref="V178:W178"/>
    <mergeCell ref="V180:W180"/>
    <mergeCell ref="Y192:AA192"/>
    <mergeCell ref="AM223:AO223"/>
    <mergeCell ref="AP230:AR230"/>
    <mergeCell ref="AP232:AR232"/>
    <mergeCell ref="AW230:AZ230"/>
    <mergeCell ref="AP229:AR229"/>
    <mergeCell ref="AC211:AE211"/>
    <mergeCell ref="AC213:AE213"/>
    <mergeCell ref="AG221:AI221"/>
    <mergeCell ref="AJ192:AL192"/>
    <mergeCell ref="AM191:AO191"/>
    <mergeCell ref="Y204:AA204"/>
    <mergeCell ref="Y202:AA202"/>
    <mergeCell ref="Y209:AA209"/>
    <mergeCell ref="AC209:AE209"/>
    <mergeCell ref="AC207:AE207"/>
    <mergeCell ref="AJ200:AL200"/>
    <mergeCell ref="F222:P222"/>
    <mergeCell ref="U198:W198"/>
    <mergeCell ref="AS178:AU178"/>
    <mergeCell ref="AP197:AR197"/>
    <mergeCell ref="AM212:AO212"/>
    <mergeCell ref="U209:W209"/>
    <mergeCell ref="AJ198:AL198"/>
    <mergeCell ref="AC201:AE201"/>
    <mergeCell ref="U199:W199"/>
    <mergeCell ref="AP235:AR235"/>
    <mergeCell ref="AW227:AZ227"/>
    <mergeCell ref="U222:W222"/>
    <mergeCell ref="U223:W223"/>
    <mergeCell ref="AM213:AO213"/>
    <mergeCell ref="AM221:AO221"/>
    <mergeCell ref="AK165:AN165"/>
    <mergeCell ref="AF172:AH172"/>
    <mergeCell ref="AO167:AR167"/>
    <mergeCell ref="AN152:AQ153"/>
    <mergeCell ref="AR152:AT153"/>
    <mergeCell ref="AJ152:AM153"/>
    <mergeCell ref="AS167:AU167"/>
    <mergeCell ref="AK167:AN167"/>
    <mergeCell ref="AO169:AR169"/>
    <mergeCell ref="AO166:AR166"/>
    <mergeCell ref="AF171:AH171"/>
    <mergeCell ref="AG227:AI227"/>
    <mergeCell ref="AW201:AZ201"/>
    <mergeCell ref="U194:W194"/>
    <mergeCell ref="Y195:AA195"/>
    <mergeCell ref="AC195:AE195"/>
    <mergeCell ref="U197:W197"/>
    <mergeCell ref="V181:W181"/>
    <mergeCell ref="AC196:AE196"/>
    <mergeCell ref="AG223:AI223"/>
    <mergeCell ref="AM232:AO232"/>
    <mergeCell ref="AV183:AZ183"/>
    <mergeCell ref="C185:AY185"/>
    <mergeCell ref="AW234:AZ234"/>
    <mergeCell ref="AM230:AO230"/>
    <mergeCell ref="AV169:AZ169"/>
    <mergeCell ref="AV168:AZ168"/>
    <mergeCell ref="T168:U168"/>
    <mergeCell ref="AV176:AZ176"/>
    <mergeCell ref="AS176:AU176"/>
    <mergeCell ref="AS206:AV206"/>
    <mergeCell ref="AS203:AV203"/>
    <mergeCell ref="AS201:AV201"/>
    <mergeCell ref="AW206:AZ206"/>
    <mergeCell ref="AS213:AV213"/>
    <mergeCell ref="AW197:AZ197"/>
    <mergeCell ref="AS229:AV229"/>
    <mergeCell ref="AW228:AZ228"/>
    <mergeCell ref="AW205:AZ205"/>
    <mergeCell ref="AW202:AZ202"/>
    <mergeCell ref="AS202:AV202"/>
    <mergeCell ref="AS208:AV208"/>
    <mergeCell ref="AS195:AV195"/>
    <mergeCell ref="V172:X172"/>
    <mergeCell ref="AP195:AR195"/>
    <mergeCell ref="AC204:AE204"/>
    <mergeCell ref="AC205:AE205"/>
    <mergeCell ref="Y196:AA196"/>
    <mergeCell ref="AJ204:AL204"/>
    <mergeCell ref="AM202:AO202"/>
    <mergeCell ref="U203:W203"/>
    <mergeCell ref="AJ205:AL205"/>
    <mergeCell ref="AG196:AI196"/>
    <mergeCell ref="AM203:AO203"/>
    <mergeCell ref="AV178:AZ178"/>
    <mergeCell ref="AC198:AE198"/>
    <mergeCell ref="AG213:AI213"/>
    <mergeCell ref="AM196:AO196"/>
    <mergeCell ref="AG239:AI239"/>
    <mergeCell ref="AJ239:AL239"/>
    <mergeCell ref="F239:P239"/>
    <mergeCell ref="Q239:S239"/>
    <mergeCell ref="U239:W239"/>
    <mergeCell ref="Y239:AA239"/>
    <mergeCell ref="AC239:AE239"/>
    <mergeCell ref="Q200:S200"/>
    <mergeCell ref="Y210:AA210"/>
    <mergeCell ref="Y193:AA193"/>
    <mergeCell ref="Y241:AA241"/>
    <mergeCell ref="AG240:AI240"/>
    <mergeCell ref="U241:W241"/>
    <mergeCell ref="AJ243:AL243"/>
    <mergeCell ref="F240:P240"/>
    <mergeCell ref="Q241:S241"/>
    <mergeCell ref="F242:P242"/>
    <mergeCell ref="AC240:AE240"/>
    <mergeCell ref="F225:P225"/>
    <mergeCell ref="F224:P224"/>
    <mergeCell ref="F221:P221"/>
    <mergeCell ref="AJ208:AL208"/>
    <mergeCell ref="Q242:S242"/>
    <mergeCell ref="AC243:AE243"/>
    <mergeCell ref="Q240:S240"/>
    <mergeCell ref="F238:P238"/>
    <mergeCell ref="AC231:AE231"/>
    <mergeCell ref="Q238:S238"/>
    <mergeCell ref="U238:W238"/>
    <mergeCell ref="F206:P206"/>
    <mergeCell ref="AJ202:AL202"/>
    <mergeCell ref="U234:W234"/>
    <mergeCell ref="Y237:AA237"/>
    <mergeCell ref="U205:W205"/>
    <mergeCell ref="AG228:AI228"/>
    <mergeCell ref="AG214:AI214"/>
    <mergeCell ref="F230:P230"/>
    <mergeCell ref="F229:P229"/>
    <mergeCell ref="F213:P213"/>
    <mergeCell ref="AA167:AC167"/>
    <mergeCell ref="AA176:AB176"/>
    <mergeCell ref="AJ197:AL197"/>
    <mergeCell ref="Y203:AA203"/>
    <mergeCell ref="F209:P209"/>
    <mergeCell ref="Q209:S209"/>
    <mergeCell ref="Y208:AA208"/>
    <mergeCell ref="AG204:AI204"/>
    <mergeCell ref="F198:P198"/>
    <mergeCell ref="AC206:AE206"/>
    <mergeCell ref="Q191:S191"/>
    <mergeCell ref="U191:W191"/>
    <mergeCell ref="AC191:AE191"/>
    <mergeCell ref="C186:AY186"/>
    <mergeCell ref="B191:D215"/>
    <mergeCell ref="Q193:S193"/>
    <mergeCell ref="F205:P205"/>
    <mergeCell ref="F204:P204"/>
    <mergeCell ref="F203:P203"/>
    <mergeCell ref="F202:P202"/>
    <mergeCell ref="F207:P207"/>
    <mergeCell ref="F211:P211"/>
    <mergeCell ref="Q224:S224"/>
    <mergeCell ref="B221:D244"/>
    <mergeCell ref="U242:W242"/>
    <mergeCell ref="I12:L12"/>
    <mergeCell ref="D72:E72"/>
    <mergeCell ref="C14:J14"/>
    <mergeCell ref="D73:E76"/>
    <mergeCell ref="X89:AA89"/>
    <mergeCell ref="X88:AA88"/>
    <mergeCell ref="Z63:AA63"/>
    <mergeCell ref="R48:U48"/>
    <mergeCell ref="M12:P12"/>
    <mergeCell ref="V19:Y19"/>
    <mergeCell ref="V23:Y23"/>
    <mergeCell ref="R61:U61"/>
    <mergeCell ref="R52:U52"/>
    <mergeCell ref="D19:E49"/>
    <mergeCell ref="D18:E18"/>
    <mergeCell ref="D50:E50"/>
    <mergeCell ref="R37:U37"/>
    <mergeCell ref="Z59:AA59"/>
    <mergeCell ref="Z48:AA48"/>
    <mergeCell ref="F83:Q84"/>
    <mergeCell ref="Q12:T12"/>
    <mergeCell ref="R26:U26"/>
    <mergeCell ref="F36:Q36"/>
    <mergeCell ref="V61:Y61"/>
    <mergeCell ref="B19:C77"/>
    <mergeCell ref="D51:E56"/>
    <mergeCell ref="T88:W88"/>
    <mergeCell ref="V51:Y51"/>
    <mergeCell ref="R19:U19"/>
    <mergeCell ref="R39:U39"/>
    <mergeCell ref="Z60:AA60"/>
    <mergeCell ref="V62:Y62"/>
    <mergeCell ref="B9:D12"/>
    <mergeCell ref="T94:W94"/>
    <mergeCell ref="Z62:AA62"/>
    <mergeCell ref="X93:AA93"/>
    <mergeCell ref="D128:E128"/>
    <mergeCell ref="R64:U64"/>
    <mergeCell ref="L117:O118"/>
    <mergeCell ref="P117:S117"/>
    <mergeCell ref="R108:T108"/>
    <mergeCell ref="H97:J97"/>
    <mergeCell ref="V48:Y48"/>
    <mergeCell ref="V42:Y42"/>
    <mergeCell ref="AB60:AE60"/>
    <mergeCell ref="R20:U20"/>
    <mergeCell ref="R45:U45"/>
    <mergeCell ref="R22:U22"/>
    <mergeCell ref="Z67:AA67"/>
    <mergeCell ref="Z51:AA51"/>
    <mergeCell ref="V99:W99"/>
    <mergeCell ref="V109:Y109"/>
    <mergeCell ref="Z39:AA39"/>
    <mergeCell ref="V58:Y58"/>
    <mergeCell ref="R73:U73"/>
    <mergeCell ref="Z26:AA26"/>
    <mergeCell ref="V73:Y73"/>
    <mergeCell ref="R63:U63"/>
    <mergeCell ref="V63:Y63"/>
    <mergeCell ref="AB42:AE42"/>
    <mergeCell ref="Z66:AA66"/>
    <mergeCell ref="Z64:AA64"/>
    <mergeCell ref="R62:U62"/>
    <mergeCell ref="AB89:AE89"/>
    <mergeCell ref="F149:K150"/>
    <mergeCell ref="AF109:AH109"/>
    <mergeCell ref="AF106:AI106"/>
    <mergeCell ref="AL108:AN108"/>
    <mergeCell ref="G135:I135"/>
    <mergeCell ref="F129:K130"/>
    <mergeCell ref="B128:C158"/>
    <mergeCell ref="AB118:AE118"/>
    <mergeCell ref="AB73:AE73"/>
    <mergeCell ref="Z47:AA47"/>
    <mergeCell ref="Z109:AA109"/>
    <mergeCell ref="AB45:AE45"/>
    <mergeCell ref="AB21:AE21"/>
    <mergeCell ref="Z108:AA108"/>
    <mergeCell ref="X106:AA106"/>
    <mergeCell ref="X90:AA90"/>
    <mergeCell ref="X91:AA91"/>
    <mergeCell ref="X92:AA92"/>
    <mergeCell ref="R25:U25"/>
    <mergeCell ref="L98:O98"/>
    <mergeCell ref="P118:S118"/>
    <mergeCell ref="V108:Y108"/>
    <mergeCell ref="T106:W106"/>
    <mergeCell ref="G28:M28"/>
    <mergeCell ref="D58:E71"/>
    <mergeCell ref="AN117:AQ118"/>
    <mergeCell ref="AF141:AI141"/>
    <mergeCell ref="X121:Y121"/>
    <mergeCell ref="T99:U99"/>
    <mergeCell ref="AJ83:AM84"/>
    <mergeCell ref="V65:Y65"/>
    <mergeCell ref="Z42:AA42"/>
    <mergeCell ref="B2:D2"/>
    <mergeCell ref="F6:Q6"/>
    <mergeCell ref="V37:Y37"/>
    <mergeCell ref="Z52:AA52"/>
    <mergeCell ref="V46:Y46"/>
    <mergeCell ref="AA168:AC168"/>
    <mergeCell ref="Q2:S2"/>
    <mergeCell ref="R66:U66"/>
    <mergeCell ref="R67:U67"/>
    <mergeCell ref="B163:C183"/>
    <mergeCell ref="F176:O178"/>
    <mergeCell ref="P176:S178"/>
    <mergeCell ref="T2:V2"/>
    <mergeCell ref="F164:O170"/>
    <mergeCell ref="AA5:AC5"/>
    <mergeCell ref="F5:Q5"/>
    <mergeCell ref="T141:W141"/>
    <mergeCell ref="N2:P2"/>
    <mergeCell ref="Z2:AB2"/>
    <mergeCell ref="AB59:AE59"/>
    <mergeCell ref="AB63:AE63"/>
    <mergeCell ref="R65:U65"/>
    <mergeCell ref="V64:Y64"/>
    <mergeCell ref="Z58:AA58"/>
    <mergeCell ref="E10:H12"/>
    <mergeCell ref="I10:L10"/>
    <mergeCell ref="K2:M2"/>
    <mergeCell ref="AA173:AC173"/>
    <mergeCell ref="R145:S145"/>
    <mergeCell ref="AA6:AC6"/>
    <mergeCell ref="O135:Q135"/>
    <mergeCell ref="L152:O153"/>
    <mergeCell ref="AC370:AE370"/>
    <mergeCell ref="AP391:AR391"/>
    <mergeCell ref="AP396:AR396"/>
    <mergeCell ref="AP399:AR399"/>
    <mergeCell ref="AP381:AR381"/>
    <mergeCell ref="AJ356:AL356"/>
    <mergeCell ref="AW383:AZ383"/>
    <mergeCell ref="AS366:AV366"/>
    <mergeCell ref="AS363:AV363"/>
    <mergeCell ref="AC371:AE371"/>
    <mergeCell ref="AM387:AO387"/>
    <mergeCell ref="AG375:AI375"/>
    <mergeCell ref="AW393:AZ393"/>
    <mergeCell ref="AC392:AE392"/>
    <mergeCell ref="AM385:AO385"/>
    <mergeCell ref="AG381:AI381"/>
    <mergeCell ref="AG395:AI395"/>
    <mergeCell ref="AM398:AO398"/>
    <mergeCell ref="AP395:AR395"/>
    <mergeCell ref="AM381:AO381"/>
    <mergeCell ref="AM384:AO384"/>
    <mergeCell ref="AP369:AR369"/>
    <mergeCell ref="AM365:AO365"/>
    <mergeCell ref="AG369:AI369"/>
    <mergeCell ref="AC369:AE369"/>
    <mergeCell ref="AC365:AE365"/>
    <mergeCell ref="AP385:AR385"/>
    <mergeCell ref="AP356:AR356"/>
    <mergeCell ref="AP389:AR389"/>
    <mergeCell ref="AP398:AR398"/>
    <mergeCell ref="AP387:AR387"/>
    <mergeCell ref="AW391:AZ391"/>
    <mergeCell ref="L129:O130"/>
    <mergeCell ref="D1:E1"/>
    <mergeCell ref="AP364:AR364"/>
    <mergeCell ref="AS364:AV364"/>
    <mergeCell ref="AC364:AE364"/>
    <mergeCell ref="AG364:AI364"/>
    <mergeCell ref="AJ364:AL364"/>
    <mergeCell ref="AM364:AO364"/>
    <mergeCell ref="F364:P364"/>
    <mergeCell ref="Q364:S364"/>
    <mergeCell ref="H355:P355"/>
    <mergeCell ref="F349:P349"/>
    <mergeCell ref="E350:F356"/>
    <mergeCell ref="F345:P345"/>
    <mergeCell ref="H354:P354"/>
    <mergeCell ref="Q354:S354"/>
    <mergeCell ref="Y353:AA353"/>
    <mergeCell ref="U349:W349"/>
    <mergeCell ref="Q356:S356"/>
    <mergeCell ref="Q345:S345"/>
    <mergeCell ref="Q311:S311"/>
    <mergeCell ref="H353:P353"/>
    <mergeCell ref="Q256:S256"/>
    <mergeCell ref="F346:P346"/>
    <mergeCell ref="AC350:AE350"/>
    <mergeCell ref="Y349:AA349"/>
    <mergeCell ref="Y355:AA355"/>
    <mergeCell ref="Y348:AA348"/>
    <mergeCell ref="U354:W354"/>
    <mergeCell ref="Q352:S352"/>
    <mergeCell ref="AC2:AE2"/>
    <mergeCell ref="AC348:AE348"/>
    <mergeCell ref="AM515:AO515"/>
    <mergeCell ref="R5:U5"/>
    <mergeCell ref="E2:G2"/>
    <mergeCell ref="H2:J2"/>
    <mergeCell ref="AG505:AI505"/>
    <mergeCell ref="AG506:AI506"/>
    <mergeCell ref="AG382:AI382"/>
    <mergeCell ref="AG387:AI387"/>
    <mergeCell ref="AC386:AE386"/>
    <mergeCell ref="Y405:AA405"/>
    <mergeCell ref="AG386:AI386"/>
    <mergeCell ref="AJ412:AL412"/>
    <mergeCell ref="AC401:AE401"/>
    <mergeCell ref="AM395:AO395"/>
    <mergeCell ref="AM378:AO378"/>
    <mergeCell ref="F231:P231"/>
    <mergeCell ref="AM369:AO369"/>
    <mergeCell ref="AM370:AO370"/>
    <mergeCell ref="AM405:AO405"/>
    <mergeCell ref="Y372:AA372"/>
    <mergeCell ref="AM345:AO345"/>
    <mergeCell ref="AJ348:AL348"/>
    <mergeCell ref="AC352:AE352"/>
    <mergeCell ref="AJ352:AL352"/>
    <mergeCell ref="AC363:AE363"/>
    <mergeCell ref="AG355:AI355"/>
    <mergeCell ref="AG353:AI353"/>
    <mergeCell ref="AG403:AI403"/>
    <mergeCell ref="AG402:AI402"/>
    <mergeCell ref="AG354:AI354"/>
    <mergeCell ref="AG383:AI383"/>
    <mergeCell ref="AJ389:AL389"/>
    <mergeCell ref="AC478:AE478"/>
    <mergeCell ref="AJ458:AL458"/>
    <mergeCell ref="AM442:AO442"/>
    <mergeCell ref="Q355:S355"/>
    <mergeCell ref="U344:W344"/>
    <mergeCell ref="H351:P351"/>
    <mergeCell ref="F445:P445"/>
    <mergeCell ref="F467:P467"/>
    <mergeCell ref="Y520:AA520"/>
    <mergeCell ref="AC520:AE520"/>
    <mergeCell ref="AG520:AI520"/>
    <mergeCell ref="Y521:AA521"/>
    <mergeCell ref="AC510:AE510"/>
    <mergeCell ref="AJ374:AL374"/>
    <mergeCell ref="AC450:AE450"/>
    <mergeCell ref="AJ378:AL378"/>
    <mergeCell ref="AG378:AI378"/>
    <mergeCell ref="AG380:AI380"/>
    <mergeCell ref="AJ379:AL379"/>
    <mergeCell ref="AM379:AO379"/>
    <mergeCell ref="AG376:AI376"/>
    <mergeCell ref="AC427:AE427"/>
    <mergeCell ref="AC412:AE412"/>
    <mergeCell ref="Y398:AA398"/>
    <mergeCell ref="Y394:AA394"/>
    <mergeCell ref="Y420:AA420"/>
    <mergeCell ref="Y429:AA429"/>
    <mergeCell ref="AM347:AO347"/>
    <mergeCell ref="AG350:AI350"/>
    <mergeCell ref="AG349:AI349"/>
    <mergeCell ref="AJ370:AL370"/>
    <mergeCell ref="AG371:AI371"/>
    <mergeCell ref="AC500:AE500"/>
    <mergeCell ref="AC497:AE497"/>
    <mergeCell ref="AM478:AO478"/>
    <mergeCell ref="AM479:AO479"/>
    <mergeCell ref="AM495:AO495"/>
    <mergeCell ref="AJ472:AL472"/>
    <mergeCell ref="AJ493:AL493"/>
    <mergeCell ref="AG480:AI480"/>
    <mergeCell ref="AG503:AI503"/>
    <mergeCell ref="AG509:AI509"/>
    <mergeCell ref="AG508:AI508"/>
    <mergeCell ref="AM473:AO473"/>
    <mergeCell ref="AG497:AI497"/>
    <mergeCell ref="AJ508:AL508"/>
    <mergeCell ref="AG445:AI445"/>
    <mergeCell ref="AC437:AE437"/>
    <mergeCell ref="AC442:AE442"/>
    <mergeCell ref="AG504:AI504"/>
    <mergeCell ref="AG454:AI454"/>
    <mergeCell ref="AG475:AI475"/>
    <mergeCell ref="AG476:AI476"/>
    <mergeCell ref="AC456:AE456"/>
    <mergeCell ref="AC458:AE458"/>
    <mergeCell ref="AC457:AE457"/>
    <mergeCell ref="AG469:AI469"/>
    <mergeCell ref="AG455:AI455"/>
    <mergeCell ref="AC454:AE454"/>
    <mergeCell ref="AJ490:AL490"/>
    <mergeCell ref="AJ446:AL446"/>
    <mergeCell ref="AM463:AO463"/>
    <mergeCell ref="AM481:AO481"/>
    <mergeCell ref="AJ479:AL479"/>
    <mergeCell ref="AC464:AE464"/>
    <mergeCell ref="AG464:AI464"/>
    <mergeCell ref="AJ464:AL464"/>
    <mergeCell ref="AM402:AO402"/>
    <mergeCell ref="AM400:AO400"/>
    <mergeCell ref="AJ411:AL411"/>
    <mergeCell ref="AJ475:AL475"/>
    <mergeCell ref="AG461:AI461"/>
    <mergeCell ref="AM468:AO468"/>
    <mergeCell ref="AC419:AE419"/>
    <mergeCell ref="AJ468:AL468"/>
    <mergeCell ref="AJ450:AL450"/>
    <mergeCell ref="AM406:AO406"/>
    <mergeCell ref="AG418:AI418"/>
    <mergeCell ref="AG431:AI431"/>
    <mergeCell ref="AG430:AI430"/>
    <mergeCell ref="AG411:AI411"/>
    <mergeCell ref="AJ428:AL428"/>
    <mergeCell ref="AM417:AO417"/>
    <mergeCell ref="AC455:AE455"/>
    <mergeCell ref="AJ449:AL449"/>
    <mergeCell ref="AG420:AI420"/>
    <mergeCell ref="AJ410:AL410"/>
    <mergeCell ref="AJ430:AL430"/>
    <mergeCell ref="AM436:AO436"/>
    <mergeCell ref="AC413:AE413"/>
    <mergeCell ref="AJ437:AL437"/>
    <mergeCell ref="AC434:AE434"/>
    <mergeCell ref="AM432:AO432"/>
    <mergeCell ref="AM431:AO431"/>
    <mergeCell ref="AC439:AE439"/>
    <mergeCell ref="AM429:AO429"/>
    <mergeCell ref="AS551:AV551"/>
    <mergeCell ref="AM549:AO549"/>
    <mergeCell ref="AJ552:AL552"/>
    <mergeCell ref="AJ554:AL554"/>
    <mergeCell ref="AJ553:AL553"/>
    <mergeCell ref="AP539:AR539"/>
    <mergeCell ref="AM548:AO548"/>
    <mergeCell ref="AJ549:AL549"/>
    <mergeCell ref="AG549:AI549"/>
    <mergeCell ref="AJ548:AL548"/>
    <mergeCell ref="AJ542:AR542"/>
    <mergeCell ref="AS539:AV539"/>
    <mergeCell ref="AG551:AI551"/>
    <mergeCell ref="AC519:AE519"/>
    <mergeCell ref="AC523:AE523"/>
    <mergeCell ref="AC550:AE550"/>
    <mergeCell ref="AC535:AE535"/>
    <mergeCell ref="AS527:AV527"/>
    <mergeCell ref="AS526:AV526"/>
    <mergeCell ref="AG538:AI538"/>
    <mergeCell ref="AG550:AI550"/>
    <mergeCell ref="AG539:AI539"/>
    <mergeCell ref="AS536:AV536"/>
    <mergeCell ref="AS535:AV535"/>
    <mergeCell ref="AM537:AO537"/>
    <mergeCell ref="AP527:AR527"/>
    <mergeCell ref="AM532:AO532"/>
    <mergeCell ref="AJ527:AL527"/>
    <mergeCell ref="AM553:AO553"/>
    <mergeCell ref="AM552:AO552"/>
    <mergeCell ref="AG548:AI548"/>
    <mergeCell ref="AG535:AI535"/>
    <mergeCell ref="AS564:AV564"/>
    <mergeCell ref="AJ562:AL562"/>
    <mergeCell ref="AJ563:AL563"/>
    <mergeCell ref="AS568:AV568"/>
    <mergeCell ref="AJ555:AL555"/>
    <mergeCell ref="AJ529:AL529"/>
    <mergeCell ref="AG532:AI532"/>
    <mergeCell ref="AS540:AV540"/>
    <mergeCell ref="AS542:AV542"/>
    <mergeCell ref="AS550:AV550"/>
    <mergeCell ref="AP559:AR559"/>
    <mergeCell ref="AJ565:AL565"/>
    <mergeCell ref="AP567:AR567"/>
    <mergeCell ref="AP568:AR568"/>
    <mergeCell ref="AC558:AE558"/>
    <mergeCell ref="AJ560:AL560"/>
    <mergeCell ref="AJ566:AL566"/>
    <mergeCell ref="AJ568:AL568"/>
    <mergeCell ref="AM566:AO566"/>
    <mergeCell ref="AG556:AI556"/>
    <mergeCell ref="AC557:AE557"/>
    <mergeCell ref="AS556:AV556"/>
    <mergeCell ref="AP561:AR561"/>
    <mergeCell ref="AS561:AV561"/>
    <mergeCell ref="AJ559:AL559"/>
    <mergeCell ref="AJ558:AL558"/>
    <mergeCell ref="AJ557:AL557"/>
    <mergeCell ref="AS557:AV557"/>
    <mergeCell ref="AS565:AV565"/>
    <mergeCell ref="AM558:AO558"/>
    <mergeCell ref="AJ561:AL561"/>
    <mergeCell ref="AG566:AI566"/>
    <mergeCell ref="AS560:AV560"/>
    <mergeCell ref="AM568:AO568"/>
    <mergeCell ref="AG567:AI567"/>
    <mergeCell ref="AC565:AE565"/>
    <mergeCell ref="AG560:AI560"/>
    <mergeCell ref="AW562:AZ562"/>
    <mergeCell ref="AW563:AZ563"/>
    <mergeCell ref="AW567:AZ567"/>
    <mergeCell ref="AJ556:AL556"/>
    <mergeCell ref="AM555:AO555"/>
    <mergeCell ref="AW569:AZ569"/>
    <mergeCell ref="AM573:AO573"/>
    <mergeCell ref="AM571:AO571"/>
    <mergeCell ref="AM570:AO570"/>
    <mergeCell ref="AM576:AO576"/>
    <mergeCell ref="AW573:AZ573"/>
    <mergeCell ref="AW574:AZ574"/>
    <mergeCell ref="AM569:AO569"/>
    <mergeCell ref="AG569:AI569"/>
    <mergeCell ref="AG563:AI563"/>
    <mergeCell ref="AG564:AI564"/>
    <mergeCell ref="AM562:AO562"/>
    <mergeCell ref="AM557:AO557"/>
    <mergeCell ref="AP569:AR569"/>
    <mergeCell ref="AP571:AR571"/>
    <mergeCell ref="AW571:AZ571"/>
    <mergeCell ref="AJ573:AL573"/>
    <mergeCell ref="AP575:AR575"/>
    <mergeCell ref="AS567:AV567"/>
    <mergeCell ref="AS575:AV575"/>
    <mergeCell ref="AS571:AV571"/>
    <mergeCell ref="AS573:AV573"/>
    <mergeCell ref="AW566:AZ566"/>
    <mergeCell ref="AW565:AZ565"/>
    <mergeCell ref="AP566:AR566"/>
    <mergeCell ref="AM565:AO565"/>
    <mergeCell ref="AJ572:AL572"/>
    <mergeCell ref="AW581:AZ581"/>
    <mergeCell ref="AP573:AR573"/>
    <mergeCell ref="AM579:AO579"/>
    <mergeCell ref="AM580:AO580"/>
    <mergeCell ref="AM581:AO581"/>
    <mergeCell ref="AJ576:AL576"/>
    <mergeCell ref="AP578:AR578"/>
    <mergeCell ref="AW580:AZ580"/>
    <mergeCell ref="AP576:AR576"/>
    <mergeCell ref="AP572:AR572"/>
    <mergeCell ref="AW577:AZ577"/>
    <mergeCell ref="AS572:AV572"/>
    <mergeCell ref="AM567:AO567"/>
    <mergeCell ref="AS566:AV566"/>
    <mergeCell ref="AM574:AO574"/>
    <mergeCell ref="AS570:AV570"/>
    <mergeCell ref="AP565:AR565"/>
    <mergeCell ref="AP577:AR577"/>
    <mergeCell ref="AW575:AZ575"/>
    <mergeCell ref="AJ571:AL571"/>
    <mergeCell ref="AP581:AR581"/>
    <mergeCell ref="AP570:AR570"/>
    <mergeCell ref="AD594:AF594"/>
    <mergeCell ref="AG584:AI584"/>
    <mergeCell ref="AC590:AE590"/>
    <mergeCell ref="AC587:AE587"/>
    <mergeCell ref="Y596:AA596"/>
    <mergeCell ref="AG592:AI592"/>
    <mergeCell ref="AV635:AZ635"/>
    <mergeCell ref="AV637:AZ637"/>
    <mergeCell ref="AQ635:AU635"/>
    <mergeCell ref="AQ637:AU637"/>
    <mergeCell ref="AL635:AP635"/>
    <mergeCell ref="AL637:AP637"/>
    <mergeCell ref="AL636:AP636"/>
    <mergeCell ref="AQ636:AU636"/>
    <mergeCell ref="AV636:AZ636"/>
    <mergeCell ref="AV610:AZ610"/>
    <mergeCell ref="AN617:AQ617"/>
    <mergeCell ref="AP584:AR584"/>
    <mergeCell ref="AW593:AZ593"/>
    <mergeCell ref="AM586:AO586"/>
    <mergeCell ref="AP586:AR586"/>
    <mergeCell ref="AS585:AV585"/>
    <mergeCell ref="AL633:AP633"/>
    <mergeCell ref="AV634:AZ634"/>
    <mergeCell ref="AW572:AZ572"/>
    <mergeCell ref="AQ634:AU634"/>
    <mergeCell ref="AL634:AP634"/>
    <mergeCell ref="AL632:AP632"/>
    <mergeCell ref="AC575:AE575"/>
    <mergeCell ref="AC570:AE570"/>
    <mergeCell ref="AC573:AE573"/>
    <mergeCell ref="AH634:AK634"/>
    <mergeCell ref="AH633:AK633"/>
    <mergeCell ref="AQ633:AU633"/>
    <mergeCell ref="AS626:AW626"/>
    <mergeCell ref="AH637:AK637"/>
    <mergeCell ref="AH635:AK635"/>
    <mergeCell ref="AG559:AI559"/>
    <mergeCell ref="AG575:AI575"/>
    <mergeCell ref="AH636:AK636"/>
    <mergeCell ref="AM564:AO564"/>
    <mergeCell ref="AM583:AO583"/>
    <mergeCell ref="AS579:AV579"/>
    <mergeCell ref="AQ626:AR626"/>
    <mergeCell ref="AP595:AR595"/>
    <mergeCell ref="AV633:AZ633"/>
    <mergeCell ref="AH632:AK632"/>
    <mergeCell ref="AS628:AW628"/>
    <mergeCell ref="AS625:AW625"/>
    <mergeCell ref="AW585:AZ585"/>
    <mergeCell ref="AS590:AV590"/>
    <mergeCell ref="AV616:AZ616"/>
    <mergeCell ref="AM595:AO595"/>
    <mergeCell ref="AJ577:AL577"/>
    <mergeCell ref="AJ583:AL583"/>
    <mergeCell ref="AS584:AV584"/>
    <mergeCell ref="AW568:AZ568"/>
    <mergeCell ref="AP564:AR564"/>
    <mergeCell ref="AS569:AV569"/>
    <mergeCell ref="AG572:AI572"/>
    <mergeCell ref="AS574:AV574"/>
    <mergeCell ref="AP574:AR574"/>
    <mergeCell ref="AS583:AV583"/>
    <mergeCell ref="AM575:AO575"/>
    <mergeCell ref="AJ575:AL575"/>
    <mergeCell ref="AJ588:AL588"/>
    <mergeCell ref="AM584:AO584"/>
    <mergeCell ref="AW589:AZ589"/>
    <mergeCell ref="AS592:AV592"/>
    <mergeCell ref="AJ581:AL581"/>
    <mergeCell ref="AW583:AZ583"/>
    <mergeCell ref="AJ594:AL594"/>
    <mergeCell ref="AM594:AO594"/>
    <mergeCell ref="AW591:AZ591"/>
    <mergeCell ref="AW592:AZ592"/>
    <mergeCell ref="AP582:AR582"/>
    <mergeCell ref="AS580:AV580"/>
    <mergeCell ref="AG582:AI582"/>
    <mergeCell ref="AG576:AI576"/>
    <mergeCell ref="AQ632:AU632"/>
    <mergeCell ref="AG581:AI581"/>
    <mergeCell ref="AM577:AO577"/>
    <mergeCell ref="AM596:AO596"/>
    <mergeCell ref="AJ584:AL584"/>
    <mergeCell ref="AS578:AV578"/>
    <mergeCell ref="AW579:AZ579"/>
    <mergeCell ref="AS582:AV582"/>
    <mergeCell ref="AS594:AV594"/>
    <mergeCell ref="AW594:AZ594"/>
    <mergeCell ref="AS586:AV586"/>
    <mergeCell ref="AP583:AR583"/>
    <mergeCell ref="AW576:AZ576"/>
    <mergeCell ref="AW586:AZ586"/>
    <mergeCell ref="AJ579:AL579"/>
    <mergeCell ref="AS576:AV576"/>
    <mergeCell ref="AG579:AI579"/>
    <mergeCell ref="AS587:AV587"/>
    <mergeCell ref="AG578:AI578"/>
    <mergeCell ref="AG588:AI588"/>
    <mergeCell ref="AP588:AR588"/>
    <mergeCell ref="AP594:AR594"/>
    <mergeCell ref="AS591:AV591"/>
    <mergeCell ref="AW590:AZ590"/>
    <mergeCell ref="AW587:AZ587"/>
    <mergeCell ref="AP591:AR591"/>
    <mergeCell ref="AP585:AR585"/>
    <mergeCell ref="AM588:AO588"/>
    <mergeCell ref="AP587:AR587"/>
    <mergeCell ref="AG585:AI585"/>
    <mergeCell ref="AP580:AR580"/>
    <mergeCell ref="AS577:AV577"/>
    <mergeCell ref="AW584:AZ584"/>
    <mergeCell ref="AW588:AZ588"/>
    <mergeCell ref="AJ582:AL582"/>
    <mergeCell ref="AV632:AZ632"/>
    <mergeCell ref="AQ627:AR627"/>
    <mergeCell ref="AS627:AW627"/>
    <mergeCell ref="AJ592:AL592"/>
    <mergeCell ref="AR617:AU617"/>
    <mergeCell ref="AS601:AV601"/>
    <mergeCell ref="AN616:AQ616"/>
    <mergeCell ref="AW601:AZ601"/>
    <mergeCell ref="AS595:AV595"/>
    <mergeCell ref="AW595:AZ595"/>
    <mergeCell ref="AJ578:AL578"/>
    <mergeCell ref="AS588:AV588"/>
    <mergeCell ref="AW582:AZ582"/>
    <mergeCell ref="AP596:AR596"/>
    <mergeCell ref="AJ595:AL595"/>
    <mergeCell ref="AJ589:AL589"/>
    <mergeCell ref="AM589:AO589"/>
    <mergeCell ref="AP589:AR589"/>
    <mergeCell ref="AW596:AZ596"/>
    <mergeCell ref="AJ616:AM616"/>
    <mergeCell ref="AJ596:AL596"/>
    <mergeCell ref="AV617:AZ617"/>
    <mergeCell ref="AM591:AO591"/>
    <mergeCell ref="AS596:AV596"/>
    <mergeCell ref="AJ587:AL587"/>
    <mergeCell ref="AW578:AZ578"/>
    <mergeCell ref="AR616:AU616"/>
    <mergeCell ref="AM592:AO592"/>
    <mergeCell ref="AP590:AR590"/>
    <mergeCell ref="AP579:AR579"/>
    <mergeCell ref="AV608:AZ608"/>
    <mergeCell ref="AV606:AZ606"/>
    <mergeCell ref="AM550:AO550"/>
    <mergeCell ref="AC551:AE551"/>
    <mergeCell ref="AG557:AI557"/>
    <mergeCell ref="AM536:AO536"/>
    <mergeCell ref="AM534:AO534"/>
    <mergeCell ref="AG537:AI537"/>
    <mergeCell ref="E593:F600"/>
    <mergeCell ref="G598:M598"/>
    <mergeCell ref="N598:P598"/>
    <mergeCell ref="Q598:R598"/>
    <mergeCell ref="G595:P595"/>
    <mergeCell ref="G594:P594"/>
    <mergeCell ref="G597:M597"/>
    <mergeCell ref="N597:P597"/>
    <mergeCell ref="Q597:R597"/>
    <mergeCell ref="Q412:S412"/>
    <mergeCell ref="U597:V597"/>
    <mergeCell ref="F495:P495"/>
    <mergeCell ref="Y560:AA560"/>
    <mergeCell ref="AC560:AE560"/>
    <mergeCell ref="F517:P517"/>
    <mergeCell ref="F520:P520"/>
    <mergeCell ref="AJ521:AL521"/>
    <mergeCell ref="AC569:AE569"/>
    <mergeCell ref="AG467:AI467"/>
    <mergeCell ref="AJ467:AL467"/>
    <mergeCell ref="AG555:AI555"/>
    <mergeCell ref="AC563:AE563"/>
    <mergeCell ref="AC555:AE555"/>
    <mergeCell ref="AG554:AI554"/>
    <mergeCell ref="AJ537:AL537"/>
    <mergeCell ref="AC480:AE480"/>
    <mergeCell ref="AM529:AO529"/>
    <mergeCell ref="AG561:AI561"/>
    <mergeCell ref="AJ525:AL525"/>
    <mergeCell ref="AM525:AO525"/>
    <mergeCell ref="AP525:AR525"/>
    <mergeCell ref="AG519:AI519"/>
    <mergeCell ref="AG516:AI516"/>
    <mergeCell ref="AC522:AE522"/>
    <mergeCell ref="AG526:AI526"/>
    <mergeCell ref="AG525:AI525"/>
    <mergeCell ref="AM517:AO517"/>
    <mergeCell ref="AP560:AR560"/>
    <mergeCell ref="AM554:AO554"/>
    <mergeCell ref="AM520:AO520"/>
    <mergeCell ref="AG522:AI522"/>
    <mergeCell ref="AC568:AE568"/>
    <mergeCell ref="Y563:AA563"/>
    <mergeCell ref="Y568:AA568"/>
    <mergeCell ref="AG568:AI568"/>
    <mergeCell ref="Y552:AA552"/>
    <mergeCell ref="AC554:AE554"/>
    <mergeCell ref="AP551:AR551"/>
    <mergeCell ref="AM551:AO551"/>
    <mergeCell ref="AM540:AO540"/>
    <mergeCell ref="AP537:AR537"/>
    <mergeCell ref="AJ540:AL540"/>
    <mergeCell ref="AG534:AI534"/>
    <mergeCell ref="AJ539:AL539"/>
    <mergeCell ref="AG540:AI540"/>
    <mergeCell ref="AJ551:AL551"/>
    <mergeCell ref="AG536:AI536"/>
    <mergeCell ref="AG565:AI565"/>
    <mergeCell ref="Q455:S455"/>
    <mergeCell ref="AJ397:AL397"/>
    <mergeCell ref="F407:P407"/>
    <mergeCell ref="Q407:S407"/>
    <mergeCell ref="U407:W407"/>
    <mergeCell ref="Y407:AA407"/>
    <mergeCell ref="AC528:AE528"/>
    <mergeCell ref="Q522:S522"/>
    <mergeCell ref="Q518:S518"/>
    <mergeCell ref="F525:P525"/>
    <mergeCell ref="AJ382:AL382"/>
    <mergeCell ref="AC389:AE389"/>
    <mergeCell ref="AG398:AI398"/>
    <mergeCell ref="AC397:AE397"/>
    <mergeCell ref="AG410:AI410"/>
    <mergeCell ref="AC416:AE416"/>
    <mergeCell ref="Y526:AA526"/>
    <mergeCell ref="Y468:AA468"/>
    <mergeCell ref="AC468:AE468"/>
    <mergeCell ref="AG468:AI468"/>
    <mergeCell ref="AG458:AI458"/>
    <mergeCell ref="Y516:AA516"/>
    <mergeCell ref="Y513:AA513"/>
    <mergeCell ref="Y453:AA453"/>
    <mergeCell ref="AC495:AE495"/>
    <mergeCell ref="AG472:AI472"/>
    <mergeCell ref="Y514:AA514"/>
    <mergeCell ref="Y518:AA518"/>
    <mergeCell ref="Y509:AA509"/>
    <mergeCell ref="Y508:AA508"/>
    <mergeCell ref="Y504:AA504"/>
    <mergeCell ref="Y500:AA500"/>
    <mergeCell ref="AJ403:AL403"/>
    <mergeCell ref="AJ569:AL569"/>
    <mergeCell ref="AG558:AI558"/>
    <mergeCell ref="Y566:AA566"/>
    <mergeCell ref="AC562:AE562"/>
    <mergeCell ref="AC567:AE567"/>
    <mergeCell ref="AC538:AE538"/>
    <mergeCell ref="AG443:AI443"/>
    <mergeCell ref="AC449:AE449"/>
    <mergeCell ref="AG460:AI460"/>
    <mergeCell ref="AJ384:AL384"/>
    <mergeCell ref="AC548:AE548"/>
    <mergeCell ref="AJ534:AL534"/>
    <mergeCell ref="AG531:AI531"/>
    <mergeCell ref="AJ522:AL522"/>
    <mergeCell ref="AJ515:AL515"/>
    <mergeCell ref="U481:W481"/>
    <mergeCell ref="AJ533:AL533"/>
    <mergeCell ref="Y549:AA549"/>
    <mergeCell ref="Y477:AA477"/>
    <mergeCell ref="AC467:AE467"/>
    <mergeCell ref="AC536:AE536"/>
    <mergeCell ref="AJ385:AL385"/>
    <mergeCell ref="AJ567:AL567"/>
    <mergeCell ref="AG533:AI533"/>
    <mergeCell ref="AJ535:AL535"/>
    <mergeCell ref="AC515:AE515"/>
    <mergeCell ref="AC441:AE441"/>
    <mergeCell ref="Y443:AA443"/>
    <mergeCell ref="AJ404:AL404"/>
    <mergeCell ref="AC481:AE481"/>
    <mergeCell ref="AC489:AE489"/>
    <mergeCell ref="Y441:AA441"/>
    <mergeCell ref="U462:W462"/>
    <mergeCell ref="F581:P581"/>
    <mergeCell ref="U394:W394"/>
    <mergeCell ref="AC354:AE354"/>
    <mergeCell ref="AC355:AE355"/>
    <mergeCell ref="AC533:AE533"/>
    <mergeCell ref="Y524:AA524"/>
    <mergeCell ref="AC532:AE532"/>
    <mergeCell ref="F498:P498"/>
    <mergeCell ref="F499:P499"/>
    <mergeCell ref="F497:P497"/>
    <mergeCell ref="Q499:S499"/>
    <mergeCell ref="Y499:AA499"/>
    <mergeCell ref="Y490:AA490"/>
    <mergeCell ref="Y489:AA489"/>
    <mergeCell ref="AC461:AE461"/>
    <mergeCell ref="Y470:AA470"/>
    <mergeCell ref="AC472:AE472"/>
    <mergeCell ref="AC452:AE452"/>
    <mergeCell ref="AC448:AE448"/>
    <mergeCell ref="Q519:S519"/>
    <mergeCell ref="AC431:AE431"/>
    <mergeCell ref="U506:W506"/>
    <mergeCell ref="U503:W503"/>
    <mergeCell ref="Y505:AA505"/>
    <mergeCell ref="Y354:AA354"/>
    <mergeCell ref="F494:P494"/>
    <mergeCell ref="F474:P474"/>
    <mergeCell ref="U363:W363"/>
    <mergeCell ref="Y374:AA374"/>
    <mergeCell ref="AC379:AE379"/>
    <mergeCell ref="Q517:S517"/>
    <mergeCell ref="U342:W342"/>
    <mergeCell ref="AC344:AE344"/>
    <mergeCell ref="Q347:S347"/>
    <mergeCell ref="Q405:S405"/>
    <mergeCell ref="Q406:S406"/>
    <mergeCell ref="Q349:S349"/>
    <mergeCell ref="U356:W356"/>
    <mergeCell ref="Y356:AA356"/>
    <mergeCell ref="AC349:AE349"/>
    <mergeCell ref="F333:P333"/>
    <mergeCell ref="F337:P337"/>
    <mergeCell ref="Y352:AA352"/>
    <mergeCell ref="F339:P339"/>
    <mergeCell ref="F343:P343"/>
    <mergeCell ref="Q333:S333"/>
    <mergeCell ref="U339:W339"/>
    <mergeCell ref="AC335:AE335"/>
    <mergeCell ref="AC339:AE339"/>
    <mergeCell ref="U336:W336"/>
    <mergeCell ref="Q350:S350"/>
    <mergeCell ref="Y346:AA346"/>
    <mergeCell ref="AC340:AE340"/>
    <mergeCell ref="U333:W333"/>
    <mergeCell ref="Y350:AA350"/>
    <mergeCell ref="U350:W350"/>
    <mergeCell ref="Q337:S337"/>
    <mergeCell ref="Q351:S351"/>
    <mergeCell ref="Y335:AA335"/>
    <mergeCell ref="U337:W337"/>
    <mergeCell ref="Q348:S348"/>
    <mergeCell ref="H352:P352"/>
    <mergeCell ref="F313:P313"/>
    <mergeCell ref="U287:W287"/>
    <mergeCell ref="Y327:AA327"/>
    <mergeCell ref="U328:W328"/>
    <mergeCell ref="F348:P348"/>
    <mergeCell ref="Y351:AA351"/>
    <mergeCell ref="U345:W345"/>
    <mergeCell ref="H350:P350"/>
    <mergeCell ref="AC290:AE290"/>
    <mergeCell ref="U348:W348"/>
    <mergeCell ref="U351:W351"/>
    <mergeCell ref="F347:P347"/>
    <mergeCell ref="AC285:AE285"/>
    <mergeCell ref="U285:W285"/>
    <mergeCell ref="U288:W288"/>
    <mergeCell ref="Q320:S320"/>
    <mergeCell ref="Q330:S330"/>
    <mergeCell ref="Y332:AA332"/>
    <mergeCell ref="U346:W346"/>
    <mergeCell ref="U334:W334"/>
    <mergeCell ref="AC338:AE338"/>
    <mergeCell ref="U340:W340"/>
    <mergeCell ref="Y343:AA343"/>
    <mergeCell ref="AC347:AE347"/>
    <mergeCell ref="AC343:AE343"/>
    <mergeCell ref="AC341:AE341"/>
    <mergeCell ref="Q346:S346"/>
    <mergeCell ref="Q324:S324"/>
    <mergeCell ref="F311:P311"/>
    <mergeCell ref="Q315:S315"/>
    <mergeCell ref="Q321:S321"/>
    <mergeCell ref="Q319:S319"/>
    <mergeCell ref="F268:P268"/>
    <mergeCell ref="Q301:S301"/>
    <mergeCell ref="F296:P296"/>
    <mergeCell ref="F270:P270"/>
    <mergeCell ref="F295:P295"/>
    <mergeCell ref="F330:P330"/>
    <mergeCell ref="AG315:AI315"/>
    <mergeCell ref="Q292:S292"/>
    <mergeCell ref="Q294:S294"/>
    <mergeCell ref="AC324:AE324"/>
    <mergeCell ref="AG321:AI321"/>
    <mergeCell ref="AG331:AI331"/>
    <mergeCell ref="AG283:AI283"/>
    <mergeCell ref="Q284:S284"/>
    <mergeCell ref="AJ287:AL287"/>
    <mergeCell ref="F317:P317"/>
    <mergeCell ref="Q314:S314"/>
    <mergeCell ref="F316:P316"/>
    <mergeCell ref="Q310:S310"/>
    <mergeCell ref="AJ279:AL279"/>
    <mergeCell ref="Q280:S280"/>
    <mergeCell ref="AG270:AI270"/>
    <mergeCell ref="Y281:AA281"/>
    <mergeCell ref="AG325:AI325"/>
    <mergeCell ref="U327:W327"/>
    <mergeCell ref="U329:W329"/>
    <mergeCell ref="AJ301:AL301"/>
    <mergeCell ref="AG318:AI318"/>
    <mergeCell ref="AC288:AE288"/>
    <mergeCell ref="Y290:AA290"/>
    <mergeCell ref="Y285:AA285"/>
    <mergeCell ref="Y286:AA286"/>
    <mergeCell ref="F344:P344"/>
    <mergeCell ref="Q343:S343"/>
    <mergeCell ref="F342:P342"/>
    <mergeCell ref="U343:W343"/>
    <mergeCell ref="Q341:S341"/>
    <mergeCell ref="AG339:AI339"/>
    <mergeCell ref="U347:W347"/>
    <mergeCell ref="AG345:AI345"/>
    <mergeCell ref="Y342:AA342"/>
    <mergeCell ref="AJ345:AL345"/>
    <mergeCell ref="F338:P338"/>
    <mergeCell ref="F335:P335"/>
    <mergeCell ref="F336:P336"/>
    <mergeCell ref="Q339:S339"/>
    <mergeCell ref="F332:P332"/>
    <mergeCell ref="F340:P340"/>
    <mergeCell ref="U341:W341"/>
    <mergeCell ref="Y337:AA337"/>
    <mergeCell ref="AG337:AI337"/>
    <mergeCell ref="Q338:S338"/>
    <mergeCell ref="F334:P334"/>
    <mergeCell ref="AC336:AE336"/>
    <mergeCell ref="Y336:AA336"/>
    <mergeCell ref="AG335:AI335"/>
    <mergeCell ref="U335:W335"/>
    <mergeCell ref="Q332:S332"/>
    <mergeCell ref="Q334:S334"/>
    <mergeCell ref="Q335:S335"/>
    <mergeCell ref="Y345:AA345"/>
    <mergeCell ref="Y340:AA340"/>
    <mergeCell ref="AJ341:AL341"/>
    <mergeCell ref="AJ347:AL347"/>
    <mergeCell ref="F251:P251"/>
    <mergeCell ref="F257:P257"/>
    <mergeCell ref="AC329:AE329"/>
    <mergeCell ref="AC272:AE272"/>
    <mergeCell ref="AG263:AI263"/>
    <mergeCell ref="U317:W317"/>
    <mergeCell ref="Q252:S252"/>
    <mergeCell ref="AC269:AE269"/>
    <mergeCell ref="AC257:AE257"/>
    <mergeCell ref="Q268:S268"/>
    <mergeCell ref="Y258:AA258"/>
    <mergeCell ref="F262:P262"/>
    <mergeCell ref="Q255:S255"/>
    <mergeCell ref="Y256:AA256"/>
    <mergeCell ref="U264:W264"/>
    <mergeCell ref="Y264:AA264"/>
    <mergeCell ref="Q285:S285"/>
    <mergeCell ref="Q288:S288"/>
    <mergeCell ref="U319:W319"/>
    <mergeCell ref="F326:P326"/>
    <mergeCell ref="AG265:AI265"/>
    <mergeCell ref="AG267:AI267"/>
    <mergeCell ref="Y262:AA262"/>
    <mergeCell ref="AG268:AI268"/>
    <mergeCell ref="Q254:S254"/>
    <mergeCell ref="Q264:S264"/>
    <mergeCell ref="Y259:AA259"/>
    <mergeCell ref="F254:P254"/>
    <mergeCell ref="AC251:AE251"/>
    <mergeCell ref="U318:W318"/>
    <mergeCell ref="U310:W310"/>
    <mergeCell ref="Q317:S317"/>
    <mergeCell ref="AG250:AI250"/>
    <mergeCell ref="AG241:AI241"/>
    <mergeCell ref="AJ250:AL250"/>
    <mergeCell ref="Y242:AA242"/>
    <mergeCell ref="AC241:AE241"/>
    <mergeCell ref="AG242:AI242"/>
    <mergeCell ref="U252:W252"/>
    <mergeCell ref="Y251:AA251"/>
    <mergeCell ref="AG253:AI253"/>
    <mergeCell ref="AJ256:AL256"/>
    <mergeCell ref="Y250:AA250"/>
    <mergeCell ref="U253:W253"/>
    <mergeCell ref="AC252:AE252"/>
    <mergeCell ref="U332:W332"/>
    <mergeCell ref="AJ242:AL242"/>
    <mergeCell ref="AJ263:AL263"/>
    <mergeCell ref="AJ280:AL280"/>
    <mergeCell ref="U321:W321"/>
    <mergeCell ref="Y261:AA261"/>
    <mergeCell ref="AJ267:AL267"/>
    <mergeCell ref="AC286:AE286"/>
    <mergeCell ref="Y318:AA318"/>
    <mergeCell ref="AC318:AE318"/>
    <mergeCell ref="U316:W316"/>
    <mergeCell ref="U331:W331"/>
    <mergeCell ref="AC271:AE271"/>
    <mergeCell ref="AC270:AE270"/>
    <mergeCell ref="AJ282:AL282"/>
    <mergeCell ref="AC264:AE264"/>
    <mergeCell ref="AC268:AE268"/>
    <mergeCell ref="AJ266:AL266"/>
    <mergeCell ref="AC253:AE253"/>
    <mergeCell ref="Q316:S316"/>
    <mergeCell ref="U314:W314"/>
    <mergeCell ref="AG316:AI316"/>
    <mergeCell ref="Q313:S313"/>
    <mergeCell ref="U279:W279"/>
    <mergeCell ref="AG269:AI269"/>
    <mergeCell ref="Q328:S328"/>
    <mergeCell ref="Q325:S325"/>
    <mergeCell ref="Y282:AA282"/>
    <mergeCell ref="AC320:AE320"/>
    <mergeCell ref="Y326:AA326"/>
    <mergeCell ref="U261:W261"/>
    <mergeCell ref="AJ273:AR273"/>
    <mergeCell ref="AJ330:AL330"/>
    <mergeCell ref="AJ322:AL322"/>
    <mergeCell ref="AG328:AI328"/>
    <mergeCell ref="AG323:AI323"/>
    <mergeCell ref="AG314:AI314"/>
    <mergeCell ref="AC323:AE323"/>
    <mergeCell ref="U303:W303"/>
    <mergeCell ref="Y302:AA302"/>
    <mergeCell ref="U300:W300"/>
    <mergeCell ref="Y299:AA299"/>
    <mergeCell ref="AC302:AE302"/>
    <mergeCell ref="AC279:AE279"/>
    <mergeCell ref="U281:W281"/>
    <mergeCell ref="Q322:S322"/>
    <mergeCell ref="AC330:AE330"/>
    <mergeCell ref="Y329:AA329"/>
    <mergeCell ref="Q269:S269"/>
    <mergeCell ref="AM280:AO280"/>
    <mergeCell ref="AP263:AR263"/>
    <mergeCell ref="F319:P319"/>
    <mergeCell ref="F318:P318"/>
    <mergeCell ref="Q340:S340"/>
    <mergeCell ref="Q331:S331"/>
    <mergeCell ref="Q297:S297"/>
    <mergeCell ref="Q298:S298"/>
    <mergeCell ref="Q300:S300"/>
    <mergeCell ref="AM254:AO254"/>
    <mergeCell ref="U330:W330"/>
    <mergeCell ref="AC334:AE334"/>
    <mergeCell ref="AC261:AE261"/>
    <mergeCell ref="Y323:AA323"/>
    <mergeCell ref="Y338:AA338"/>
    <mergeCell ref="Q260:S260"/>
    <mergeCell ref="Q262:S262"/>
    <mergeCell ref="F324:P324"/>
    <mergeCell ref="F328:P328"/>
    <mergeCell ref="F327:P327"/>
    <mergeCell ref="Q326:S326"/>
    <mergeCell ref="Q327:S327"/>
    <mergeCell ref="F312:P312"/>
    <mergeCell ref="F321:P321"/>
    <mergeCell ref="F322:P322"/>
    <mergeCell ref="F323:P323"/>
    <mergeCell ref="F320:P320"/>
    <mergeCell ref="AG333:AI333"/>
    <mergeCell ref="U254:W254"/>
    <mergeCell ref="AC292:AE292"/>
    <mergeCell ref="Y331:AA331"/>
    <mergeCell ref="AC333:AE333"/>
    <mergeCell ref="AC337:AE337"/>
    <mergeCell ref="Q336:S336"/>
    <mergeCell ref="AO164:AR164"/>
    <mergeCell ref="T165:U165"/>
    <mergeCell ref="AF170:AJ170"/>
    <mergeCell ref="AO176:AR176"/>
    <mergeCell ref="AJ207:AL207"/>
    <mergeCell ref="U201:W201"/>
    <mergeCell ref="AC212:AE212"/>
    <mergeCell ref="F195:P195"/>
    <mergeCell ref="AC202:AE202"/>
    <mergeCell ref="V179:W179"/>
    <mergeCell ref="Q197:S197"/>
    <mergeCell ref="Q199:S199"/>
    <mergeCell ref="AM205:AO205"/>
    <mergeCell ref="Y191:AA191"/>
    <mergeCell ref="AA177:AB177"/>
    <mergeCell ref="AK178:AN178"/>
    <mergeCell ref="AO177:AR177"/>
    <mergeCell ref="AM209:AO209"/>
    <mergeCell ref="AP209:AR209"/>
    <mergeCell ref="AP200:AR200"/>
    <mergeCell ref="V164:X164"/>
    <mergeCell ref="V166:X166"/>
    <mergeCell ref="T166:U166"/>
    <mergeCell ref="T176:U176"/>
    <mergeCell ref="AP206:AR206"/>
    <mergeCell ref="F208:P208"/>
    <mergeCell ref="AO178:AR178"/>
    <mergeCell ref="AG212:AI212"/>
    <mergeCell ref="AP191:AR191"/>
    <mergeCell ref="F212:P212"/>
    <mergeCell ref="AC193:AE193"/>
    <mergeCell ref="AA178:AB178"/>
    <mergeCell ref="AG192:AI192"/>
    <mergeCell ref="AW193:AZ193"/>
    <mergeCell ref="U192:W192"/>
    <mergeCell ref="AC192:AE192"/>
    <mergeCell ref="AC194:AE194"/>
    <mergeCell ref="AM199:AO199"/>
    <mergeCell ref="AG200:AI200"/>
    <mergeCell ref="AG197:AI197"/>
    <mergeCell ref="AM197:AO197"/>
    <mergeCell ref="AG199:AI199"/>
    <mergeCell ref="T178:U178"/>
    <mergeCell ref="AS197:AV197"/>
    <mergeCell ref="U202:W202"/>
    <mergeCell ref="AS198:AV198"/>
    <mergeCell ref="AS196:AV196"/>
    <mergeCell ref="AP193:AR193"/>
    <mergeCell ref="AP192:AR192"/>
    <mergeCell ref="AW199:AZ199"/>
    <mergeCell ref="AW195:AZ195"/>
    <mergeCell ref="AJ191:AL191"/>
    <mergeCell ref="AW196:AZ196"/>
    <mergeCell ref="AJ201:AL201"/>
    <mergeCell ref="AM198:AO198"/>
    <mergeCell ref="AS177:AU177"/>
    <mergeCell ref="V171:X171"/>
    <mergeCell ref="F194:P194"/>
    <mergeCell ref="AV177:AZ177"/>
    <mergeCell ref="AP202:AR202"/>
    <mergeCell ref="AS191:AV191"/>
    <mergeCell ref="T177:U177"/>
    <mergeCell ref="AO170:AR170"/>
    <mergeCell ref="F200:P200"/>
    <mergeCell ref="V165:X165"/>
    <mergeCell ref="AK170:AN170"/>
    <mergeCell ref="F193:P193"/>
    <mergeCell ref="Q194:S194"/>
    <mergeCell ref="Y205:AA205"/>
    <mergeCell ref="AS194:AV194"/>
    <mergeCell ref="AW191:AZ191"/>
    <mergeCell ref="AG191:AI191"/>
    <mergeCell ref="AJ194:AL194"/>
    <mergeCell ref="AM195:AO195"/>
    <mergeCell ref="AJ199:AL199"/>
    <mergeCell ref="Y197:AA197"/>
    <mergeCell ref="U195:W195"/>
    <mergeCell ref="Q198:S198"/>
    <mergeCell ref="U200:W200"/>
    <mergeCell ref="Q201:S201"/>
    <mergeCell ref="AP201:AR201"/>
    <mergeCell ref="AG194:AI194"/>
    <mergeCell ref="U193:W193"/>
    <mergeCell ref="AW190:AZ190"/>
    <mergeCell ref="F192:P192"/>
    <mergeCell ref="AK168:AN168"/>
    <mergeCell ref="AM200:AO200"/>
    <mergeCell ref="AS169:AU169"/>
    <mergeCell ref="AG224:AI224"/>
    <mergeCell ref="AG222:AI222"/>
    <mergeCell ref="AJ223:AL223"/>
    <mergeCell ref="Y201:AA201"/>
    <mergeCell ref="AJ206:AL206"/>
    <mergeCell ref="AP211:AR211"/>
    <mergeCell ref="U210:W210"/>
    <mergeCell ref="AM222:AO222"/>
    <mergeCell ref="Y223:AA223"/>
    <mergeCell ref="Y221:AA221"/>
    <mergeCell ref="Q214:S214"/>
    <mergeCell ref="AG208:AI208"/>
    <mergeCell ref="U208:W208"/>
    <mergeCell ref="AC222:AE222"/>
    <mergeCell ref="U211:W211"/>
    <mergeCell ref="AP198:AR198"/>
    <mergeCell ref="Q223:S223"/>
    <mergeCell ref="Q212:S212"/>
    <mergeCell ref="AG201:AI201"/>
    <mergeCell ref="AJ215:AR215"/>
    <mergeCell ref="Y212:AA212"/>
    <mergeCell ref="U204:W204"/>
    <mergeCell ref="AG198:AI198"/>
    <mergeCell ref="Q202:S202"/>
    <mergeCell ref="Q203:S203"/>
    <mergeCell ref="AP213:AR213"/>
    <mergeCell ref="Q204:S204"/>
    <mergeCell ref="AG195:AI195"/>
    <mergeCell ref="AS207:AV207"/>
    <mergeCell ref="AP199:AR199"/>
    <mergeCell ref="AS212:AV212"/>
    <mergeCell ref="AS227:AV227"/>
    <mergeCell ref="AS215:AV215"/>
    <mergeCell ref="U221:W221"/>
    <mergeCell ref="AG209:AI209"/>
    <mergeCell ref="AJ209:AL209"/>
    <mergeCell ref="Q222:S222"/>
    <mergeCell ref="Q210:S210"/>
    <mergeCell ref="Q207:S207"/>
    <mergeCell ref="U214:W214"/>
    <mergeCell ref="AC214:AE214"/>
    <mergeCell ref="AW224:AZ224"/>
    <mergeCell ref="AP222:AR222"/>
    <mergeCell ref="AW223:AZ223"/>
    <mergeCell ref="AS223:AV223"/>
    <mergeCell ref="AM206:AO206"/>
    <mergeCell ref="AW215:AZ215"/>
    <mergeCell ref="AS226:AV226"/>
    <mergeCell ref="U224:W224"/>
    <mergeCell ref="Y224:AA224"/>
    <mergeCell ref="AP225:AR225"/>
    <mergeCell ref="Y206:AA206"/>
    <mergeCell ref="Y213:AA213"/>
    <mergeCell ref="AJ211:AL211"/>
    <mergeCell ref="AM211:AO211"/>
    <mergeCell ref="AP210:AR210"/>
    <mergeCell ref="AG226:AI226"/>
    <mergeCell ref="Q225:S225"/>
    <mergeCell ref="Y214:AA214"/>
    <mergeCell ref="AW207:AZ207"/>
    <mergeCell ref="AW214:AZ214"/>
    <mergeCell ref="AS211:AV211"/>
    <mergeCell ref="AJ213:AL213"/>
    <mergeCell ref="AW225:AZ225"/>
    <mergeCell ref="AW220:AZ220"/>
    <mergeCell ref="AC200:AE200"/>
    <mergeCell ref="AM235:AO235"/>
    <mergeCell ref="Y225:AA225"/>
    <mergeCell ref="Y222:AA222"/>
    <mergeCell ref="Y211:AA211"/>
    <mergeCell ref="U212:W212"/>
    <mergeCell ref="U213:W213"/>
    <mergeCell ref="AG203:AI203"/>
    <mergeCell ref="AS222:AV222"/>
    <mergeCell ref="AM231:AO231"/>
    <mergeCell ref="AM227:AO227"/>
    <mergeCell ref="AJ230:AL230"/>
    <mergeCell ref="AJ235:AL235"/>
    <mergeCell ref="AS224:AV224"/>
    <mergeCell ref="AC228:AE228"/>
    <mergeCell ref="AC221:AE221"/>
    <mergeCell ref="AJ222:AL222"/>
    <mergeCell ref="AW226:AZ226"/>
    <mergeCell ref="AG233:AI233"/>
    <mergeCell ref="AC224:AE224"/>
    <mergeCell ref="AM224:AO224"/>
    <mergeCell ref="AS232:AV232"/>
    <mergeCell ref="AP224:AR224"/>
    <mergeCell ref="AP226:AR226"/>
    <mergeCell ref="AP208:AR208"/>
    <mergeCell ref="AP204:AR204"/>
    <mergeCell ref="AW211:AZ211"/>
    <mergeCell ref="AW209:AZ209"/>
    <mergeCell ref="AW208:AZ208"/>
    <mergeCell ref="AM210:AO210"/>
    <mergeCell ref="AW221:AZ221"/>
    <mergeCell ref="AS199:AV199"/>
    <mergeCell ref="AP223:AR223"/>
    <mergeCell ref="AP221:AR221"/>
    <mergeCell ref="AW222:AZ222"/>
    <mergeCell ref="AW204:AZ204"/>
    <mergeCell ref="AS209:AV209"/>
    <mergeCell ref="AP203:AR203"/>
    <mergeCell ref="AM204:AO204"/>
    <mergeCell ref="AW203:AZ203"/>
    <mergeCell ref="AP207:AR207"/>
    <mergeCell ref="AM207:AO207"/>
    <mergeCell ref="AP205:AR205"/>
    <mergeCell ref="AM208:AO208"/>
    <mergeCell ref="AW212:AZ212"/>
    <mergeCell ref="AS204:AV204"/>
    <mergeCell ref="AS200:AV200"/>
    <mergeCell ref="AW213:AZ213"/>
    <mergeCell ref="AJ367:AL367"/>
    <mergeCell ref="AP370:AR370"/>
    <mergeCell ref="AS352:AV352"/>
    <mergeCell ref="AS347:AV347"/>
    <mergeCell ref="AG257:AI257"/>
    <mergeCell ref="AG259:AI259"/>
    <mergeCell ref="AJ258:AL258"/>
    <mergeCell ref="AM343:AO343"/>
    <mergeCell ref="AW262:AZ262"/>
    <mergeCell ref="AM262:AO262"/>
    <mergeCell ref="AM267:AO267"/>
    <mergeCell ref="AW265:AZ265"/>
    <mergeCell ref="AS267:AV267"/>
    <mergeCell ref="AP264:AR264"/>
    <mergeCell ref="AS263:AV263"/>
    <mergeCell ref="AM265:AO265"/>
    <mergeCell ref="AS262:AV262"/>
    <mergeCell ref="AS261:AV261"/>
    <mergeCell ref="AP265:AR265"/>
    <mergeCell ref="AM279:AO279"/>
    <mergeCell ref="AP267:AR267"/>
    <mergeCell ref="AJ336:AL336"/>
    <mergeCell ref="AJ291:AL291"/>
    <mergeCell ref="AP281:AR281"/>
    <mergeCell ref="AJ261:AL261"/>
    <mergeCell ref="AP270:AR270"/>
    <mergeCell ref="AJ270:AL270"/>
    <mergeCell ref="AM264:AO264"/>
    <mergeCell ref="AM268:AO268"/>
    <mergeCell ref="AJ269:AL269"/>
    <mergeCell ref="AM368:AO368"/>
    <mergeCell ref="AM350:AO350"/>
    <mergeCell ref="AC353:AE353"/>
    <mergeCell ref="AM354:AO354"/>
    <mergeCell ref="AJ354:AL354"/>
    <mergeCell ref="AJ355:AL355"/>
    <mergeCell ref="AM319:AO319"/>
    <mergeCell ref="AM336:AO336"/>
    <mergeCell ref="AS351:AV351"/>
    <mergeCell ref="AP323:AR323"/>
    <mergeCell ref="AM342:AO342"/>
    <mergeCell ref="AJ340:AL340"/>
    <mergeCell ref="AJ338:AL338"/>
    <mergeCell ref="AM325:AO325"/>
    <mergeCell ref="AJ346:AL346"/>
    <mergeCell ref="AP341:AR341"/>
    <mergeCell ref="AG332:AI332"/>
    <mergeCell ref="AG338:AI338"/>
    <mergeCell ref="AJ339:AL339"/>
    <mergeCell ref="AM339:AO339"/>
    <mergeCell ref="AG336:AI336"/>
    <mergeCell ref="AC319:AE319"/>
    <mergeCell ref="AC346:AE346"/>
    <mergeCell ref="AG347:AI347"/>
    <mergeCell ref="AJ353:AL353"/>
    <mergeCell ref="AP351:AR351"/>
    <mergeCell ref="AJ324:AL324"/>
    <mergeCell ref="AM321:AO321"/>
    <mergeCell ref="AJ328:AL328"/>
    <mergeCell ref="AM328:AO328"/>
    <mergeCell ref="AS336:AV336"/>
    <mergeCell ref="AJ342:AL342"/>
    <mergeCell ref="AM348:AO348"/>
    <mergeCell ref="AG348:AI348"/>
    <mergeCell ref="AM366:AO366"/>
    <mergeCell ref="AG367:AI367"/>
    <mergeCell ref="AG366:AI366"/>
    <mergeCell ref="AJ350:AL350"/>
    <mergeCell ref="AG351:AI351"/>
    <mergeCell ref="AM351:AO351"/>
    <mergeCell ref="AM349:AO349"/>
    <mergeCell ref="AM356:AO356"/>
    <mergeCell ref="AS253:AV253"/>
    <mergeCell ref="AS250:AV250"/>
    <mergeCell ref="AG260:AI260"/>
    <mergeCell ref="AJ331:AL331"/>
    <mergeCell ref="AJ329:AL329"/>
    <mergeCell ref="AJ337:AL337"/>
    <mergeCell ref="AJ334:AL334"/>
    <mergeCell ref="AP338:AR338"/>
    <mergeCell ref="AG313:AI313"/>
    <mergeCell ref="AM252:AO252"/>
    <mergeCell ref="AG258:AI258"/>
    <mergeCell ref="AM261:AO261"/>
    <mergeCell ref="AG251:AI251"/>
    <mergeCell ref="AG343:AI343"/>
    <mergeCell ref="AJ344:AL344"/>
    <mergeCell ref="AG341:AI341"/>
    <mergeCell ref="AM294:AO294"/>
    <mergeCell ref="AM363:AO363"/>
    <mergeCell ref="AP340:AR340"/>
    <mergeCell ref="AS346:AV346"/>
    <mergeCell ref="AP345:AR345"/>
    <mergeCell ref="AP350:AR350"/>
    <mergeCell ref="AP348:AR348"/>
    <mergeCell ref="F228:P228"/>
    <mergeCell ref="AJ225:AL225"/>
    <mergeCell ref="U232:W232"/>
    <mergeCell ref="AC230:AE230"/>
    <mergeCell ref="U233:W233"/>
    <mergeCell ref="Q231:S231"/>
    <mergeCell ref="AJ237:AL237"/>
    <mergeCell ref="AP234:AR234"/>
    <mergeCell ref="AM234:AO234"/>
    <mergeCell ref="AJ227:AL227"/>
    <mergeCell ref="AS225:AV225"/>
    <mergeCell ref="AS238:AV238"/>
    <mergeCell ref="AJ236:AL236"/>
    <mergeCell ref="Y230:AA230"/>
    <mergeCell ref="Y232:AA232"/>
    <mergeCell ref="F234:P234"/>
    <mergeCell ref="U237:W237"/>
    <mergeCell ref="Y236:AA236"/>
    <mergeCell ref="F226:P226"/>
    <mergeCell ref="F232:P232"/>
    <mergeCell ref="Y235:AA235"/>
    <mergeCell ref="AC235:AE235"/>
    <mergeCell ref="Q234:S234"/>
    <mergeCell ref="AG230:AI230"/>
    <mergeCell ref="F237:P237"/>
    <mergeCell ref="F227:P227"/>
    <mergeCell ref="F233:P233"/>
    <mergeCell ref="F236:P236"/>
    <mergeCell ref="U235:W235"/>
    <mergeCell ref="AG236:AI236"/>
    <mergeCell ref="AP238:AR238"/>
    <mergeCell ref="AP227:AR227"/>
    <mergeCell ref="U236:W236"/>
    <mergeCell ref="AC238:AE238"/>
    <mergeCell ref="AC237:AE237"/>
    <mergeCell ref="AC236:AE236"/>
    <mergeCell ref="AS383:AV383"/>
    <mergeCell ref="AS251:AV251"/>
    <mergeCell ref="AS258:AV258"/>
    <mergeCell ref="AW367:AZ367"/>
    <mergeCell ref="AM367:AO367"/>
    <mergeCell ref="AW375:AZ375"/>
    <mergeCell ref="AW381:AZ381"/>
    <mergeCell ref="AS382:AV382"/>
    <mergeCell ref="AS379:AV379"/>
    <mergeCell ref="AW382:AZ382"/>
    <mergeCell ref="AW380:AZ380"/>
    <mergeCell ref="AP343:AR343"/>
    <mergeCell ref="U338:W338"/>
    <mergeCell ref="AS323:AV323"/>
    <mergeCell ref="AS322:AV322"/>
    <mergeCell ref="AW342:AZ342"/>
    <mergeCell ref="AP344:AR344"/>
    <mergeCell ref="AS343:AV343"/>
    <mergeCell ref="AP380:AR380"/>
    <mergeCell ref="AW364:AZ364"/>
    <mergeCell ref="AW341:AZ341"/>
    <mergeCell ref="AW345:AZ345"/>
    <mergeCell ref="AS368:AV368"/>
    <mergeCell ref="AS370:AV370"/>
    <mergeCell ref="AP342:AR342"/>
    <mergeCell ref="AW379:AZ379"/>
    <mergeCell ref="AS345:AV345"/>
    <mergeCell ref="AW344:AZ344"/>
    <mergeCell ref="AS380:AV380"/>
    <mergeCell ref="AP347:AR347"/>
    <mergeCell ref="AP382:AR382"/>
    <mergeCell ref="AP383:AR383"/>
    <mergeCell ref="AW369:AZ369"/>
    <mergeCell ref="AW366:AZ366"/>
    <mergeCell ref="AW374:AZ374"/>
    <mergeCell ref="AS373:AV373"/>
    <mergeCell ref="AS381:AV381"/>
    <mergeCell ref="AS369:AV369"/>
    <mergeCell ref="AW370:AZ370"/>
    <mergeCell ref="AP373:AR373"/>
    <mergeCell ref="AW354:AZ354"/>
    <mergeCell ref="AW362:AZ362"/>
    <mergeCell ref="AW365:AZ365"/>
    <mergeCell ref="AS365:AV365"/>
    <mergeCell ref="AS350:AV350"/>
    <mergeCell ref="AS348:AV348"/>
    <mergeCell ref="AW355:AZ355"/>
    <mergeCell ref="AP353:AR353"/>
    <mergeCell ref="AS353:AV353"/>
    <mergeCell ref="AW357:AZ357"/>
    <mergeCell ref="AW350:AZ350"/>
    <mergeCell ref="AW352:AZ352"/>
    <mergeCell ref="AS355:AV355"/>
    <mergeCell ref="AW351:AZ351"/>
    <mergeCell ref="AW356:AZ356"/>
    <mergeCell ref="AP363:AR363"/>
    <mergeCell ref="AS354:AV354"/>
    <mergeCell ref="AS357:AV357"/>
    <mergeCell ref="AW349:AZ349"/>
    <mergeCell ref="AS349:AV349"/>
    <mergeCell ref="AS341:AV341"/>
    <mergeCell ref="AM344:AO344"/>
    <mergeCell ref="AS344:AV344"/>
    <mergeCell ref="AS342:AV342"/>
    <mergeCell ref="AW368:AZ368"/>
    <mergeCell ref="AJ351:AL351"/>
    <mergeCell ref="AJ349:AL349"/>
    <mergeCell ref="AM353:AO353"/>
    <mergeCell ref="AJ368:AL368"/>
    <mergeCell ref="AM376:AO376"/>
    <mergeCell ref="AS378:AV378"/>
    <mergeCell ref="AJ373:AL373"/>
    <mergeCell ref="AW363:AZ363"/>
    <mergeCell ref="AW376:AZ376"/>
    <mergeCell ref="AJ366:AL366"/>
    <mergeCell ref="AP367:AR367"/>
    <mergeCell ref="AW343:AZ343"/>
    <mergeCell ref="AW347:AZ347"/>
    <mergeCell ref="AW346:AZ346"/>
    <mergeCell ref="AW348:AZ348"/>
    <mergeCell ref="AW353:AZ353"/>
    <mergeCell ref="AS367:AV367"/>
    <mergeCell ref="AP375:AR375"/>
    <mergeCell ref="AJ363:AL363"/>
    <mergeCell ref="AM346:AO346"/>
    <mergeCell ref="AP352:AR352"/>
    <mergeCell ref="AP349:AR349"/>
    <mergeCell ref="AP355:AR355"/>
    <mergeCell ref="AS356:AV356"/>
    <mergeCell ref="AM355:AO355"/>
    <mergeCell ref="AM352:AO352"/>
    <mergeCell ref="AJ357:AR357"/>
    <mergeCell ref="AW322:AZ322"/>
    <mergeCell ref="AP331:AR331"/>
    <mergeCell ref="AW323:AZ323"/>
    <mergeCell ref="F526:P526"/>
    <mergeCell ref="AW371:AZ371"/>
    <mergeCell ref="AP379:AR379"/>
    <mergeCell ref="AM383:AO383"/>
    <mergeCell ref="AW444:AZ444"/>
    <mergeCell ref="AS444:AV444"/>
    <mergeCell ref="AM449:AO449"/>
    <mergeCell ref="AP450:AR450"/>
    <mergeCell ref="AP449:AR449"/>
    <mergeCell ref="AW372:AZ372"/>
    <mergeCell ref="AP374:AR374"/>
    <mergeCell ref="AW377:AZ377"/>
    <mergeCell ref="AS386:AV386"/>
    <mergeCell ref="AS384:AV384"/>
    <mergeCell ref="AW437:AZ437"/>
    <mergeCell ref="AP443:AR443"/>
    <mergeCell ref="AP442:AR442"/>
    <mergeCell ref="AP378:AR378"/>
    <mergeCell ref="AM373:AO373"/>
    <mergeCell ref="AW402:AZ402"/>
    <mergeCell ref="AW396:AZ396"/>
    <mergeCell ref="AM377:AO377"/>
    <mergeCell ref="AS374:AV374"/>
    <mergeCell ref="AP368:AR368"/>
    <mergeCell ref="AP371:AR371"/>
    <mergeCell ref="AP388:AR388"/>
    <mergeCell ref="AW390:AZ390"/>
    <mergeCell ref="AW401:AZ401"/>
    <mergeCell ref="AW392:AZ392"/>
    <mergeCell ref="AG238:AI238"/>
    <mergeCell ref="Y227:AA227"/>
    <mergeCell ref="AC342:AE342"/>
    <mergeCell ref="AG344:AI344"/>
    <mergeCell ref="Y238:AA238"/>
    <mergeCell ref="AG234:AI234"/>
    <mergeCell ref="Y333:AA333"/>
    <mergeCell ref="Y330:AA330"/>
    <mergeCell ref="AG334:AI334"/>
    <mergeCell ref="AP325:AR325"/>
    <mergeCell ref="AM251:AO251"/>
    <mergeCell ref="AM269:AO269"/>
    <mergeCell ref="AM270:AO270"/>
    <mergeCell ref="AP279:AR279"/>
    <mergeCell ref="AC258:AE258"/>
    <mergeCell ref="AC332:AE332"/>
    <mergeCell ref="AG327:AI327"/>
    <mergeCell ref="AG342:AI342"/>
    <mergeCell ref="Y344:AA344"/>
    <mergeCell ref="AC232:AE232"/>
    <mergeCell ref="AG243:AI243"/>
    <mergeCell ref="AG340:AI340"/>
    <mergeCell ref="AG237:AI237"/>
    <mergeCell ref="AJ233:AL233"/>
    <mergeCell ref="AC255:AE255"/>
    <mergeCell ref="AP237:AR237"/>
    <mergeCell ref="AM236:AO236"/>
    <mergeCell ref="AG252:AI252"/>
    <mergeCell ref="Y296:AA296"/>
    <mergeCell ref="AJ323:AL323"/>
    <mergeCell ref="AJ335:AL335"/>
    <mergeCell ref="AM258:AO258"/>
    <mergeCell ref="AJ228:AL228"/>
    <mergeCell ref="AP231:AR231"/>
    <mergeCell ref="AS214:AV214"/>
    <mergeCell ref="AM229:AO229"/>
    <mergeCell ref="AJ343:AL343"/>
    <mergeCell ref="AJ196:AL196"/>
    <mergeCell ref="AM192:AO192"/>
    <mergeCell ref="AM233:AO233"/>
    <mergeCell ref="AP320:AR320"/>
    <mergeCell ref="AP319:AR319"/>
    <mergeCell ref="AP291:AR291"/>
    <mergeCell ref="AP366:AR366"/>
    <mergeCell ref="AM337:AO337"/>
    <mergeCell ref="AP346:AR346"/>
    <mergeCell ref="AS221:AV221"/>
    <mergeCell ref="AM194:AO194"/>
    <mergeCell ref="AJ193:AL193"/>
    <mergeCell ref="AJ195:AL195"/>
    <mergeCell ref="AM193:AO193"/>
    <mergeCell ref="AS193:AV193"/>
    <mergeCell ref="AS192:AV192"/>
    <mergeCell ref="AJ226:AL226"/>
    <mergeCell ref="AS266:AV266"/>
    <mergeCell ref="AP271:AR271"/>
    <mergeCell ref="AJ252:AL252"/>
    <mergeCell ref="AM284:AO284"/>
    <mergeCell ref="AM285:AO285"/>
    <mergeCell ref="AJ244:AR244"/>
    <mergeCell ref="AP365:AR365"/>
    <mergeCell ref="AS252:AV252"/>
    <mergeCell ref="AP194:AR194"/>
    <mergeCell ref="AP354:AR354"/>
    <mergeCell ref="AS389:AV389"/>
    <mergeCell ref="AW387:AZ387"/>
    <mergeCell ref="AW388:AZ388"/>
    <mergeCell ref="AW386:AZ386"/>
    <mergeCell ref="AS385:AV385"/>
    <mergeCell ref="AW378:AZ378"/>
    <mergeCell ref="AS377:AV377"/>
    <mergeCell ref="AS375:AV375"/>
    <mergeCell ref="AW385:AZ385"/>
    <mergeCell ref="AP377:AR377"/>
    <mergeCell ref="AS371:AV371"/>
    <mergeCell ref="AP372:AR372"/>
    <mergeCell ref="AW373:AZ373"/>
    <mergeCell ref="AJ369:AL369"/>
    <mergeCell ref="AJ371:AL371"/>
    <mergeCell ref="AM372:AO372"/>
    <mergeCell ref="AJ372:AL372"/>
    <mergeCell ref="AJ380:AL380"/>
    <mergeCell ref="AJ377:AL377"/>
    <mergeCell ref="AM382:AO382"/>
    <mergeCell ref="AM380:AO380"/>
    <mergeCell ref="AM388:AO388"/>
    <mergeCell ref="AS387:AV387"/>
    <mergeCell ref="AP386:AR386"/>
    <mergeCell ref="AM375:AO375"/>
    <mergeCell ref="AM374:AO374"/>
    <mergeCell ref="AW384:AZ384"/>
    <mergeCell ref="AJ383:AL383"/>
    <mergeCell ref="AJ381:AL381"/>
    <mergeCell ref="AP376:AR376"/>
    <mergeCell ref="AS376:AV376"/>
    <mergeCell ref="AS372:AV372"/>
  </mergeCells>
  <phoneticPr fontId="20"/>
  <conditionalFormatting sqref="E2">
    <cfRule type="expression" dxfId="118" priority="16">
      <formula>$AV$77&gt;0</formula>
    </cfRule>
  </conditionalFormatting>
  <conditionalFormatting sqref="H2">
    <cfRule type="expression" dxfId="117" priority="15">
      <formula>$AV$83&gt;0</formula>
    </cfRule>
  </conditionalFormatting>
  <conditionalFormatting sqref="H98:K98">
    <cfRule type="expression" dxfId="116" priority="36">
      <formula>$H$97&gt;13</formula>
    </cfRule>
  </conditionalFormatting>
  <conditionalFormatting sqref="K2">
    <cfRule type="expression" dxfId="115" priority="14">
      <formula>$AV$158&gt;0</formula>
    </cfRule>
  </conditionalFormatting>
  <conditionalFormatting sqref="N2">
    <cfRule type="expression" dxfId="114" priority="13">
      <formula>$AV$183&gt;0</formula>
    </cfRule>
  </conditionalFormatting>
  <conditionalFormatting sqref="Q2">
    <cfRule type="expression" dxfId="113" priority="12">
      <formula>$AW$215&gt;0</formula>
    </cfRule>
  </conditionalFormatting>
  <conditionalFormatting sqref="R37:R48">
    <cfRule type="cellIs" dxfId="112" priority="77" operator="equal">
      <formula>0</formula>
    </cfRule>
  </conditionalFormatting>
  <conditionalFormatting sqref="R19:U26">
    <cfRule type="cellIs" dxfId="111" priority="84" operator="equal">
      <formula>0</formula>
    </cfRule>
  </conditionalFormatting>
  <conditionalFormatting sqref="R51:U52">
    <cfRule type="cellIs" dxfId="110" priority="97" operator="equal">
      <formula>0</formula>
    </cfRule>
  </conditionalFormatting>
  <conditionalFormatting sqref="R58:U67">
    <cfRule type="cellIs" dxfId="109" priority="85" operator="equal">
      <formula>0</formula>
    </cfRule>
  </conditionalFormatting>
  <conditionalFormatting sqref="T2">
    <cfRule type="expression" dxfId="108" priority="11">
      <formula>$AW$244&gt;0</formula>
    </cfRule>
  </conditionalFormatting>
  <conditionalFormatting sqref="T140:W140">
    <cfRule type="expression" dxfId="107" priority="17">
      <formula>AND($F$138="立上り部分のみ",$T$140="")</formula>
    </cfRule>
  </conditionalFormatting>
  <conditionalFormatting sqref="W2">
    <cfRule type="expression" dxfId="106" priority="10">
      <formula>$AW$273&gt;0</formula>
    </cfRule>
  </conditionalFormatting>
  <conditionalFormatting sqref="Z2">
    <cfRule type="expression" dxfId="105" priority="9">
      <formula>$AW$304&gt;0</formula>
    </cfRule>
  </conditionalFormatting>
  <conditionalFormatting sqref="AC2">
    <cfRule type="expression" dxfId="104" priority="8">
      <formula>$AW$357&gt;0</formula>
    </cfRule>
  </conditionalFormatting>
  <conditionalFormatting sqref="AF2">
    <cfRule type="expression" dxfId="103" priority="7">
      <formula>$AW$421&gt;0</formula>
    </cfRule>
  </conditionalFormatting>
  <conditionalFormatting sqref="AF103:AI103">
    <cfRule type="expression" dxfId="102" priority="90">
      <formula>ISNUMBER($AH$100)</formula>
    </cfRule>
  </conditionalFormatting>
  <conditionalFormatting sqref="AF104:AI104">
    <cfRule type="expression" dxfId="101" priority="92">
      <formula>ISNUMBER($AH$100)</formula>
    </cfRule>
  </conditionalFormatting>
  <conditionalFormatting sqref="AI2">
    <cfRule type="expression" dxfId="100" priority="6">
      <formula>$AW$482&gt;0</formula>
    </cfRule>
  </conditionalFormatting>
  <conditionalFormatting sqref="AJ215:AR215 AJ244:AR244 AJ273:AR273 AJ304:AR304 AJ357:AR357 AJ421:AR421 AJ482:AR482 AJ542:AR542 AJ601:AR601">
    <cfRule type="cellIs" dxfId="99" priority="99" stopIfTrue="1" operator="equal">
      <formula>"補助票と面積が違います！"</formula>
    </cfRule>
  </conditionalFormatting>
  <conditionalFormatting sqref="AL2">
    <cfRule type="expression" dxfId="98" priority="5">
      <formula>$AW$542&gt;0</formula>
    </cfRule>
  </conditionalFormatting>
  <conditionalFormatting sqref="AL24">
    <cfRule type="cellIs" dxfId="97" priority="101" stopIfTrue="1" operator="notBetween">
      <formula>$AL$28</formula>
      <formula>$AL$32</formula>
    </cfRule>
  </conditionalFormatting>
  <conditionalFormatting sqref="AM6:AO7">
    <cfRule type="expression" dxfId="96" priority="88">
      <formula>AND($AD$7="住宅・アパート",$AM$6="ＬＧＳ")</formula>
    </cfRule>
  </conditionalFormatting>
  <conditionalFormatting sqref="AO2">
    <cfRule type="expression" dxfId="95" priority="4">
      <formula>$AW$601&gt;0</formula>
    </cfRule>
  </conditionalFormatting>
  <conditionalFormatting sqref="AR2">
    <cfRule type="expression" dxfId="94" priority="3">
      <formula>$AV$606&gt;0</formula>
    </cfRule>
  </conditionalFormatting>
  <conditionalFormatting sqref="AU2">
    <cfRule type="expression" dxfId="93" priority="2">
      <formula>$AV$608&gt;0</formula>
    </cfRule>
  </conditionalFormatting>
  <conditionalFormatting sqref="AX2">
    <cfRule type="expression" dxfId="92" priority="1">
      <formula>$AV$610&gt;0</formula>
    </cfRule>
  </conditionalFormatting>
  <dataValidations count="37">
    <dataValidation type="list" allowBlank="1" showInputMessage="1" showErrorMessage="1" sqref="G594:G596" xr:uid="{00000000-0002-0000-0400-000000000000}">
      <formula1>$G$597:$G$598</formula1>
    </dataValidation>
    <dataValidation type="list" allowBlank="1" showInputMessage="1" showErrorMessage="1" sqref="AD594:AF596" xr:uid="{00000000-0002-0000-0400-000001000000}">
      <formula1>$AD$597:$AD$599</formula1>
    </dataValidation>
    <dataValidation type="list" allowBlank="1" showInputMessage="1" showErrorMessage="1" sqref="X617:Z617" xr:uid="{00000000-0002-0000-0400-000004000000}">
      <formula1>$X$618:$X$620</formula1>
    </dataValidation>
    <dataValidation type="list" allowBlank="1" showInputMessage="1" showErrorMessage="1" sqref="P152:S152" xr:uid="{00000000-0002-0000-0400-000005000000}">
      <formula1>$P$154:$P$156</formula1>
    </dataValidation>
    <dataValidation type="list" allowBlank="1" showInputMessage="1" showErrorMessage="1" sqref="AF138:AI138 AF140:AI140" xr:uid="{00000000-0002-0000-0400-000006000000}">
      <formula1>$AF$142:$AF$143</formula1>
    </dataValidation>
    <dataValidation type="list" allowBlank="1" showInputMessage="1" showErrorMessage="1" sqref="X138:AA138" xr:uid="{00000000-0002-0000-0400-000007000000}">
      <formula1>$X$142:$X$145</formula1>
    </dataValidation>
    <dataValidation type="list" allowBlank="1" showInputMessage="1" showErrorMessage="1" sqref="AB138:AE138 AB140:AE140" xr:uid="{00000000-0002-0000-0400-000008000000}">
      <formula1>$AB$142:$AB$144</formula1>
    </dataValidation>
    <dataValidation type="list" allowBlank="1" showInputMessage="1" showErrorMessage="1" sqref="AF129:AI129" xr:uid="{00000000-0002-0000-0400-000009000000}">
      <formula1>$AF$131:$AF$132</formula1>
    </dataValidation>
    <dataValidation type="list" allowBlank="1" showInputMessage="1" showErrorMessage="1" sqref="AB129:AE129" xr:uid="{00000000-0002-0000-0400-00000A000000}">
      <formula1>$AB$131:$AB$133</formula1>
    </dataValidation>
    <dataValidation type="list" allowBlank="1" showInputMessage="1" showErrorMessage="1" sqref="T129:W129" xr:uid="{00000000-0002-0000-0400-00000B000000}">
      <formula1>$T$131:$T$134</formula1>
    </dataValidation>
    <dataValidation type="list" allowBlank="1" showInputMessage="1" showErrorMessage="1" sqref="AB97:AE97" xr:uid="{00000000-0002-0000-0400-00000C000000}">
      <formula1>$AB$99:$AB$101</formula1>
    </dataValidation>
    <dataValidation type="list" allowBlank="1" showInputMessage="1" showErrorMessage="1" sqref="AV97:AY97" xr:uid="{00000000-0002-0000-0400-00000D000000}">
      <formula1>$AV$99:$AV$101</formula1>
    </dataValidation>
    <dataValidation type="list" allowBlank="1" showInputMessage="1" showErrorMessage="1" sqref="AJ97:AM97" xr:uid="{00000000-0002-0000-0400-00000E000000}">
      <formula1>$AJ$99:$AJ$103</formula1>
    </dataValidation>
    <dataValidation type="list" allowBlank="1" showInputMessage="1" showErrorMessage="1" sqref="AR97:AU97" xr:uid="{00000000-0002-0000-0400-00000F000000}">
      <formula1>$AR$99:$AR$101</formula1>
    </dataValidation>
    <dataValidation type="list" allowBlank="1" showInputMessage="1" sqref="AM6:AO7" xr:uid="{00000000-0002-0000-0400-000010000000}">
      <formula1>構造名称</formula1>
    </dataValidation>
    <dataValidation type="list" allowBlank="1" showInputMessage="1" showErrorMessage="1" sqref="AD7:AJ7" xr:uid="{00000000-0002-0000-0400-000011000000}">
      <formula1>評価基準名称</formula1>
    </dataValidation>
    <dataValidation type="list" allowBlank="1" showInputMessage="1" showErrorMessage="1" sqref="AN51:AO52" xr:uid="{00000000-0002-0000-0400-000012000000}">
      <formula1>$AN$53:$AN$55</formula1>
    </dataValidation>
    <dataValidation type="list" allowBlank="1" showInputMessage="1" showErrorMessage="1" sqref="X97:AA97" xr:uid="{00000000-0002-0000-0400-000013000000}">
      <formula1>$X$99:$X$104</formula1>
    </dataValidation>
    <dataValidation type="whole" operator="greaterThanOrEqual" allowBlank="1" showInputMessage="1" showErrorMessage="1" sqref="AU6:AW7" xr:uid="{00000000-0002-0000-0400-000015000000}">
      <formula1>1</formula1>
    </dataValidation>
    <dataValidation type="whole" operator="greaterThanOrEqual" allowBlank="1" showInputMessage="1" showErrorMessage="1" sqref="AX6:BA7" xr:uid="{00000000-0002-0000-0400-000016000000}">
      <formula1>0</formula1>
    </dataValidation>
    <dataValidation type="list" allowBlank="1" showInputMessage="1" showErrorMessage="1" sqref="T97:V97" xr:uid="{00000000-0002-0000-0400-000017000000}">
      <formula1>$T$99:$T$104</formula1>
    </dataValidation>
    <dataValidation type="list" allowBlank="1" showInputMessage="1" showErrorMessage="1" sqref="R6:U6" xr:uid="{00000000-0002-0000-0400-000018000000}">
      <formula1>"取得年月日,建築年月日"</formula1>
    </dataValidation>
    <dataValidation type="list" allowBlank="1" showInputMessage="1" sqref="AQ626:AR626" xr:uid="{00000000-0002-0000-0400-000019000000}">
      <formula1>"1.07,1.1342"</formula1>
    </dataValidation>
    <dataValidation type="list" allowBlank="1" showInputMessage="1" sqref="AQ6:AS7" xr:uid="{00000000-0002-0000-0400-00001A000000}">
      <formula1>"陸,鋼板,スレート,瓦"</formula1>
    </dataValidation>
    <dataValidation type="list" allowBlank="1" showInputMessage="1" showErrorMessage="1" sqref="AB117:AE117" xr:uid="{00000000-0002-0000-0400-00001C000000}">
      <formula1>$AB$119:$AB$120</formula1>
    </dataValidation>
    <dataValidation type="list" allowBlank="1" showInputMessage="1" showErrorMessage="1" sqref="R616:T616" xr:uid="{00000000-0002-0000-0400-00001D000000}">
      <formula1>$R$618:$R$623</formula1>
    </dataValidation>
    <dataValidation type="list" allowBlank="1" showInputMessage="1" showErrorMessage="1" sqref="AN24" xr:uid="{00000000-0002-0000-0400-00001E000000}">
      <formula1>$AN$27:$AN$29</formula1>
    </dataValidation>
    <dataValidation type="list" allowBlank="1" showInputMessage="1" showErrorMessage="1" sqref="AJ24" xr:uid="{00000000-0002-0000-0400-00001F000000}">
      <formula1>$AJ$27:$AJ$32</formula1>
    </dataValidation>
    <dataValidation type="list" allowBlank="1" showInputMessage="1" showErrorMessage="1" sqref="P138:S138" xr:uid="{00000000-0002-0000-0400-000020000000}">
      <formula1>$P$142:$P$145</formula1>
    </dataValidation>
    <dataValidation type="list" allowBlank="1" showInputMessage="1" showErrorMessage="1" sqref="N28:AA28" xr:uid="{00000000-0002-0000-0400-000021000000}">
      <formula1>"（Ｓ造明確計算の場合に選択要！）,胴縁・母屋控除必要（仕上から控除する）,胴縁母屋控除不要"</formula1>
    </dataValidation>
    <dataValidation type="list" allowBlank="1" showInputMessage="1" showErrorMessage="1" sqref="AD617:AF617" xr:uid="{9E385B6E-9164-476C-864E-4DC7D2F40944}">
      <formula1>$AD$618:$AD$620</formula1>
    </dataValidation>
    <dataValidation imeMode="off" allowBlank="1" showInputMessage="1" showErrorMessage="1" sqref="P164:S170 P176:S178 Y301:AA303 Y342:AA356 Q417:S418 Q478:S479 Q481:W481 Q541:W541 Q538:S539 Q592:W592 Q589:S590 Y240:AA243 Y270:AA272 AV87:AY94 Q548:W585 Y461:AA464 Y212:AA214 Q488:W534 U427:W464 U409:W413 AB427:AI481 Q427:T474 U470:W474 X548:AI592 Q310:X356 AB310:AI356 Y310:AA314 Y316:AA336 Q279:X303 AB279:AI303 Y279:AA282 Y286:AA286 Y291:AA295 Y298:AA299 Q250:X272 AB250:AI272 Y250:AA253 Y257:AA257 Y262:AA268 Q222:X243 T87:AQ94 Y228:AA232 Y235:AA237 Q192:X214 AB192:AI214 Y197:AA201 Y204:AA206 Y209:AA209 AB222:AR243 AB363:AI413 Y363:AA367 Y370:AA394 Y396:AA405 Q363:T413 X363:X413 U363:W405 Y470:AA481 Y427:AA431 Y434:AA459 X427:X481 X488:AI541 Y409:AA413" xr:uid="{75EF29BB-F327-4488-9EDC-9F1EC0383365}"/>
    <dataValidation type="list" allowBlank="1" showInputMessage="1" showErrorMessage="1" sqref="AN97:AQ97" xr:uid="{89E3E570-786F-41AE-A5D7-917AAA563491}">
      <formula1>$AN$99:$AN$101</formula1>
    </dataValidation>
    <dataValidation type="list" allowBlank="1" showInputMessage="1" showErrorMessage="1" sqref="AJ58:AJ67" xr:uid="{00000000-0002-0000-0400-00001B000000}">
      <formula1>$AJ$68:$AJ$70</formula1>
    </dataValidation>
    <dataValidation type="list" allowBlank="1" showInputMessage="1" showErrorMessage="1" sqref="F83:Q84" xr:uid="{00000000-0002-0000-0400-000014000000}">
      <formula1>H$87:H$94</formula1>
    </dataValidation>
    <dataValidation type="list" allowBlank="1" showInputMessage="1" showErrorMessage="1" sqref="T140:W140" xr:uid="{55D7808D-0D78-4BD8-94DD-45B2EDF7CC55}">
      <formula1>$T$142:$T$144</formula1>
    </dataValidation>
    <dataValidation type="list" allowBlank="1" showInputMessage="1" showErrorMessage="1" sqref="F138:K139" xr:uid="{0F8E152C-831A-4537-BA89-E657722D81CF}">
      <formula1>"RC基礎(立上＋ｽﾗﾌﾞ),立上り部分のみ"</formula1>
    </dataValidation>
  </dataValidations>
  <hyperlinks>
    <hyperlink ref="B2:D2" location="調書!B4" display="ＴＯＰ" xr:uid="{00000000-0004-0000-0400-000000000000}"/>
    <hyperlink ref="E2:G2" location="①" display="主体/明" xr:uid="{8301B83C-44EA-4593-903E-8FE95138DB29}"/>
    <hyperlink ref="H2:J2" location="②" display="主体/不" xr:uid="{9580C8D0-D8EF-498D-BFC8-20099DBB727A}"/>
    <hyperlink ref="K2:M2" location="③" display="基　　礎" xr:uid="{B15114B1-19DF-406E-9312-2C4A095F0666}"/>
    <hyperlink ref="N2:P2" location="④" display="杭　　打" xr:uid="{EAEC1CAB-A1F1-430D-8114-28C82238A758}"/>
    <hyperlink ref="Q2:S2" location="⑤" display="屋根構造" xr:uid="{E6288D78-AEA8-40E0-8103-F27BDD9F7559}"/>
    <hyperlink ref="W2:Y2" location="⑦" display="外 周 壁" xr:uid="{A93A4403-6A84-4AEF-98E7-F5F3A899458C}"/>
    <hyperlink ref="Z2:AB2" location="⑧" display="間 仕 切" xr:uid="{77CE7231-0C5B-4789-9D9B-2FAC976F861A}"/>
    <hyperlink ref="AC2:AE2" location="⑨" display="外壁仕上" xr:uid="{D5443CDC-6FDA-443B-A541-92E5F1353475}"/>
    <hyperlink ref="AF2:AH2" location="⑩" display="内壁仕上" xr:uid="{92173478-967B-4B19-B05A-9CB67504F0BE}"/>
    <hyperlink ref="AI2:AK2" location="⑪" display="床 仕 上" xr:uid="{50F80CB0-C747-4528-BEA7-02680A401C82}"/>
    <hyperlink ref="AL2:AN2" location="⑫" display="天井仕上" xr:uid="{5F27D7CD-060C-4088-85F4-A7F339C9ED0F}"/>
    <hyperlink ref="AO2:AQ2" location="⑬" display="屋根仕上" xr:uid="{7059B9EF-723F-495F-948E-CAF7802D1EF4}"/>
    <hyperlink ref="AR2:AT2" location="⑭" display="建　　具" xr:uid="{1EB81398-E976-487E-9E26-51A08821398C}"/>
    <hyperlink ref="AU2:AW2" location="⑮" display="建築設備" xr:uid="{61E4F52B-73BA-47B2-8A73-01041BAFBCF8}"/>
    <hyperlink ref="AX2:AZ2" location="⑯" display="仮設其他" xr:uid="{DD676160-8CBF-406B-A983-9BC6153D59E4}"/>
    <hyperlink ref="T2:V2" location="⑥" display="床 構 造" xr:uid="{FF971444-E83F-4D17-A1F0-8662D9B7E169}"/>
  </hyperlinks>
  <printOptions horizontalCentered="1"/>
  <pageMargins left="0.59055118110236227" right="0.19685039370078741" top="0.51181102362204722" bottom="0.39370078740157483" header="0.31496062992125984" footer="0.19685039370078741"/>
  <pageSetup paperSize="9" scale="10" orientation="portrait" r:id="rId2"/>
  <headerFooter alignWithMargins="0">
    <oddHeader>&amp;L&amp;"HG創英角ｺﾞｼｯｸUB,標準"&amp;10様式第１号&amp;C&amp;"HG創英角ｺﾞｼｯｸUB,標準"&amp;12非木造家屋調査書&amp;R&amp;"HG創英角ｺﾞｼｯｸUB,標準"&amp;10令和６年基準</oddHeader>
    <oddFooter>&amp;R&amp;"ＭＳ ゴシック,標準"&amp;D　&amp;T</oddFooter>
  </headerFooter>
  <rowBreaks count="1" manualBreakCount="1">
    <brk id="110" min="1" max="51" man="1"/>
  </rowBreaks>
  <legacyDrawing r:id="rId3"/>
  <extLst>
    <ext xmlns:x14="http://schemas.microsoft.com/office/spreadsheetml/2009/9/main" uri="{CCE6A557-97BC-4b89-ADB6-D9C93CAAB3DF}">
      <x14:dataValidations xmlns:xm="http://schemas.microsoft.com/office/excel/2006/main" count="2">
        <x14:dataValidation type="list" allowBlank="1" showInputMessage="1" xr:uid="{00000000-0002-0000-0400-000022000000}">
          <x14:formula1>
            <xm:f>コード表!$B$55:$B$60</xm:f>
          </x14:formula1>
          <xm:sqref>AD6:AJ6</xm:sqref>
        </x14:dataValidation>
        <x14:dataValidation type="list" allowBlank="1" showInputMessage="1" xr:uid="{00000000-0002-0000-0400-000023000000}">
          <x14:formula1>
            <xm:f>コード表!$B$2:$B$38</xm:f>
          </x14:formula1>
          <xm:sqref>AD5:AJ5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16"/>
    <pageSetUpPr fitToPage="1"/>
  </sheetPr>
  <dimension ref="B1:W138"/>
  <sheetViews>
    <sheetView showGridLines="0" showZeros="0" zoomScaleNormal="100" workbookViewId="0">
      <pane xSplit="1" ySplit="4" topLeftCell="B5" activePane="bottomRight" state="frozen"/>
      <selection activeCell="A2" sqref="A2:F2"/>
      <selection pane="topRight" activeCell="A2" sqref="A2:F2"/>
      <selection pane="bottomLeft" activeCell="A2" sqref="A2:F2"/>
      <selection pane="bottomRight" activeCell="W1" sqref="W1:W1048576"/>
    </sheetView>
  </sheetViews>
  <sheetFormatPr defaultColWidth="12" defaultRowHeight="15.75" customHeight="1"/>
  <cols>
    <col min="1" max="1" width="1.77734375" style="9" customWidth="1"/>
    <col min="2" max="2" width="10" style="9" bestFit="1" customWidth="1"/>
    <col min="3" max="3" width="5.109375" style="9" customWidth="1"/>
    <col min="4" max="4" width="27.6640625" style="9" customWidth="1"/>
    <col min="5" max="5" width="6" style="9" bestFit="1" customWidth="1"/>
    <col min="6" max="6" width="9.44140625" style="9" customWidth="1"/>
    <col min="7" max="7" width="3.33203125" style="9" customWidth="1"/>
    <col min="8" max="8" width="9.44140625" style="9" customWidth="1"/>
    <col min="9" max="9" width="3.33203125" style="9" customWidth="1"/>
    <col min="10" max="10" width="9.44140625" style="9" customWidth="1"/>
    <col min="11" max="11" width="3.33203125" style="9" customWidth="1"/>
    <col min="12" max="12" width="9.44140625" style="9" customWidth="1"/>
    <col min="13" max="13" width="3.33203125" style="9" customWidth="1"/>
    <col min="14" max="14" width="9.44140625" style="9" customWidth="1"/>
    <col min="15" max="15" width="3.33203125" style="9" customWidth="1"/>
    <col min="16" max="16" width="9.44140625" style="9" customWidth="1"/>
    <col min="17" max="17" width="3.33203125" style="9" customWidth="1"/>
    <col min="18" max="18" width="9.44140625" style="9" customWidth="1"/>
    <col min="19" max="19" width="3.33203125" style="9" customWidth="1"/>
    <col min="20" max="20" width="9.44140625" style="9" customWidth="1"/>
    <col min="21" max="21" width="5.6640625" style="2199" bestFit="1" customWidth="1"/>
    <col min="22" max="22" width="7.77734375" style="9" bestFit="1" customWidth="1"/>
    <col min="23" max="23" width="11.77734375" style="2092" customWidth="1"/>
    <col min="24" max="16384" width="12" style="9"/>
  </cols>
  <sheetData>
    <row r="1" spans="2:23" ht="4.5" customHeight="1"/>
    <row r="2" spans="2:23" ht="11">
      <c r="B2" s="1717"/>
      <c r="C2" s="1717"/>
      <c r="D2" s="1717"/>
      <c r="E2" s="1717"/>
      <c r="F2" s="1717"/>
      <c r="G2" s="1717"/>
      <c r="H2" s="1717"/>
      <c r="I2" s="1717"/>
      <c r="J2" s="1717"/>
      <c r="K2" s="1717"/>
      <c r="L2" s="1717"/>
      <c r="M2" s="1717"/>
      <c r="N2" s="1717"/>
      <c r="O2" s="1717"/>
      <c r="P2" s="1717"/>
      <c r="Q2" s="1717"/>
      <c r="R2" s="1717"/>
      <c r="S2" s="1717"/>
      <c r="T2" s="1717"/>
      <c r="U2" s="2202"/>
    </row>
    <row r="3" spans="2:23" ht="15.75" customHeight="1">
      <c r="B3" s="1717"/>
      <c r="C3" s="1717"/>
      <c r="D3" s="1717"/>
      <c r="E3" s="1717"/>
      <c r="F3" s="1018" t="s">
        <v>5790</v>
      </c>
      <c r="G3" s="1717"/>
      <c r="H3" s="1018" t="s">
        <v>5791</v>
      </c>
      <c r="I3" s="1717"/>
      <c r="J3" s="1018" t="s">
        <v>5792</v>
      </c>
      <c r="K3" s="1717"/>
      <c r="L3" s="1018" t="s">
        <v>5782</v>
      </c>
      <c r="M3" s="1717"/>
      <c r="N3" s="1018" t="s">
        <v>5783</v>
      </c>
      <c r="O3" s="1717"/>
      <c r="P3" s="1018" t="s">
        <v>5784</v>
      </c>
      <c r="Q3" s="1717"/>
      <c r="R3" s="1018" t="s">
        <v>5785</v>
      </c>
      <c r="S3" s="1717"/>
      <c r="T3" s="1018" t="s">
        <v>5786</v>
      </c>
      <c r="U3" s="2201" t="s">
        <v>5810</v>
      </c>
    </row>
    <row r="4" spans="2:23" ht="3.75" customHeight="1">
      <c r="B4" s="1717"/>
      <c r="C4" s="1717"/>
      <c r="D4" s="1717"/>
      <c r="E4" s="1717"/>
      <c r="F4" s="1717"/>
      <c r="G4" s="1717"/>
      <c r="H4" s="1717"/>
      <c r="I4" s="1717"/>
      <c r="J4" s="1717"/>
      <c r="K4" s="1717"/>
      <c r="L4" s="1717"/>
      <c r="M4" s="1717"/>
      <c r="N4" s="1717"/>
      <c r="O4" s="1717"/>
      <c r="P4" s="1717"/>
      <c r="Q4" s="1717"/>
      <c r="R4" s="1717"/>
      <c r="S4" s="1717"/>
      <c r="T4" s="1717"/>
      <c r="U4" s="2202"/>
    </row>
    <row r="5" spans="2:23" ht="15.75" customHeight="1">
      <c r="B5" s="157" t="s">
        <v>868</v>
      </c>
      <c r="C5" s="157"/>
      <c r="D5" s="158"/>
      <c r="E5" s="44"/>
      <c r="F5" s="44"/>
      <c r="G5" s="44"/>
      <c r="H5" s="44"/>
      <c r="I5" s="44"/>
      <c r="J5" s="44"/>
      <c r="K5" s="44"/>
      <c r="L5" s="44"/>
      <c r="M5" s="44"/>
      <c r="N5" s="44"/>
      <c r="O5" s="44"/>
      <c r="P5" s="44"/>
      <c r="Q5" s="44"/>
      <c r="R5" s="44"/>
      <c r="S5" s="44"/>
      <c r="T5" s="44"/>
      <c r="U5" s="2202"/>
      <c r="V5" s="9" t="b">
        <v>1</v>
      </c>
    </row>
    <row r="6" spans="2:23" ht="15.75" customHeight="1">
      <c r="B6" s="2981" t="s">
        <v>869</v>
      </c>
      <c r="C6" s="1719" t="s">
        <v>870</v>
      </c>
      <c r="D6" s="1720"/>
      <c r="E6" s="1721"/>
      <c r="F6" s="1721"/>
      <c r="G6" s="1721"/>
      <c r="H6" s="1721"/>
      <c r="I6" s="1721"/>
      <c r="J6" s="1721"/>
      <c r="K6" s="1721"/>
      <c r="L6" s="1721"/>
      <c r="M6" s="1721"/>
      <c r="N6" s="1721"/>
      <c r="O6" s="1721"/>
      <c r="P6" s="1721"/>
      <c r="Q6" s="1721"/>
      <c r="R6" s="1721"/>
      <c r="S6" s="1721"/>
      <c r="T6" s="1722"/>
      <c r="U6" s="2202"/>
      <c r="V6" s="159" t="b">
        <f>SUM(T6:T14)&lt;&gt;0</f>
        <v>0</v>
      </c>
    </row>
    <row r="7" spans="2:23" ht="15.75" customHeight="1">
      <c r="B7" s="2982"/>
      <c r="C7" s="2989" t="s">
        <v>5303</v>
      </c>
      <c r="D7" s="2992"/>
      <c r="E7" s="161" t="s">
        <v>871</v>
      </c>
      <c r="F7" s="1708"/>
      <c r="G7" s="162" t="s">
        <v>872</v>
      </c>
      <c r="H7" s="1709"/>
      <c r="I7" s="162" t="s">
        <v>872</v>
      </c>
      <c r="J7" s="1709"/>
      <c r="K7" s="162" t="s">
        <v>872</v>
      </c>
      <c r="L7" s="1709"/>
      <c r="M7" s="162" t="s">
        <v>872</v>
      </c>
      <c r="N7" s="1709"/>
      <c r="O7" s="162" t="s">
        <v>872</v>
      </c>
      <c r="P7" s="1709"/>
      <c r="Q7" s="162" t="s">
        <v>872</v>
      </c>
      <c r="R7" s="1709"/>
      <c r="S7" s="163" t="s">
        <v>873</v>
      </c>
      <c r="T7" s="164">
        <f>SUM(F7:R7)</f>
        <v>0</v>
      </c>
      <c r="U7" s="2202"/>
      <c r="V7" s="9" t="b">
        <f>T7&lt;&gt;0</f>
        <v>0</v>
      </c>
      <c r="W7" s="2093" t="str">
        <f>IFERROR(VLOOKUP($C7,調書!$F$19:$BB$76,50,0),"")</f>
        <v/>
      </c>
    </row>
    <row r="8" spans="2:23" ht="15.75" customHeight="1">
      <c r="B8" s="2982"/>
      <c r="C8" s="2989"/>
      <c r="D8" s="2992"/>
      <c r="E8" s="165" t="s">
        <v>871</v>
      </c>
      <c r="F8" s="1708"/>
      <c r="G8" s="166" t="s">
        <v>872</v>
      </c>
      <c r="H8" s="1710"/>
      <c r="I8" s="166" t="s">
        <v>872</v>
      </c>
      <c r="J8" s="1710"/>
      <c r="K8" s="166" t="s">
        <v>872</v>
      </c>
      <c r="L8" s="1710"/>
      <c r="M8" s="166" t="s">
        <v>872</v>
      </c>
      <c r="N8" s="1710"/>
      <c r="O8" s="166" t="s">
        <v>872</v>
      </c>
      <c r="P8" s="1710"/>
      <c r="Q8" s="166" t="s">
        <v>872</v>
      </c>
      <c r="R8" s="1710"/>
      <c r="S8" s="167" t="s">
        <v>873</v>
      </c>
      <c r="T8" s="168">
        <f>SUM(F8:R8)</f>
        <v>0</v>
      </c>
      <c r="U8" s="2202"/>
      <c r="V8" s="9" t="b">
        <f>T8&lt;&gt;0</f>
        <v>0</v>
      </c>
      <c r="W8" s="2093" t="str">
        <f>IFERROR(VLOOKUP($C8,調書!$F$19:$BB$76,50,0),"")</f>
        <v/>
      </c>
    </row>
    <row r="9" spans="2:23" ht="15.75" customHeight="1">
      <c r="B9" s="2982"/>
      <c r="C9" s="2989"/>
      <c r="D9" s="2992"/>
      <c r="E9" s="165" t="s">
        <v>871</v>
      </c>
      <c r="F9" s="1708"/>
      <c r="G9" s="166" t="s">
        <v>872</v>
      </c>
      <c r="H9" s="1710"/>
      <c r="I9" s="166" t="s">
        <v>872</v>
      </c>
      <c r="J9" s="1710"/>
      <c r="K9" s="166" t="s">
        <v>872</v>
      </c>
      <c r="L9" s="1710"/>
      <c r="M9" s="166" t="s">
        <v>872</v>
      </c>
      <c r="N9" s="1710"/>
      <c r="O9" s="166" t="s">
        <v>872</v>
      </c>
      <c r="P9" s="1710"/>
      <c r="Q9" s="166" t="s">
        <v>872</v>
      </c>
      <c r="R9" s="1710"/>
      <c r="S9" s="167" t="s">
        <v>873</v>
      </c>
      <c r="T9" s="168">
        <f>SUM(F9:R9)</f>
        <v>0</v>
      </c>
      <c r="U9" s="2202"/>
      <c r="V9" s="9" t="b">
        <f>T9&lt;&gt;0</f>
        <v>0</v>
      </c>
      <c r="W9" s="2093" t="str">
        <f>IFERROR(VLOOKUP($C9,調書!$F$19:$BB$76,50,0),"")</f>
        <v/>
      </c>
    </row>
    <row r="10" spans="2:23" ht="15.75" customHeight="1">
      <c r="B10" s="2982"/>
      <c r="C10" s="3003" t="s">
        <v>5415</v>
      </c>
      <c r="D10" s="3004"/>
      <c r="E10" s="1721"/>
      <c r="F10" s="1721"/>
      <c r="G10" s="1721"/>
      <c r="H10" s="1721"/>
      <c r="I10" s="1721"/>
      <c r="J10" s="1721"/>
      <c r="K10" s="1721"/>
      <c r="L10" s="1721"/>
      <c r="M10" s="1721"/>
      <c r="N10" s="1721"/>
      <c r="O10" s="1721"/>
      <c r="P10" s="1721"/>
      <c r="Q10" s="1721"/>
      <c r="R10" s="1721"/>
      <c r="S10" s="1721"/>
      <c r="T10" s="1722"/>
      <c r="U10" s="2202"/>
      <c r="V10" s="159" t="b">
        <f>SUM(T10:T18)&lt;&gt;0</f>
        <v>0</v>
      </c>
    </row>
    <row r="11" spans="2:23" ht="15.75" customHeight="1">
      <c r="B11" s="2982"/>
      <c r="C11" s="2989" t="s">
        <v>5422</v>
      </c>
      <c r="D11" s="2992"/>
      <c r="E11" s="161" t="s">
        <v>871</v>
      </c>
      <c r="F11" s="1708"/>
      <c r="G11" s="162" t="s">
        <v>872</v>
      </c>
      <c r="H11" s="1709"/>
      <c r="I11" s="162" t="s">
        <v>872</v>
      </c>
      <c r="J11" s="1709"/>
      <c r="K11" s="162" t="s">
        <v>872</v>
      </c>
      <c r="L11" s="1709"/>
      <c r="M11" s="162" t="s">
        <v>872</v>
      </c>
      <c r="N11" s="1709"/>
      <c r="O11" s="162" t="s">
        <v>872</v>
      </c>
      <c r="P11" s="1709"/>
      <c r="Q11" s="162" t="s">
        <v>872</v>
      </c>
      <c r="R11" s="1709"/>
      <c r="S11" s="163" t="s">
        <v>485</v>
      </c>
      <c r="T11" s="164">
        <f>SUM(F11:R11)</f>
        <v>0</v>
      </c>
      <c r="U11" s="2202"/>
      <c r="V11" s="9" t="b">
        <f>T11&lt;&gt;0</f>
        <v>0</v>
      </c>
      <c r="W11" s="2093" t="str">
        <f>IFERROR(VLOOKUP($C11,調書!$F$19:$BB$76,50,0),"")</f>
        <v/>
      </c>
    </row>
    <row r="12" spans="2:23" ht="15.75" customHeight="1">
      <c r="B12" s="2982"/>
      <c r="C12" s="2989"/>
      <c r="D12" s="2992"/>
      <c r="E12" s="165" t="s">
        <v>871</v>
      </c>
      <c r="F12" s="1708"/>
      <c r="G12" s="166" t="s">
        <v>872</v>
      </c>
      <c r="H12" s="1710"/>
      <c r="I12" s="166" t="s">
        <v>872</v>
      </c>
      <c r="J12" s="1710"/>
      <c r="K12" s="166" t="s">
        <v>872</v>
      </c>
      <c r="L12" s="1710"/>
      <c r="M12" s="166" t="s">
        <v>872</v>
      </c>
      <c r="N12" s="1710"/>
      <c r="O12" s="166" t="s">
        <v>872</v>
      </c>
      <c r="P12" s="1710"/>
      <c r="Q12" s="166" t="s">
        <v>872</v>
      </c>
      <c r="R12" s="1710"/>
      <c r="S12" s="167" t="s">
        <v>485</v>
      </c>
      <c r="T12" s="168">
        <f>SUM(F12:R12)</f>
        <v>0</v>
      </c>
      <c r="U12" s="2202"/>
      <c r="V12" s="9" t="b">
        <f>T12&lt;&gt;0</f>
        <v>0</v>
      </c>
      <c r="W12" s="2093" t="str">
        <f>IFERROR(VLOOKUP($C12,調書!$F$19:$BB$76,50,0),"")</f>
        <v/>
      </c>
    </row>
    <row r="13" spans="2:23" ht="15.75" customHeight="1">
      <c r="B13" s="2982"/>
      <c r="C13" s="2989"/>
      <c r="D13" s="2992"/>
      <c r="E13" s="165" t="s">
        <v>871</v>
      </c>
      <c r="F13" s="1708"/>
      <c r="G13" s="166" t="s">
        <v>872</v>
      </c>
      <c r="H13" s="1710"/>
      <c r="I13" s="166" t="s">
        <v>872</v>
      </c>
      <c r="J13" s="1710"/>
      <c r="K13" s="166" t="s">
        <v>872</v>
      </c>
      <c r="L13" s="1710"/>
      <c r="M13" s="166" t="s">
        <v>872</v>
      </c>
      <c r="N13" s="1710"/>
      <c r="O13" s="166" t="s">
        <v>872</v>
      </c>
      <c r="P13" s="1710"/>
      <c r="Q13" s="166" t="s">
        <v>872</v>
      </c>
      <c r="R13" s="1710"/>
      <c r="S13" s="167" t="s">
        <v>485</v>
      </c>
      <c r="T13" s="168">
        <f>SUM(F13:R13)</f>
        <v>0</v>
      </c>
      <c r="U13" s="2202"/>
      <c r="V13" s="9" t="b">
        <f>T13&lt;&gt;0</f>
        <v>0</v>
      </c>
      <c r="W13" s="2093" t="str">
        <f>IFERROR(VLOOKUP($C13,調書!$F$19:$BB$76,50,0),"")</f>
        <v/>
      </c>
    </row>
    <row r="14" spans="2:23" ht="15.75" customHeight="1">
      <c r="B14" s="2982"/>
      <c r="C14" s="1719" t="s">
        <v>874</v>
      </c>
      <c r="D14" s="1720"/>
      <c r="E14" s="1721"/>
      <c r="F14" s="1721"/>
      <c r="G14" s="1721"/>
      <c r="H14" s="1721"/>
      <c r="I14" s="1721"/>
      <c r="J14" s="1721"/>
      <c r="K14" s="1721"/>
      <c r="L14" s="1721"/>
      <c r="M14" s="1721"/>
      <c r="N14" s="1721"/>
      <c r="O14" s="1721"/>
      <c r="P14" s="1721"/>
      <c r="Q14" s="1721"/>
      <c r="R14" s="1721"/>
      <c r="S14" s="1721"/>
      <c r="T14" s="1722"/>
      <c r="U14" s="2202"/>
      <c r="V14" s="9" t="b">
        <f>SUM(T14:T16)&lt;&gt;0</f>
        <v>0</v>
      </c>
    </row>
    <row r="15" spans="2:23" ht="15.75" customHeight="1">
      <c r="B15" s="2982"/>
      <c r="C15" s="3001"/>
      <c r="D15" s="3002"/>
      <c r="E15" s="165" t="s">
        <v>871</v>
      </c>
      <c r="F15" s="1711"/>
      <c r="G15" s="166" t="s">
        <v>872</v>
      </c>
      <c r="H15" s="1710"/>
      <c r="I15" s="166" t="s">
        <v>872</v>
      </c>
      <c r="J15" s="1710"/>
      <c r="K15" s="166" t="s">
        <v>872</v>
      </c>
      <c r="L15" s="1710"/>
      <c r="M15" s="166" t="s">
        <v>872</v>
      </c>
      <c r="N15" s="1710"/>
      <c r="O15" s="166" t="s">
        <v>872</v>
      </c>
      <c r="P15" s="1710"/>
      <c r="Q15" s="166" t="s">
        <v>872</v>
      </c>
      <c r="R15" s="1710"/>
      <c r="S15" s="167" t="s">
        <v>873</v>
      </c>
      <c r="T15" s="168">
        <f>SUM(F15:R15)</f>
        <v>0</v>
      </c>
      <c r="U15" s="2202"/>
      <c r="V15" s="9" t="b">
        <f>T15&lt;&gt;0</f>
        <v>0</v>
      </c>
      <c r="W15" s="2093" t="str">
        <f>IFERROR(VLOOKUP($C15,調書!$F$19:$BB$76,50,0),"")</f>
        <v/>
      </c>
    </row>
    <row r="16" spans="2:23" ht="15.75" customHeight="1">
      <c r="B16" s="2982"/>
      <c r="C16" s="1719" t="s">
        <v>875</v>
      </c>
      <c r="D16" s="1720"/>
      <c r="E16" s="2105"/>
      <c r="F16" s="2106" t="s">
        <v>5758</v>
      </c>
      <c r="G16" s="2107"/>
      <c r="H16" s="2107"/>
      <c r="I16" s="2107"/>
      <c r="J16" s="2107"/>
      <c r="K16" s="2107"/>
      <c r="L16" s="2107"/>
      <c r="M16" s="2107"/>
      <c r="N16" s="2107"/>
      <c r="O16" s="2107"/>
      <c r="P16" s="2107"/>
      <c r="Q16" s="2107"/>
      <c r="R16" s="2107"/>
      <c r="S16" s="2107"/>
      <c r="T16" s="2108"/>
      <c r="U16" s="2202"/>
      <c r="V16" s="9" t="b">
        <f>SUM(T16:T27)&lt;&gt;0</f>
        <v>0</v>
      </c>
    </row>
    <row r="17" spans="2:23" ht="15.75" customHeight="1">
      <c r="B17" s="2982"/>
      <c r="C17" s="2989" t="s">
        <v>1430</v>
      </c>
      <c r="D17" s="2992"/>
      <c r="E17" s="161" t="s">
        <v>871</v>
      </c>
      <c r="F17" s="1708"/>
      <c r="G17" s="162" t="s">
        <v>872</v>
      </c>
      <c r="H17" s="1709"/>
      <c r="I17" s="162" t="s">
        <v>872</v>
      </c>
      <c r="J17" s="1709"/>
      <c r="K17" s="162" t="s">
        <v>872</v>
      </c>
      <c r="L17" s="1709"/>
      <c r="M17" s="162" t="s">
        <v>872</v>
      </c>
      <c r="N17" s="1709"/>
      <c r="O17" s="162" t="s">
        <v>872</v>
      </c>
      <c r="P17" s="1709"/>
      <c r="Q17" s="162" t="s">
        <v>872</v>
      </c>
      <c r="R17" s="1709"/>
      <c r="S17" s="163" t="s">
        <v>873</v>
      </c>
      <c r="T17" s="164">
        <f t="shared" ref="T17:T23" si="0">SUM(F17:R17)</f>
        <v>0</v>
      </c>
      <c r="U17" s="2202"/>
      <c r="V17" s="9" t="b">
        <f t="shared" ref="V17:V23" si="1">T17&lt;&gt;0</f>
        <v>0</v>
      </c>
      <c r="W17" s="2093" t="str">
        <f>IFERROR(VLOOKUP($C17,調書!$F$19:$BB$76,50,0),"")</f>
        <v/>
      </c>
    </row>
    <row r="18" spans="2:23" ht="15.75" customHeight="1">
      <c r="B18" s="2982"/>
      <c r="C18" s="2989" t="s">
        <v>1433</v>
      </c>
      <c r="D18" s="2992"/>
      <c r="E18" s="165" t="s">
        <v>871</v>
      </c>
      <c r="F18" s="1701"/>
      <c r="G18" s="169" t="s">
        <v>872</v>
      </c>
      <c r="H18" s="1712"/>
      <c r="I18" s="169" t="s">
        <v>872</v>
      </c>
      <c r="J18" s="1712"/>
      <c r="K18" s="169" t="s">
        <v>872</v>
      </c>
      <c r="L18" s="1712"/>
      <c r="M18" s="169" t="s">
        <v>872</v>
      </c>
      <c r="N18" s="1712"/>
      <c r="O18" s="169" t="s">
        <v>872</v>
      </c>
      <c r="P18" s="1712"/>
      <c r="Q18" s="169" t="s">
        <v>872</v>
      </c>
      <c r="R18" s="1712"/>
      <c r="S18" s="170" t="s">
        <v>873</v>
      </c>
      <c r="T18" s="171">
        <f t="shared" si="0"/>
        <v>0</v>
      </c>
      <c r="U18" s="2202"/>
      <c r="V18" s="9" t="b">
        <f t="shared" si="1"/>
        <v>0</v>
      </c>
      <c r="W18" s="2093" t="str">
        <f>IFERROR(VLOOKUP($C18,調書!$F$19:$BB$76,50,0),"")</f>
        <v/>
      </c>
    </row>
    <row r="19" spans="2:23" ht="15.75" customHeight="1">
      <c r="B19" s="2982"/>
      <c r="C19" s="2989" t="s">
        <v>1013</v>
      </c>
      <c r="D19" s="2992"/>
      <c r="E19" s="165" t="s">
        <v>871</v>
      </c>
      <c r="F19" s="1701"/>
      <c r="G19" s="169" t="s">
        <v>872</v>
      </c>
      <c r="H19" s="1712"/>
      <c r="I19" s="169" t="s">
        <v>872</v>
      </c>
      <c r="J19" s="1712"/>
      <c r="K19" s="169" t="s">
        <v>872</v>
      </c>
      <c r="L19" s="1712"/>
      <c r="M19" s="169" t="s">
        <v>872</v>
      </c>
      <c r="N19" s="1712"/>
      <c r="O19" s="169" t="s">
        <v>872</v>
      </c>
      <c r="P19" s="1712"/>
      <c r="Q19" s="169" t="s">
        <v>872</v>
      </c>
      <c r="R19" s="1712"/>
      <c r="S19" s="170" t="s">
        <v>873</v>
      </c>
      <c r="T19" s="171">
        <f t="shared" si="0"/>
        <v>0</v>
      </c>
      <c r="U19" s="2202"/>
      <c r="V19" s="9" t="b">
        <f t="shared" si="1"/>
        <v>0</v>
      </c>
      <c r="W19" s="2093" t="str">
        <f>IFERROR(VLOOKUP($C19,調書!$F$19:$BB$76,50,0),"")</f>
        <v/>
      </c>
    </row>
    <row r="20" spans="2:23" ht="15.75" customHeight="1">
      <c r="B20" s="2982"/>
      <c r="C20" s="2989" t="s">
        <v>1014</v>
      </c>
      <c r="D20" s="2992"/>
      <c r="E20" s="165" t="s">
        <v>871</v>
      </c>
      <c r="F20" s="1701"/>
      <c r="G20" s="169" t="s">
        <v>872</v>
      </c>
      <c r="H20" s="1712"/>
      <c r="I20" s="169" t="s">
        <v>872</v>
      </c>
      <c r="J20" s="1712"/>
      <c r="K20" s="169" t="s">
        <v>872</v>
      </c>
      <c r="L20" s="1712"/>
      <c r="M20" s="169" t="s">
        <v>872</v>
      </c>
      <c r="N20" s="1712"/>
      <c r="O20" s="169" t="s">
        <v>872</v>
      </c>
      <c r="P20" s="1712"/>
      <c r="Q20" s="169" t="s">
        <v>872</v>
      </c>
      <c r="R20" s="1712"/>
      <c r="S20" s="170" t="s">
        <v>873</v>
      </c>
      <c r="T20" s="171">
        <f t="shared" si="0"/>
        <v>0</v>
      </c>
      <c r="U20" s="2202"/>
      <c r="V20" s="9" t="b">
        <f t="shared" si="1"/>
        <v>0</v>
      </c>
      <c r="W20" s="2093" t="str">
        <f>IFERROR(VLOOKUP($C20,調書!$F$19:$BB$76,50,0),"")</f>
        <v/>
      </c>
    </row>
    <row r="21" spans="2:23" ht="15.75" customHeight="1">
      <c r="B21" s="2982"/>
      <c r="C21" s="2989" t="s">
        <v>1016</v>
      </c>
      <c r="D21" s="2992"/>
      <c r="E21" s="165" t="s">
        <v>871</v>
      </c>
      <c r="F21" s="1701"/>
      <c r="G21" s="169" t="s">
        <v>872</v>
      </c>
      <c r="H21" s="1712"/>
      <c r="I21" s="169" t="s">
        <v>872</v>
      </c>
      <c r="J21" s="1712"/>
      <c r="K21" s="169" t="s">
        <v>872</v>
      </c>
      <c r="L21" s="1712"/>
      <c r="M21" s="169" t="s">
        <v>872</v>
      </c>
      <c r="N21" s="1712"/>
      <c r="O21" s="169" t="s">
        <v>872</v>
      </c>
      <c r="P21" s="1712"/>
      <c r="Q21" s="169" t="s">
        <v>872</v>
      </c>
      <c r="R21" s="1712"/>
      <c r="S21" s="170" t="s">
        <v>873</v>
      </c>
      <c r="T21" s="171">
        <f t="shared" si="0"/>
        <v>0</v>
      </c>
      <c r="U21" s="2202"/>
      <c r="V21" s="9" t="b">
        <f t="shared" si="1"/>
        <v>0</v>
      </c>
      <c r="W21" s="2093" t="str">
        <f>IFERROR(VLOOKUP($C21,調書!$F$19:$BB$76,50,0),"")</f>
        <v/>
      </c>
    </row>
    <row r="22" spans="2:23" ht="15.75" customHeight="1">
      <c r="B22" s="2982"/>
      <c r="C22" s="2989"/>
      <c r="D22" s="2992"/>
      <c r="E22" s="165" t="s">
        <v>871</v>
      </c>
      <c r="F22" s="1701"/>
      <c r="G22" s="169" t="s">
        <v>872</v>
      </c>
      <c r="H22" s="1712"/>
      <c r="I22" s="169" t="s">
        <v>872</v>
      </c>
      <c r="J22" s="1712"/>
      <c r="K22" s="169" t="s">
        <v>872</v>
      </c>
      <c r="L22" s="1712"/>
      <c r="M22" s="169" t="s">
        <v>872</v>
      </c>
      <c r="N22" s="1712"/>
      <c r="O22" s="169" t="s">
        <v>872</v>
      </c>
      <c r="P22" s="1712"/>
      <c r="Q22" s="169" t="s">
        <v>872</v>
      </c>
      <c r="R22" s="1712"/>
      <c r="S22" s="170" t="s">
        <v>873</v>
      </c>
      <c r="T22" s="171">
        <f t="shared" si="0"/>
        <v>0</v>
      </c>
      <c r="U22" s="2202"/>
      <c r="V22" s="9" t="b">
        <f t="shared" si="1"/>
        <v>0</v>
      </c>
      <c r="W22" s="2093" t="str">
        <f>IFERROR(VLOOKUP($C22,調書!$F$19:$BB$76,50,0),"")</f>
        <v/>
      </c>
    </row>
    <row r="23" spans="2:23" ht="15.75" customHeight="1">
      <c r="B23" s="2982"/>
      <c r="C23" s="2989"/>
      <c r="D23" s="2992"/>
      <c r="E23" s="165" t="s">
        <v>871</v>
      </c>
      <c r="F23" s="1701"/>
      <c r="G23" s="169" t="s">
        <v>872</v>
      </c>
      <c r="H23" s="1712"/>
      <c r="I23" s="169" t="s">
        <v>872</v>
      </c>
      <c r="J23" s="1712"/>
      <c r="K23" s="169" t="s">
        <v>872</v>
      </c>
      <c r="L23" s="1712"/>
      <c r="M23" s="169" t="s">
        <v>872</v>
      </c>
      <c r="N23" s="1712"/>
      <c r="O23" s="169" t="s">
        <v>872</v>
      </c>
      <c r="P23" s="1712"/>
      <c r="Q23" s="169" t="s">
        <v>872</v>
      </c>
      <c r="R23" s="1712"/>
      <c r="S23" s="170" t="s">
        <v>873</v>
      </c>
      <c r="T23" s="171">
        <f t="shared" si="0"/>
        <v>0</v>
      </c>
      <c r="U23" s="2202"/>
      <c r="V23" s="9" t="b">
        <f t="shared" si="1"/>
        <v>0</v>
      </c>
      <c r="W23" s="2093" t="str">
        <f>IFERROR(VLOOKUP($C23,調書!$F$19:$BB$76,50,0),"")</f>
        <v/>
      </c>
    </row>
    <row r="24" spans="2:23" ht="15.75" customHeight="1">
      <c r="B24" s="2982"/>
      <c r="C24" s="1719" t="s">
        <v>1281</v>
      </c>
      <c r="D24" s="1720"/>
      <c r="E24" s="1721"/>
      <c r="F24" s="1721"/>
      <c r="G24" s="1721"/>
      <c r="H24" s="1721"/>
      <c r="I24" s="1721"/>
      <c r="J24" s="1721"/>
      <c r="K24" s="1721"/>
      <c r="L24" s="1721"/>
      <c r="M24" s="1721"/>
      <c r="N24" s="1721"/>
      <c r="O24" s="1721"/>
      <c r="P24" s="1721"/>
      <c r="Q24" s="1721"/>
      <c r="R24" s="1721"/>
      <c r="S24" s="1721"/>
      <c r="T24" s="1722"/>
      <c r="U24" s="2202"/>
      <c r="V24" s="9" t="b">
        <f>SUM(T24:T27)&lt;&gt;0</f>
        <v>0</v>
      </c>
    </row>
    <row r="25" spans="2:23" ht="15.75" customHeight="1">
      <c r="B25" s="2982"/>
      <c r="C25" s="2989" t="str">
        <f>+調書!F73</f>
        <v>コンクリートブロック ［臥梁共］（㎡）</v>
      </c>
      <c r="D25" s="2992"/>
      <c r="E25" s="161" t="s">
        <v>871</v>
      </c>
      <c r="F25" s="1700"/>
      <c r="G25" s="175" t="s">
        <v>872</v>
      </c>
      <c r="H25" s="1713"/>
      <c r="I25" s="175" t="s">
        <v>872</v>
      </c>
      <c r="J25" s="1713"/>
      <c r="K25" s="175" t="s">
        <v>872</v>
      </c>
      <c r="L25" s="1713"/>
      <c r="M25" s="175" t="s">
        <v>872</v>
      </c>
      <c r="N25" s="1713"/>
      <c r="O25" s="175" t="s">
        <v>872</v>
      </c>
      <c r="P25" s="1713"/>
      <c r="Q25" s="175" t="s">
        <v>872</v>
      </c>
      <c r="R25" s="1713"/>
      <c r="S25" s="176" t="s">
        <v>873</v>
      </c>
      <c r="T25" s="177">
        <f>SUM(F25:R25)</f>
        <v>0</v>
      </c>
      <c r="U25" s="2202"/>
      <c r="V25" s="9" t="b">
        <f>T25&lt;&gt;0</f>
        <v>0</v>
      </c>
      <c r="W25" s="2093" t="str">
        <f>IFERROR(VLOOKUP($C25,調書!$F$19:$BB$76,50,0),"")</f>
        <v/>
      </c>
    </row>
    <row r="26" spans="2:23" ht="15.75" customHeight="1">
      <c r="B26" s="2982"/>
      <c r="C26" s="1719" t="s">
        <v>876</v>
      </c>
      <c r="D26" s="1720"/>
      <c r="E26" s="1721"/>
      <c r="F26" s="1721"/>
      <c r="G26" s="1721"/>
      <c r="H26" s="1721"/>
      <c r="I26" s="1721"/>
      <c r="J26" s="1721"/>
      <c r="K26" s="1721"/>
      <c r="L26" s="1721"/>
      <c r="M26" s="1721"/>
      <c r="N26" s="1721"/>
      <c r="O26" s="1721"/>
      <c r="P26" s="1721"/>
      <c r="Q26" s="1721"/>
      <c r="R26" s="1721"/>
      <c r="S26" s="1721"/>
      <c r="T26" s="1722"/>
      <c r="U26" s="2202"/>
      <c r="V26" s="9" t="b">
        <f>V27</f>
        <v>0</v>
      </c>
    </row>
    <row r="27" spans="2:23" ht="15.75" customHeight="1">
      <c r="B27" s="2982"/>
      <c r="C27" s="2998" t="s">
        <v>733</v>
      </c>
      <c r="D27" s="2999"/>
      <c r="E27" s="172" t="s">
        <v>871</v>
      </c>
      <c r="F27" s="1714"/>
      <c r="G27" s="173" t="s">
        <v>872</v>
      </c>
      <c r="H27" s="1715"/>
      <c r="I27" s="173" t="s">
        <v>872</v>
      </c>
      <c r="J27" s="1715"/>
      <c r="K27" s="173" t="s">
        <v>872</v>
      </c>
      <c r="L27" s="1715"/>
      <c r="M27" s="173" t="s">
        <v>872</v>
      </c>
      <c r="N27" s="1715"/>
      <c r="O27" s="173" t="s">
        <v>872</v>
      </c>
      <c r="P27" s="1715"/>
      <c r="Q27" s="173" t="s">
        <v>872</v>
      </c>
      <c r="R27" s="1715"/>
      <c r="S27" s="70" t="s">
        <v>873</v>
      </c>
      <c r="T27" s="174">
        <f>SUM(F27:R27)</f>
        <v>0</v>
      </c>
      <c r="U27" s="2202"/>
      <c r="V27" s="9" t="b">
        <f>T27&lt;&gt;0</f>
        <v>0</v>
      </c>
      <c r="W27" s="2093" t="str">
        <f>IFERROR(VLOOKUP($C27,調書!$F$19:$BB$76,50,0),"")</f>
        <v/>
      </c>
    </row>
    <row r="28" spans="2:23" ht="15.75" customHeight="1">
      <c r="B28" s="2982"/>
      <c r="C28" s="1719" t="s">
        <v>877</v>
      </c>
      <c r="D28" s="1720"/>
      <c r="E28" s="1721"/>
      <c r="F28" s="1721"/>
      <c r="G28" s="1721"/>
      <c r="H28" s="1721"/>
      <c r="I28" s="1721"/>
      <c r="J28" s="1721"/>
      <c r="K28" s="1721"/>
      <c r="L28" s="1721"/>
      <c r="M28" s="1721"/>
      <c r="N28" s="1721"/>
      <c r="O28" s="1721"/>
      <c r="P28" s="1721"/>
      <c r="Q28" s="1721"/>
      <c r="R28" s="1721"/>
      <c r="S28" s="1721"/>
      <c r="T28" s="1722"/>
      <c r="U28" s="2202"/>
      <c r="V28" s="9" t="b">
        <f>V29</f>
        <v>0</v>
      </c>
    </row>
    <row r="29" spans="2:23" ht="15.75" customHeight="1">
      <c r="B29" s="2982"/>
      <c r="C29" s="2996" t="str">
        <f>HYPERLINK("#調書!c174","&lt;調書直接入力&gt;")</f>
        <v>&lt;調書直接入力&gt;</v>
      </c>
      <c r="D29" s="2997"/>
      <c r="E29" s="2976" t="s">
        <v>410</v>
      </c>
      <c r="F29" s="2977"/>
      <c r="G29" s="2977"/>
      <c r="H29" s="2977"/>
      <c r="I29" s="2977"/>
      <c r="J29" s="2977"/>
      <c r="K29" s="2977"/>
      <c r="L29" s="2977"/>
      <c r="M29" s="2977"/>
      <c r="N29" s="2977"/>
      <c r="O29" s="2977"/>
      <c r="P29" s="2977"/>
      <c r="Q29" s="2977"/>
      <c r="R29" s="2977"/>
      <c r="S29" s="2977"/>
      <c r="T29" s="2978"/>
      <c r="U29" s="2202"/>
      <c r="V29" s="9" t="b">
        <v>0</v>
      </c>
    </row>
    <row r="30" spans="2:23" ht="15.75" customHeight="1">
      <c r="B30" s="2985"/>
      <c r="C30" s="1591"/>
      <c r="D30" s="1591"/>
      <c r="E30" s="1721"/>
      <c r="F30" s="1721"/>
      <c r="G30" s="1721"/>
      <c r="H30" s="1721"/>
      <c r="I30" s="1721"/>
      <c r="J30" s="1721"/>
      <c r="K30" s="1721"/>
      <c r="L30" s="1721"/>
      <c r="M30" s="1721"/>
      <c r="N30" s="1721"/>
      <c r="O30" s="1721"/>
      <c r="P30" s="1721"/>
      <c r="Q30" s="1723"/>
      <c r="R30" s="1724" t="s">
        <v>411</v>
      </c>
      <c r="S30" s="1721"/>
      <c r="T30" s="180" t="s">
        <v>412</v>
      </c>
      <c r="U30" s="2202"/>
      <c r="V30" s="9" t="b">
        <f>COUNTIF(V6:V29,TRUE)&lt;&gt;0</f>
        <v>0</v>
      </c>
    </row>
    <row r="31" spans="2:23" ht="15.75" customHeight="1">
      <c r="C31" s="181"/>
      <c r="D31" s="181"/>
      <c r="U31" s="2202"/>
    </row>
    <row r="32" spans="2:23" ht="15.75" customHeight="1">
      <c r="B32" s="44"/>
      <c r="C32" s="182"/>
      <c r="D32" s="182"/>
      <c r="E32" s="44"/>
      <c r="F32" s="44"/>
      <c r="G32" s="44"/>
      <c r="H32" s="44"/>
      <c r="I32" s="44"/>
      <c r="J32" s="44"/>
      <c r="K32" s="44"/>
      <c r="L32" s="44"/>
      <c r="M32" s="44"/>
      <c r="N32" s="44"/>
      <c r="O32" s="44"/>
      <c r="P32" s="44"/>
      <c r="Q32" s="44"/>
      <c r="R32" s="44"/>
      <c r="S32" s="44"/>
      <c r="T32" s="44"/>
      <c r="U32" s="2202"/>
    </row>
    <row r="33" spans="2:23" ht="15.75" customHeight="1">
      <c r="B33" s="2443" t="s">
        <v>413</v>
      </c>
      <c r="C33" s="2989"/>
      <c r="D33" s="2990"/>
      <c r="E33" s="161" t="s">
        <v>871</v>
      </c>
      <c r="F33" s="1700"/>
      <c r="G33" s="118" t="s">
        <v>872</v>
      </c>
      <c r="H33" s="1713"/>
      <c r="I33" s="118" t="s">
        <v>872</v>
      </c>
      <c r="J33" s="1713"/>
      <c r="K33" s="118" t="s">
        <v>872</v>
      </c>
      <c r="L33" s="1713"/>
      <c r="M33" s="118" t="s">
        <v>872</v>
      </c>
      <c r="N33" s="1713"/>
      <c r="O33" s="118" t="s">
        <v>872</v>
      </c>
      <c r="P33" s="1713"/>
      <c r="Q33" s="118" t="s">
        <v>872</v>
      </c>
      <c r="R33" s="1713"/>
      <c r="S33" s="138" t="s">
        <v>873</v>
      </c>
      <c r="T33" s="177">
        <f>SUM(F33:R33)</f>
        <v>0</v>
      </c>
      <c r="U33" s="2202"/>
      <c r="V33" s="9" t="b">
        <f>C33&lt;&gt;0</f>
        <v>0</v>
      </c>
      <c r="W33" s="2093" t="str">
        <f>IFERROR(VLOOKUP($C33,調書!$F$191:$BB$272,50,0),"")</f>
        <v/>
      </c>
    </row>
    <row r="34" spans="2:23" ht="15.75" customHeight="1">
      <c r="B34" s="2445"/>
      <c r="C34" s="2979"/>
      <c r="D34" s="2980"/>
      <c r="E34" s="165" t="s">
        <v>871</v>
      </c>
      <c r="F34" s="1701"/>
      <c r="G34" s="104" t="s">
        <v>872</v>
      </c>
      <c r="H34" s="1712"/>
      <c r="I34" s="104" t="s">
        <v>872</v>
      </c>
      <c r="J34" s="1712"/>
      <c r="K34" s="104" t="s">
        <v>872</v>
      </c>
      <c r="L34" s="1712"/>
      <c r="M34" s="104" t="s">
        <v>872</v>
      </c>
      <c r="N34" s="1712"/>
      <c r="O34" s="104" t="s">
        <v>872</v>
      </c>
      <c r="P34" s="1712"/>
      <c r="Q34" s="104" t="s">
        <v>872</v>
      </c>
      <c r="R34" s="1712"/>
      <c r="S34" s="77" t="s">
        <v>873</v>
      </c>
      <c r="T34" s="171">
        <f>SUM(F34:R34)</f>
        <v>0</v>
      </c>
      <c r="U34" s="2202"/>
      <c r="V34" s="9" t="b">
        <f>C34&lt;&gt;0</f>
        <v>0</v>
      </c>
      <c r="W34" s="2093" t="str">
        <f>IFERROR(VLOOKUP($C34,調書!$F$191:$BB$272,50,0),"")</f>
        <v/>
      </c>
    </row>
    <row r="35" spans="2:23" ht="15.75" customHeight="1">
      <c r="B35" s="2445"/>
      <c r="C35" s="2979"/>
      <c r="D35" s="2986"/>
      <c r="E35" s="165" t="s">
        <v>871</v>
      </c>
      <c r="F35" s="1701"/>
      <c r="G35" s="104" t="s">
        <v>872</v>
      </c>
      <c r="H35" s="1712"/>
      <c r="I35" s="104" t="s">
        <v>872</v>
      </c>
      <c r="J35" s="1712"/>
      <c r="K35" s="104" t="s">
        <v>872</v>
      </c>
      <c r="L35" s="1712"/>
      <c r="M35" s="104" t="s">
        <v>872</v>
      </c>
      <c r="N35" s="1712"/>
      <c r="O35" s="104" t="s">
        <v>872</v>
      </c>
      <c r="P35" s="1712"/>
      <c r="Q35" s="104" t="s">
        <v>872</v>
      </c>
      <c r="R35" s="1712"/>
      <c r="S35" s="77" t="s">
        <v>873</v>
      </c>
      <c r="T35" s="171">
        <f>SUM(F35:R35)</f>
        <v>0</v>
      </c>
      <c r="U35" s="2202"/>
      <c r="V35" s="9" t="b">
        <f>C35&lt;&gt;0</f>
        <v>0</v>
      </c>
      <c r="W35" s="2093" t="str">
        <f>IFERROR(VLOOKUP($C35,調書!$F$191:$BB$272,50,0),"")</f>
        <v/>
      </c>
    </row>
    <row r="36" spans="2:23" ht="15.75" customHeight="1">
      <c r="B36" s="2445"/>
      <c r="C36" s="2979"/>
      <c r="D36" s="2986"/>
      <c r="E36" s="165" t="s">
        <v>871</v>
      </c>
      <c r="F36" s="1701"/>
      <c r="G36" s="104" t="s">
        <v>872</v>
      </c>
      <c r="H36" s="1712"/>
      <c r="I36" s="104" t="s">
        <v>872</v>
      </c>
      <c r="J36" s="1712"/>
      <c r="K36" s="104" t="s">
        <v>872</v>
      </c>
      <c r="L36" s="1712"/>
      <c r="M36" s="104" t="s">
        <v>872</v>
      </c>
      <c r="N36" s="1712"/>
      <c r="O36" s="104" t="s">
        <v>872</v>
      </c>
      <c r="P36" s="1712"/>
      <c r="Q36" s="104" t="s">
        <v>872</v>
      </c>
      <c r="R36" s="1712"/>
      <c r="S36" s="77" t="s">
        <v>873</v>
      </c>
      <c r="T36" s="171">
        <f>SUM(F36:R36)</f>
        <v>0</v>
      </c>
      <c r="U36" s="2202"/>
      <c r="V36" s="9" t="b">
        <f>C36&lt;&gt;0</f>
        <v>0</v>
      </c>
      <c r="W36" s="2093" t="str">
        <f>IFERROR(VLOOKUP($C36,調書!$F$191:$BB$272,50,0),"")</f>
        <v/>
      </c>
    </row>
    <row r="37" spans="2:23" ht="15.75" customHeight="1">
      <c r="B37" s="2445"/>
      <c r="C37" s="2987"/>
      <c r="D37" s="2988"/>
      <c r="E37" s="184" t="s">
        <v>871</v>
      </c>
      <c r="F37" s="1697"/>
      <c r="G37" s="8" t="s">
        <v>872</v>
      </c>
      <c r="H37" s="1696"/>
      <c r="I37" s="8" t="s">
        <v>872</v>
      </c>
      <c r="J37" s="1696"/>
      <c r="K37" s="8" t="s">
        <v>872</v>
      </c>
      <c r="L37" s="1696"/>
      <c r="M37" s="8" t="s">
        <v>872</v>
      </c>
      <c r="N37" s="1696"/>
      <c r="O37" s="8" t="s">
        <v>872</v>
      </c>
      <c r="P37" s="1696"/>
      <c r="Q37" s="8" t="s">
        <v>872</v>
      </c>
      <c r="R37" s="1696"/>
      <c r="S37" s="79" t="s">
        <v>873</v>
      </c>
      <c r="T37" s="185">
        <f>SUM(F37:R37)</f>
        <v>0</v>
      </c>
      <c r="U37" s="2202"/>
      <c r="V37" s="9" t="b">
        <f>C37&lt;&gt;0</f>
        <v>0</v>
      </c>
      <c r="W37" s="2093" t="str">
        <f>IFERROR(VLOOKUP($C37,調書!$F$191:$BB$272,50,0),"")</f>
        <v/>
      </c>
    </row>
    <row r="38" spans="2:23" ht="15.75" customHeight="1">
      <c r="B38" s="2985"/>
      <c r="C38" s="1591"/>
      <c r="D38" s="1591"/>
      <c r="E38" s="1721"/>
      <c r="F38" s="1721"/>
      <c r="G38" s="1721"/>
      <c r="H38" s="1721"/>
      <c r="I38" s="1721"/>
      <c r="J38" s="1721"/>
      <c r="K38" s="1721"/>
      <c r="L38" s="1721"/>
      <c r="M38" s="1721"/>
      <c r="N38" s="1721"/>
      <c r="O38" s="1721"/>
      <c r="P38" s="1721"/>
      <c r="Q38" s="1723"/>
      <c r="R38" s="1724" t="s">
        <v>414</v>
      </c>
      <c r="S38" s="1721"/>
      <c r="T38" s="186">
        <f>SUM(T33:T37)</f>
        <v>0</v>
      </c>
      <c r="U38" s="2202"/>
      <c r="V38" s="9" t="b">
        <f>T38&lt;&gt;0</f>
        <v>0</v>
      </c>
    </row>
    <row r="39" spans="2:23" ht="15.75" customHeight="1">
      <c r="C39" s="181"/>
      <c r="D39" s="181"/>
      <c r="U39" s="2202"/>
    </row>
    <row r="40" spans="2:23" ht="15.75" customHeight="1">
      <c r="B40" s="44"/>
      <c r="C40" s="182"/>
      <c r="D40" s="182"/>
      <c r="E40" s="44"/>
      <c r="F40" s="44"/>
      <c r="G40" s="44"/>
      <c r="H40" s="44"/>
      <c r="I40" s="44"/>
      <c r="J40" s="44"/>
      <c r="K40" s="44"/>
      <c r="L40" s="44"/>
      <c r="M40" s="44"/>
      <c r="N40" s="44"/>
      <c r="O40" s="44"/>
      <c r="P40" s="44"/>
      <c r="Q40" s="44"/>
      <c r="R40" s="44"/>
      <c r="S40" s="44"/>
      <c r="T40" s="44"/>
      <c r="U40" s="2202"/>
    </row>
    <row r="41" spans="2:23" ht="15.75" customHeight="1">
      <c r="B41" s="2443" t="s">
        <v>415</v>
      </c>
      <c r="C41" s="2989"/>
      <c r="D41" s="2990"/>
      <c r="E41" s="161" t="s">
        <v>871</v>
      </c>
      <c r="F41" s="1700"/>
      <c r="G41" s="118" t="s">
        <v>872</v>
      </c>
      <c r="H41" s="1713"/>
      <c r="I41" s="118" t="s">
        <v>872</v>
      </c>
      <c r="J41" s="1713"/>
      <c r="K41" s="118" t="s">
        <v>872</v>
      </c>
      <c r="L41" s="1713"/>
      <c r="M41" s="118" t="s">
        <v>872</v>
      </c>
      <c r="N41" s="1713"/>
      <c r="O41" s="118" t="s">
        <v>872</v>
      </c>
      <c r="P41" s="1713"/>
      <c r="Q41" s="118" t="s">
        <v>872</v>
      </c>
      <c r="R41" s="1713"/>
      <c r="S41" s="138" t="s">
        <v>873</v>
      </c>
      <c r="T41" s="177">
        <f>SUM(F41:R41)</f>
        <v>0</v>
      </c>
      <c r="U41" s="2202"/>
      <c r="V41" s="9" t="b">
        <f>C41&lt;&gt;0</f>
        <v>0</v>
      </c>
      <c r="W41" s="2093" t="str">
        <f>IFERROR(VLOOKUP($C41,調書!$F$221:$BB$243,50,0),"")</f>
        <v/>
      </c>
    </row>
    <row r="42" spans="2:23" ht="15.75" customHeight="1">
      <c r="B42" s="2445"/>
      <c r="C42" s="2979"/>
      <c r="D42" s="2986"/>
      <c r="E42" s="165" t="s">
        <v>871</v>
      </c>
      <c r="F42" s="1701"/>
      <c r="G42" s="104" t="s">
        <v>872</v>
      </c>
      <c r="H42" s="1712"/>
      <c r="I42" s="104" t="s">
        <v>872</v>
      </c>
      <c r="J42" s="1712"/>
      <c r="K42" s="104" t="s">
        <v>872</v>
      </c>
      <c r="L42" s="1712"/>
      <c r="M42" s="104" t="s">
        <v>872</v>
      </c>
      <c r="N42" s="1712"/>
      <c r="O42" s="104" t="s">
        <v>872</v>
      </c>
      <c r="P42" s="1712"/>
      <c r="Q42" s="104" t="s">
        <v>872</v>
      </c>
      <c r="R42" s="1712"/>
      <c r="S42" s="77" t="s">
        <v>873</v>
      </c>
      <c r="T42" s="171">
        <f>SUM(F42:R42)</f>
        <v>0</v>
      </c>
      <c r="U42" s="2202"/>
      <c r="V42" s="9" t="b">
        <f>C42&lt;&gt;0</f>
        <v>0</v>
      </c>
      <c r="W42" s="2093" t="str">
        <f>IFERROR(VLOOKUP($C42,調書!$F$221:$BB$243,50,0),"")</f>
        <v/>
      </c>
    </row>
    <row r="43" spans="2:23" ht="15.75" customHeight="1">
      <c r="B43" s="2445"/>
      <c r="C43" s="2979"/>
      <c r="D43" s="2986"/>
      <c r="E43" s="165" t="s">
        <v>871</v>
      </c>
      <c r="F43" s="1701"/>
      <c r="G43" s="104" t="s">
        <v>872</v>
      </c>
      <c r="H43" s="1712"/>
      <c r="I43" s="104" t="s">
        <v>872</v>
      </c>
      <c r="J43" s="1712"/>
      <c r="K43" s="104" t="s">
        <v>872</v>
      </c>
      <c r="L43" s="1712"/>
      <c r="M43" s="104" t="s">
        <v>872</v>
      </c>
      <c r="N43" s="1712"/>
      <c r="O43" s="104" t="s">
        <v>872</v>
      </c>
      <c r="P43" s="1712"/>
      <c r="Q43" s="104" t="s">
        <v>872</v>
      </c>
      <c r="R43" s="1712"/>
      <c r="S43" s="77" t="s">
        <v>873</v>
      </c>
      <c r="T43" s="171">
        <f>SUM(F43:R43)</f>
        <v>0</v>
      </c>
      <c r="U43" s="2202"/>
      <c r="V43" s="9" t="b">
        <f>C43&lt;&gt;0</f>
        <v>0</v>
      </c>
      <c r="W43" s="2093" t="str">
        <f>IFERROR(VLOOKUP($C43,調書!$F$221:$BB$243,50,0),"")</f>
        <v/>
      </c>
    </row>
    <row r="44" spans="2:23" ht="15.75" customHeight="1">
      <c r="B44" s="2445"/>
      <c r="C44" s="2979"/>
      <c r="D44" s="2986"/>
      <c r="E44" s="165" t="s">
        <v>871</v>
      </c>
      <c r="F44" s="1701"/>
      <c r="G44" s="104" t="s">
        <v>872</v>
      </c>
      <c r="H44" s="1712"/>
      <c r="I44" s="104" t="s">
        <v>872</v>
      </c>
      <c r="J44" s="1712"/>
      <c r="K44" s="104" t="s">
        <v>872</v>
      </c>
      <c r="L44" s="1712"/>
      <c r="M44" s="104" t="s">
        <v>872</v>
      </c>
      <c r="N44" s="1712"/>
      <c r="O44" s="104" t="s">
        <v>872</v>
      </c>
      <c r="P44" s="1712"/>
      <c r="Q44" s="104" t="s">
        <v>872</v>
      </c>
      <c r="R44" s="1712"/>
      <c r="S44" s="77" t="s">
        <v>873</v>
      </c>
      <c r="T44" s="171">
        <f>SUM(F44:R44)</f>
        <v>0</v>
      </c>
      <c r="U44" s="2202"/>
      <c r="V44" s="9" t="b">
        <f>C44&lt;&gt;0</f>
        <v>0</v>
      </c>
      <c r="W44" s="2093" t="str">
        <f>IFERROR(VLOOKUP($C44,調書!$F$221:$BB$243,50,0),"")</f>
        <v/>
      </c>
    </row>
    <row r="45" spans="2:23" ht="15.75" customHeight="1">
      <c r="B45" s="2445"/>
      <c r="C45" s="2987"/>
      <c r="D45" s="2988"/>
      <c r="E45" s="184" t="s">
        <v>871</v>
      </c>
      <c r="F45" s="1697"/>
      <c r="G45" s="8" t="s">
        <v>872</v>
      </c>
      <c r="H45" s="1696"/>
      <c r="I45" s="8" t="s">
        <v>872</v>
      </c>
      <c r="J45" s="1696"/>
      <c r="K45" s="8" t="s">
        <v>872</v>
      </c>
      <c r="L45" s="1696"/>
      <c r="M45" s="8" t="s">
        <v>872</v>
      </c>
      <c r="N45" s="1696"/>
      <c r="O45" s="8" t="s">
        <v>872</v>
      </c>
      <c r="P45" s="1696"/>
      <c r="Q45" s="8" t="s">
        <v>872</v>
      </c>
      <c r="R45" s="1696"/>
      <c r="S45" s="79" t="s">
        <v>873</v>
      </c>
      <c r="T45" s="185">
        <f>SUM(F45:R45)</f>
        <v>0</v>
      </c>
      <c r="U45" s="2202"/>
      <c r="V45" s="9" t="b">
        <f>C45&lt;&gt;0</f>
        <v>0</v>
      </c>
      <c r="W45" s="2093" t="str">
        <f>IFERROR(VLOOKUP($C45,調書!$F$221:$BB$243,50,0),"")</f>
        <v/>
      </c>
    </row>
    <row r="46" spans="2:23" ht="15.75" customHeight="1">
      <c r="B46" s="2985"/>
      <c r="C46" s="1591"/>
      <c r="D46" s="1591"/>
      <c r="E46" s="1721"/>
      <c r="F46" s="1721"/>
      <c r="G46" s="1721"/>
      <c r="H46" s="1721"/>
      <c r="I46" s="1721"/>
      <c r="J46" s="1721"/>
      <c r="K46" s="1721"/>
      <c r="L46" s="1721"/>
      <c r="M46" s="1721"/>
      <c r="N46" s="1721"/>
      <c r="O46" s="1721"/>
      <c r="P46" s="1721"/>
      <c r="Q46" s="1723"/>
      <c r="R46" s="1724" t="s">
        <v>414</v>
      </c>
      <c r="S46" s="1721"/>
      <c r="T46" s="186">
        <f>SUM(T41:T45)</f>
        <v>0</v>
      </c>
      <c r="U46" s="2202"/>
      <c r="V46" s="9" t="b">
        <f>T46&lt;&gt;0</f>
        <v>0</v>
      </c>
    </row>
    <row r="47" spans="2:23" ht="15.75" customHeight="1">
      <c r="C47" s="181"/>
      <c r="D47" s="181"/>
      <c r="U47" s="2202"/>
    </row>
    <row r="48" spans="2:23" ht="15.75" customHeight="1">
      <c r="B48" s="44"/>
      <c r="C48" s="182"/>
      <c r="D48" s="182"/>
      <c r="E48" s="44"/>
      <c r="F48" s="44"/>
      <c r="G48" s="44"/>
      <c r="H48" s="44"/>
      <c r="I48" s="44"/>
      <c r="J48" s="44"/>
      <c r="K48" s="44"/>
      <c r="L48" s="44"/>
      <c r="M48" s="44"/>
      <c r="N48" s="44"/>
      <c r="O48" s="44"/>
      <c r="P48" s="44"/>
      <c r="Q48" s="44"/>
      <c r="R48" s="44"/>
      <c r="S48" s="44"/>
      <c r="T48" s="44"/>
      <c r="U48" s="2202"/>
    </row>
    <row r="49" spans="2:23" ht="15.75" customHeight="1">
      <c r="B49" s="2443" t="s">
        <v>416</v>
      </c>
      <c r="C49" s="2989"/>
      <c r="D49" s="2990"/>
      <c r="E49" s="161" t="s">
        <v>871</v>
      </c>
      <c r="F49" s="1713"/>
      <c r="G49" s="118" t="s">
        <v>872</v>
      </c>
      <c r="H49" s="1713"/>
      <c r="I49" s="118" t="s">
        <v>872</v>
      </c>
      <c r="J49" s="1713"/>
      <c r="K49" s="118" t="s">
        <v>872</v>
      </c>
      <c r="L49" s="1713"/>
      <c r="M49" s="118" t="s">
        <v>872</v>
      </c>
      <c r="N49" s="1713"/>
      <c r="O49" s="118" t="s">
        <v>872</v>
      </c>
      <c r="P49" s="1713"/>
      <c r="Q49" s="118" t="s">
        <v>872</v>
      </c>
      <c r="R49" s="1713"/>
      <c r="S49" s="138" t="s">
        <v>873</v>
      </c>
      <c r="T49" s="177">
        <f>SUM(F49:R49)</f>
        <v>0</v>
      </c>
      <c r="U49" s="2202"/>
      <c r="V49" s="9" t="b">
        <f>C49&lt;&gt;0</f>
        <v>0</v>
      </c>
      <c r="W49" s="2093" t="str">
        <f>IFERROR(VLOOKUP($C49,調書!$F$250:$BB$272,50,0),"")</f>
        <v/>
      </c>
    </row>
    <row r="50" spans="2:23" ht="15.75" customHeight="1">
      <c r="B50" s="2445"/>
      <c r="C50" s="2979"/>
      <c r="D50" s="2986"/>
      <c r="E50" s="165" t="s">
        <v>871</v>
      </c>
      <c r="F50" s="1712"/>
      <c r="G50" s="104" t="s">
        <v>872</v>
      </c>
      <c r="H50" s="1712"/>
      <c r="I50" s="104" t="s">
        <v>872</v>
      </c>
      <c r="J50" s="1712"/>
      <c r="K50" s="104" t="s">
        <v>872</v>
      </c>
      <c r="L50" s="1712"/>
      <c r="M50" s="104" t="s">
        <v>872</v>
      </c>
      <c r="N50" s="1712"/>
      <c r="O50" s="104" t="s">
        <v>872</v>
      </c>
      <c r="P50" s="1712"/>
      <c r="Q50" s="104" t="s">
        <v>872</v>
      </c>
      <c r="R50" s="1712"/>
      <c r="S50" s="77" t="s">
        <v>873</v>
      </c>
      <c r="T50" s="171">
        <f>SUM(F50:R50)</f>
        <v>0</v>
      </c>
      <c r="U50" s="2202"/>
      <c r="V50" s="9" t="b">
        <f>C50&lt;&gt;0</f>
        <v>0</v>
      </c>
      <c r="W50" s="2093" t="str">
        <f>IFERROR(VLOOKUP($C50,調書!$F$250:$BB$272,50,0),"")</f>
        <v/>
      </c>
    </row>
    <row r="51" spans="2:23" ht="15.75" customHeight="1">
      <c r="B51" s="2445"/>
      <c r="C51" s="2979"/>
      <c r="D51" s="2986"/>
      <c r="E51" s="165" t="s">
        <v>871</v>
      </c>
      <c r="F51" s="1712"/>
      <c r="G51" s="104" t="s">
        <v>872</v>
      </c>
      <c r="H51" s="1712"/>
      <c r="I51" s="104" t="s">
        <v>872</v>
      </c>
      <c r="J51" s="1712"/>
      <c r="K51" s="104" t="s">
        <v>872</v>
      </c>
      <c r="L51" s="1712"/>
      <c r="M51" s="104" t="s">
        <v>872</v>
      </c>
      <c r="N51" s="1712"/>
      <c r="O51" s="104" t="s">
        <v>872</v>
      </c>
      <c r="P51" s="1712"/>
      <c r="Q51" s="104" t="s">
        <v>872</v>
      </c>
      <c r="R51" s="1712"/>
      <c r="S51" s="77" t="s">
        <v>873</v>
      </c>
      <c r="T51" s="171">
        <f>SUM(F51:R51)</f>
        <v>0</v>
      </c>
      <c r="U51" s="2202"/>
      <c r="V51" s="9" t="b">
        <f>C51&lt;&gt;0</f>
        <v>0</v>
      </c>
      <c r="W51" s="2093" t="str">
        <f>IFERROR(VLOOKUP($C51,調書!$F$250:$BB$272,50,0),"")</f>
        <v/>
      </c>
    </row>
    <row r="52" spans="2:23" ht="15.75" customHeight="1">
      <c r="B52" s="2445"/>
      <c r="C52" s="2979"/>
      <c r="D52" s="2986"/>
      <c r="E52" s="165" t="s">
        <v>871</v>
      </c>
      <c r="F52" s="1712"/>
      <c r="G52" s="104" t="s">
        <v>872</v>
      </c>
      <c r="H52" s="1712"/>
      <c r="I52" s="104" t="s">
        <v>872</v>
      </c>
      <c r="J52" s="1712"/>
      <c r="K52" s="104" t="s">
        <v>872</v>
      </c>
      <c r="L52" s="1712"/>
      <c r="M52" s="104" t="s">
        <v>872</v>
      </c>
      <c r="N52" s="1712"/>
      <c r="O52" s="104" t="s">
        <v>872</v>
      </c>
      <c r="P52" s="1712"/>
      <c r="Q52" s="104" t="s">
        <v>872</v>
      </c>
      <c r="R52" s="1712"/>
      <c r="S52" s="77" t="s">
        <v>873</v>
      </c>
      <c r="T52" s="171">
        <f>SUM(F52:R52)</f>
        <v>0</v>
      </c>
      <c r="U52" s="2202"/>
      <c r="V52" s="9" t="b">
        <f>C52&lt;&gt;0</f>
        <v>0</v>
      </c>
      <c r="W52" s="2093" t="str">
        <f>IFERROR(VLOOKUP($C52,調書!$F$250:$BB$272,50,0),"")</f>
        <v/>
      </c>
    </row>
    <row r="53" spans="2:23" ht="15.75" customHeight="1">
      <c r="B53" s="2445"/>
      <c r="C53" s="2987"/>
      <c r="D53" s="2988"/>
      <c r="E53" s="184" t="s">
        <v>871</v>
      </c>
      <c r="F53" s="1696"/>
      <c r="G53" s="8" t="s">
        <v>872</v>
      </c>
      <c r="H53" s="1696"/>
      <c r="I53" s="8" t="s">
        <v>872</v>
      </c>
      <c r="J53" s="1696"/>
      <c r="K53" s="8" t="s">
        <v>872</v>
      </c>
      <c r="L53" s="1696"/>
      <c r="M53" s="8" t="s">
        <v>872</v>
      </c>
      <c r="N53" s="1696"/>
      <c r="O53" s="8" t="s">
        <v>872</v>
      </c>
      <c r="P53" s="1696"/>
      <c r="Q53" s="8" t="s">
        <v>872</v>
      </c>
      <c r="R53" s="1696"/>
      <c r="S53" s="79" t="s">
        <v>873</v>
      </c>
      <c r="T53" s="185">
        <f>SUM(F53:R53)</f>
        <v>0</v>
      </c>
      <c r="U53" s="2202"/>
      <c r="V53" s="9" t="b">
        <f>C53&lt;&gt;0</f>
        <v>0</v>
      </c>
      <c r="W53" s="2093" t="str">
        <f>IFERROR(VLOOKUP($C53,調書!$F$250:$BB$272,50,0),"")</f>
        <v/>
      </c>
    </row>
    <row r="54" spans="2:23" ht="15.75" customHeight="1">
      <c r="B54" s="2985"/>
      <c r="C54" s="1591"/>
      <c r="D54" s="1591"/>
      <c r="E54" s="1721"/>
      <c r="F54" s="1721"/>
      <c r="G54" s="1721"/>
      <c r="H54" s="1721"/>
      <c r="I54" s="1721"/>
      <c r="J54" s="1721"/>
      <c r="K54" s="1721"/>
      <c r="L54" s="1721"/>
      <c r="M54" s="1721"/>
      <c r="N54" s="1721"/>
      <c r="O54" s="1721"/>
      <c r="P54" s="1721"/>
      <c r="Q54" s="1723"/>
      <c r="R54" s="1724" t="s">
        <v>414</v>
      </c>
      <c r="S54" s="1721"/>
      <c r="T54" s="186">
        <f>SUM(T49:T53)</f>
        <v>0</v>
      </c>
      <c r="U54" s="2202"/>
      <c r="V54" s="9" t="b">
        <f>T54&lt;&gt;0</f>
        <v>0</v>
      </c>
    </row>
    <row r="55" spans="2:23" ht="15.75" customHeight="1">
      <c r="C55" s="181"/>
      <c r="D55" s="181"/>
      <c r="U55" s="2202"/>
    </row>
    <row r="56" spans="2:23" ht="15.75" customHeight="1">
      <c r="B56" s="44"/>
      <c r="C56" s="182"/>
      <c r="D56" s="182"/>
      <c r="E56" s="44"/>
      <c r="F56" s="44"/>
      <c r="G56" s="44"/>
      <c r="H56" s="44"/>
      <c r="I56" s="44"/>
      <c r="J56" s="44"/>
      <c r="K56" s="44"/>
      <c r="L56" s="44"/>
      <c r="M56" s="44"/>
      <c r="N56" s="44"/>
      <c r="O56" s="44"/>
      <c r="P56" s="44"/>
      <c r="Q56" s="44"/>
      <c r="R56" s="44"/>
      <c r="S56" s="44"/>
      <c r="T56" s="44"/>
      <c r="U56" s="2202"/>
    </row>
    <row r="57" spans="2:23" ht="15.75" customHeight="1">
      <c r="B57" s="2443" t="s">
        <v>417</v>
      </c>
      <c r="C57" s="2989" t="s">
        <v>5710</v>
      </c>
      <c r="D57" s="2990"/>
      <c r="E57" s="161" t="s">
        <v>871</v>
      </c>
      <c r="F57" s="1713"/>
      <c r="G57" s="118" t="s">
        <v>872</v>
      </c>
      <c r="H57" s="1713"/>
      <c r="I57" s="118" t="s">
        <v>872</v>
      </c>
      <c r="J57" s="1713"/>
      <c r="K57" s="118" t="s">
        <v>872</v>
      </c>
      <c r="L57" s="1713"/>
      <c r="M57" s="118" t="s">
        <v>872</v>
      </c>
      <c r="N57" s="1713"/>
      <c r="O57" s="118" t="s">
        <v>872</v>
      </c>
      <c r="P57" s="1713"/>
      <c r="Q57" s="118" t="s">
        <v>872</v>
      </c>
      <c r="R57" s="1713"/>
      <c r="S57" s="138" t="s">
        <v>873</v>
      </c>
      <c r="T57" s="177">
        <f>SUM(F57:R57)</f>
        <v>0</v>
      </c>
      <c r="U57" s="2202"/>
      <c r="V57" s="9" t="b">
        <f>C57&lt;&gt;0</f>
        <v>1</v>
      </c>
      <c r="W57" s="2093" t="str">
        <f>IFERROR(VLOOKUP($C57,調書!$F$279:$BB$303,50,0),"")</f>
        <v/>
      </c>
    </row>
    <row r="58" spans="2:23" ht="15.75" customHeight="1">
      <c r="B58" s="2445"/>
      <c r="C58" s="2979" t="s">
        <v>5711</v>
      </c>
      <c r="D58" s="2986"/>
      <c r="E58" s="165" t="s">
        <v>871</v>
      </c>
      <c r="F58" s="1712"/>
      <c r="G58" s="104" t="s">
        <v>872</v>
      </c>
      <c r="H58" s="1712"/>
      <c r="I58" s="104" t="s">
        <v>872</v>
      </c>
      <c r="J58" s="1712"/>
      <c r="K58" s="104" t="s">
        <v>872</v>
      </c>
      <c r="L58" s="1712"/>
      <c r="M58" s="104" t="s">
        <v>872</v>
      </c>
      <c r="N58" s="1712"/>
      <c r="O58" s="104" t="s">
        <v>872</v>
      </c>
      <c r="P58" s="1712"/>
      <c r="Q58" s="104" t="s">
        <v>872</v>
      </c>
      <c r="R58" s="1712"/>
      <c r="S58" s="77" t="s">
        <v>873</v>
      </c>
      <c r="T58" s="171">
        <f>SUM(F58:R58)</f>
        <v>0</v>
      </c>
      <c r="U58" s="2202"/>
      <c r="V58" s="9" t="b">
        <f>C58&lt;&gt;0</f>
        <v>1</v>
      </c>
      <c r="W58" s="2093" t="str">
        <f>IFERROR(VLOOKUP($C58,調書!$F$279:$BB$303,50,0),"")</f>
        <v/>
      </c>
    </row>
    <row r="59" spans="2:23" ht="15.75" customHeight="1">
      <c r="B59" s="2445"/>
      <c r="C59" s="2979" t="s">
        <v>1318</v>
      </c>
      <c r="D59" s="2986"/>
      <c r="E59" s="165" t="s">
        <v>871</v>
      </c>
      <c r="F59" s="1712"/>
      <c r="G59" s="104" t="s">
        <v>872</v>
      </c>
      <c r="H59" s="1712"/>
      <c r="I59" s="104" t="s">
        <v>872</v>
      </c>
      <c r="J59" s="1712"/>
      <c r="K59" s="104" t="s">
        <v>872</v>
      </c>
      <c r="L59" s="1712"/>
      <c r="M59" s="104" t="s">
        <v>872</v>
      </c>
      <c r="N59" s="1712"/>
      <c r="O59" s="104" t="s">
        <v>872</v>
      </c>
      <c r="P59" s="1712"/>
      <c r="Q59" s="104" t="s">
        <v>872</v>
      </c>
      <c r="R59" s="1712"/>
      <c r="S59" s="77" t="s">
        <v>873</v>
      </c>
      <c r="T59" s="171">
        <f>SUM(F59:R59)</f>
        <v>0</v>
      </c>
      <c r="U59" s="2202"/>
      <c r="V59" s="9" t="b">
        <f>C59&lt;&gt;0</f>
        <v>1</v>
      </c>
      <c r="W59" s="2093" t="str">
        <f>IFERROR(VLOOKUP($C59,調書!$F$279:$BB$303,50,0),"")</f>
        <v/>
      </c>
    </row>
    <row r="60" spans="2:23" ht="15.75" customHeight="1">
      <c r="B60" s="2445"/>
      <c r="C60" s="2979"/>
      <c r="D60" s="2986"/>
      <c r="E60" s="165" t="s">
        <v>871</v>
      </c>
      <c r="F60" s="1712"/>
      <c r="G60" s="104" t="s">
        <v>872</v>
      </c>
      <c r="H60" s="1712"/>
      <c r="I60" s="104" t="s">
        <v>872</v>
      </c>
      <c r="J60" s="1712"/>
      <c r="K60" s="104" t="s">
        <v>872</v>
      </c>
      <c r="L60" s="1712"/>
      <c r="M60" s="104" t="s">
        <v>872</v>
      </c>
      <c r="N60" s="1712"/>
      <c r="O60" s="104" t="s">
        <v>872</v>
      </c>
      <c r="P60" s="1712"/>
      <c r="Q60" s="104" t="s">
        <v>872</v>
      </c>
      <c r="R60" s="1712"/>
      <c r="S60" s="77" t="s">
        <v>873</v>
      </c>
      <c r="T60" s="171">
        <f>SUM(F60:R60)</f>
        <v>0</v>
      </c>
      <c r="U60" s="2202"/>
      <c r="V60" s="9" t="b">
        <f>C60&lt;&gt;0</f>
        <v>0</v>
      </c>
      <c r="W60" s="2093" t="str">
        <f>IFERROR(VLOOKUP($C60,調書!$F$279:$BB$303,50,0),"")</f>
        <v/>
      </c>
    </row>
    <row r="61" spans="2:23" ht="15.75" customHeight="1">
      <c r="B61" s="2445"/>
      <c r="C61" s="2987"/>
      <c r="D61" s="2988"/>
      <c r="E61" s="184" t="s">
        <v>871</v>
      </c>
      <c r="F61" s="1696"/>
      <c r="G61" s="8" t="s">
        <v>872</v>
      </c>
      <c r="H61" s="1696"/>
      <c r="I61" s="8" t="s">
        <v>872</v>
      </c>
      <c r="J61" s="1696"/>
      <c r="K61" s="8" t="s">
        <v>872</v>
      </c>
      <c r="L61" s="1696"/>
      <c r="M61" s="8" t="s">
        <v>872</v>
      </c>
      <c r="N61" s="1696"/>
      <c r="O61" s="8" t="s">
        <v>872</v>
      </c>
      <c r="P61" s="1696"/>
      <c r="Q61" s="8" t="s">
        <v>872</v>
      </c>
      <c r="R61" s="1696"/>
      <c r="S61" s="79" t="s">
        <v>873</v>
      </c>
      <c r="T61" s="185">
        <f>SUM(F61:R61)</f>
        <v>0</v>
      </c>
      <c r="U61" s="2202"/>
      <c r="V61" s="9" t="b">
        <f>C61&lt;&gt;0</f>
        <v>0</v>
      </c>
      <c r="W61" s="2093" t="str">
        <f>IFERROR(VLOOKUP($C61,調書!$F$279:$BB$303,50,0),"")</f>
        <v/>
      </c>
    </row>
    <row r="62" spans="2:23" ht="15.75" customHeight="1">
      <c r="B62" s="2985"/>
      <c r="C62" s="1591"/>
      <c r="D62" s="1591"/>
      <c r="E62" s="1721"/>
      <c r="F62" s="1721"/>
      <c r="G62" s="1721"/>
      <c r="H62" s="1721"/>
      <c r="I62" s="1721"/>
      <c r="J62" s="1721"/>
      <c r="K62" s="1721"/>
      <c r="L62" s="1721"/>
      <c r="M62" s="1721"/>
      <c r="N62" s="1721"/>
      <c r="O62" s="1721"/>
      <c r="P62" s="1721"/>
      <c r="Q62" s="1723"/>
      <c r="R62" s="1724" t="s">
        <v>414</v>
      </c>
      <c r="S62" s="1721"/>
      <c r="T62" s="186">
        <f>SUM(T57:T61)</f>
        <v>0</v>
      </c>
      <c r="U62" s="2202"/>
      <c r="V62" s="9" t="b">
        <f>T62&lt;&gt;0</f>
        <v>0</v>
      </c>
    </row>
    <row r="63" spans="2:23" ht="15.75" customHeight="1">
      <c r="C63" s="181"/>
      <c r="D63" s="181"/>
      <c r="U63" s="2202"/>
    </row>
    <row r="64" spans="2:23" ht="15.75" customHeight="1">
      <c r="B64" s="44"/>
      <c r="C64" s="182"/>
      <c r="D64" s="182"/>
      <c r="E64" s="44"/>
      <c r="F64" s="44"/>
      <c r="G64" s="44"/>
      <c r="H64" s="44"/>
      <c r="I64" s="44"/>
      <c r="J64" s="44"/>
      <c r="K64" s="44"/>
      <c r="L64" s="44"/>
      <c r="M64" s="44"/>
      <c r="N64" s="44"/>
      <c r="O64" s="44"/>
      <c r="P64" s="44"/>
      <c r="Q64" s="44"/>
      <c r="R64" s="44"/>
      <c r="S64" s="44"/>
      <c r="T64" s="44"/>
      <c r="U64" s="2202"/>
    </row>
    <row r="65" spans="2:23" ht="15.75" customHeight="1">
      <c r="B65" s="2984" t="s">
        <v>5314</v>
      </c>
      <c r="C65" s="2989" t="s">
        <v>5543</v>
      </c>
      <c r="D65" s="2990"/>
      <c r="E65" s="161" t="s">
        <v>871</v>
      </c>
      <c r="F65" s="1713"/>
      <c r="G65" s="118" t="s">
        <v>872</v>
      </c>
      <c r="H65" s="1713"/>
      <c r="I65" s="118" t="s">
        <v>872</v>
      </c>
      <c r="J65" s="1713"/>
      <c r="K65" s="118" t="s">
        <v>872</v>
      </c>
      <c r="L65" s="1713"/>
      <c r="M65" s="118" t="s">
        <v>872</v>
      </c>
      <c r="N65" s="1713"/>
      <c r="O65" s="118" t="s">
        <v>872</v>
      </c>
      <c r="P65" s="1713"/>
      <c r="Q65" s="118" t="s">
        <v>872</v>
      </c>
      <c r="R65" s="1713"/>
      <c r="S65" s="138" t="s">
        <v>873</v>
      </c>
      <c r="T65" s="177">
        <f t="shared" ref="T65:T74" si="2">SUM(F65:R65)</f>
        <v>0</v>
      </c>
      <c r="U65" s="2202"/>
      <c r="V65" s="9" t="b">
        <f>C65&lt;&gt;0</f>
        <v>1</v>
      </c>
      <c r="W65" s="2094" t="str">
        <f>IFERROR(VLOOKUP($C65,調書!$F$310:$BB$349,50,0),"")</f>
        <v/>
      </c>
    </row>
    <row r="66" spans="2:23" ht="15.75" customHeight="1">
      <c r="B66" s="2982"/>
      <c r="C66" s="2979"/>
      <c r="D66" s="2986"/>
      <c r="E66" s="165" t="s">
        <v>871</v>
      </c>
      <c r="F66" s="1712"/>
      <c r="G66" s="104" t="s">
        <v>872</v>
      </c>
      <c r="H66" s="1712"/>
      <c r="I66" s="104" t="s">
        <v>872</v>
      </c>
      <c r="J66" s="1712"/>
      <c r="K66" s="104" t="s">
        <v>872</v>
      </c>
      <c r="L66" s="1712"/>
      <c r="M66" s="104" t="s">
        <v>872</v>
      </c>
      <c r="N66" s="1712"/>
      <c r="O66" s="104" t="s">
        <v>872</v>
      </c>
      <c r="P66" s="1712"/>
      <c r="Q66" s="104" t="s">
        <v>872</v>
      </c>
      <c r="R66" s="1712"/>
      <c r="S66" s="77" t="s">
        <v>873</v>
      </c>
      <c r="T66" s="171">
        <f t="shared" si="2"/>
        <v>0</v>
      </c>
      <c r="U66" s="2202"/>
      <c r="V66" s="9" t="b">
        <f>C66&lt;&gt;0</f>
        <v>0</v>
      </c>
      <c r="W66" s="2094" t="str">
        <f>IFERROR(VLOOKUP($C66,調書!$F$310:$BB$349,50,0),"")</f>
        <v/>
      </c>
    </row>
    <row r="67" spans="2:23" ht="15.75" customHeight="1">
      <c r="B67" s="2982"/>
      <c r="C67" s="2979"/>
      <c r="D67" s="2986"/>
      <c r="E67" s="165" t="s">
        <v>871</v>
      </c>
      <c r="F67" s="1712"/>
      <c r="G67" s="104" t="s">
        <v>872</v>
      </c>
      <c r="H67" s="1712"/>
      <c r="I67" s="104" t="s">
        <v>872</v>
      </c>
      <c r="J67" s="1712"/>
      <c r="K67" s="104" t="s">
        <v>872</v>
      </c>
      <c r="L67" s="1712"/>
      <c r="M67" s="104" t="s">
        <v>872</v>
      </c>
      <c r="N67" s="1712"/>
      <c r="O67" s="104" t="s">
        <v>872</v>
      </c>
      <c r="P67" s="1712"/>
      <c r="Q67" s="104" t="s">
        <v>872</v>
      </c>
      <c r="R67" s="1712"/>
      <c r="S67" s="77" t="s">
        <v>873</v>
      </c>
      <c r="T67" s="171">
        <f t="shared" si="2"/>
        <v>0</v>
      </c>
      <c r="U67" s="2202"/>
      <c r="V67" s="9" t="b">
        <f>C67&lt;&gt;0</f>
        <v>0</v>
      </c>
      <c r="W67" s="2094" t="str">
        <f>IFERROR(VLOOKUP($C67,調書!$F$310:$BB$349,50,0),"")</f>
        <v/>
      </c>
    </row>
    <row r="68" spans="2:23" ht="15.75" customHeight="1">
      <c r="B68" s="2982"/>
      <c r="C68" s="2979"/>
      <c r="D68" s="2986"/>
      <c r="E68" s="165" t="s">
        <v>871</v>
      </c>
      <c r="F68" s="1712"/>
      <c r="G68" s="104" t="s">
        <v>872</v>
      </c>
      <c r="H68" s="1712"/>
      <c r="I68" s="104" t="s">
        <v>872</v>
      </c>
      <c r="J68" s="1712"/>
      <c r="K68" s="104" t="s">
        <v>872</v>
      </c>
      <c r="L68" s="1712"/>
      <c r="M68" s="104" t="s">
        <v>872</v>
      </c>
      <c r="N68" s="1712"/>
      <c r="O68" s="104" t="s">
        <v>872</v>
      </c>
      <c r="P68" s="1712"/>
      <c r="Q68" s="104" t="s">
        <v>872</v>
      </c>
      <c r="R68" s="1712"/>
      <c r="S68" s="77" t="s">
        <v>873</v>
      </c>
      <c r="T68" s="171">
        <f t="shared" si="2"/>
        <v>0</v>
      </c>
      <c r="U68" s="2202"/>
      <c r="V68" s="9" t="b">
        <f>C68&lt;&gt;0</f>
        <v>0</v>
      </c>
      <c r="W68" s="2094" t="str">
        <f>IFERROR(VLOOKUP($C68,調書!$F$310:$BB$349,50,0),"")</f>
        <v/>
      </c>
    </row>
    <row r="69" spans="2:23" ht="15.75" customHeight="1">
      <c r="B69" s="2982"/>
      <c r="C69" s="2987"/>
      <c r="D69" s="2988"/>
      <c r="E69" s="184" t="s">
        <v>871</v>
      </c>
      <c r="F69" s="1696"/>
      <c r="G69" s="8" t="s">
        <v>872</v>
      </c>
      <c r="H69" s="1696"/>
      <c r="I69" s="8" t="s">
        <v>872</v>
      </c>
      <c r="J69" s="1696"/>
      <c r="K69" s="8" t="s">
        <v>872</v>
      </c>
      <c r="L69" s="1696"/>
      <c r="M69" s="8" t="s">
        <v>872</v>
      </c>
      <c r="N69" s="1696"/>
      <c r="O69" s="8" t="s">
        <v>872</v>
      </c>
      <c r="P69" s="1696"/>
      <c r="Q69" s="8" t="s">
        <v>872</v>
      </c>
      <c r="R69" s="1696"/>
      <c r="S69" s="79" t="s">
        <v>873</v>
      </c>
      <c r="T69" s="185">
        <f t="shared" si="2"/>
        <v>0</v>
      </c>
      <c r="U69" s="2202"/>
      <c r="V69" s="9" t="b">
        <f>C69&lt;&gt;0</f>
        <v>0</v>
      </c>
      <c r="W69" s="2094" t="str">
        <f>IFERROR(VLOOKUP($C69,調書!$F$310:$BB$349,50,0),"")</f>
        <v/>
      </c>
    </row>
    <row r="70" spans="2:23" ht="15.75" customHeight="1">
      <c r="B70" s="2982"/>
      <c r="C70" s="3000" t="s">
        <v>418</v>
      </c>
      <c r="D70" s="160" t="s">
        <v>820</v>
      </c>
      <c r="E70" s="161" t="s">
        <v>871</v>
      </c>
      <c r="F70" s="1713"/>
      <c r="G70" s="118" t="s">
        <v>872</v>
      </c>
      <c r="H70" s="1713"/>
      <c r="I70" s="118" t="s">
        <v>872</v>
      </c>
      <c r="J70" s="1713"/>
      <c r="K70" s="118" t="s">
        <v>872</v>
      </c>
      <c r="L70" s="1713"/>
      <c r="M70" s="118" t="s">
        <v>872</v>
      </c>
      <c r="N70" s="1713"/>
      <c r="O70" s="118" t="s">
        <v>872</v>
      </c>
      <c r="P70" s="1713"/>
      <c r="Q70" s="118" t="s">
        <v>872</v>
      </c>
      <c r="R70" s="1713"/>
      <c r="S70" s="138" t="s">
        <v>873</v>
      </c>
      <c r="T70" s="177">
        <f t="shared" si="2"/>
        <v>0</v>
      </c>
      <c r="U70" s="2202"/>
      <c r="V70" s="9" t="b">
        <f>D70&lt;&gt;0</f>
        <v>1</v>
      </c>
      <c r="W70" s="2093" t="str">
        <f>IFERROR(VLOOKUP($D70,調書!$H$350:$BB$356,48,0),"")</f>
        <v/>
      </c>
    </row>
    <row r="71" spans="2:23" ht="15.75" customHeight="1">
      <c r="B71" s="2982"/>
      <c r="C71" s="2431"/>
      <c r="D71" s="774" t="s">
        <v>821</v>
      </c>
      <c r="E71" s="165" t="s">
        <v>1504</v>
      </c>
      <c r="F71" s="1712"/>
      <c r="G71" s="104" t="s">
        <v>780</v>
      </c>
      <c r="H71" s="1712"/>
      <c r="I71" s="104" t="s">
        <v>780</v>
      </c>
      <c r="J71" s="1712"/>
      <c r="K71" s="104" t="s">
        <v>780</v>
      </c>
      <c r="L71" s="1712"/>
      <c r="M71" s="104" t="s">
        <v>780</v>
      </c>
      <c r="N71" s="1712"/>
      <c r="O71" s="104" t="s">
        <v>780</v>
      </c>
      <c r="P71" s="1712"/>
      <c r="Q71" s="104" t="s">
        <v>780</v>
      </c>
      <c r="R71" s="1712"/>
      <c r="S71" s="77" t="s">
        <v>858</v>
      </c>
      <c r="T71" s="171">
        <f t="shared" si="2"/>
        <v>0</v>
      </c>
      <c r="U71" s="2202"/>
      <c r="V71" s="9" t="b">
        <f t="shared" ref="V71:V72" si="3">D71&lt;&gt;0</f>
        <v>1</v>
      </c>
      <c r="W71" s="2093" t="str">
        <f>IFERROR(VLOOKUP($D71,調書!$H$350:$BB$356,48,0),"")</f>
        <v/>
      </c>
    </row>
    <row r="72" spans="2:23" ht="15.75" customHeight="1">
      <c r="B72" s="2982"/>
      <c r="C72" s="2431"/>
      <c r="D72" s="774"/>
      <c r="E72" s="165" t="s">
        <v>1504</v>
      </c>
      <c r="F72" s="1712"/>
      <c r="G72" s="104" t="s">
        <v>780</v>
      </c>
      <c r="H72" s="1712"/>
      <c r="I72" s="104" t="s">
        <v>780</v>
      </c>
      <c r="J72" s="1712"/>
      <c r="K72" s="104" t="s">
        <v>780</v>
      </c>
      <c r="L72" s="1712"/>
      <c r="M72" s="104" t="s">
        <v>780</v>
      </c>
      <c r="N72" s="1712"/>
      <c r="O72" s="104" t="s">
        <v>780</v>
      </c>
      <c r="P72" s="1712"/>
      <c r="Q72" s="104" t="s">
        <v>780</v>
      </c>
      <c r="R72" s="1712"/>
      <c r="S72" s="77" t="s">
        <v>858</v>
      </c>
      <c r="T72" s="171">
        <f t="shared" si="2"/>
        <v>0</v>
      </c>
      <c r="U72" s="2202"/>
      <c r="V72" s="9" t="b">
        <f t="shared" si="3"/>
        <v>0</v>
      </c>
      <c r="W72" s="2093" t="str">
        <f>IFERROR(VLOOKUP($D72,調書!$H$350:$BB$356,48,0),"")</f>
        <v/>
      </c>
    </row>
    <row r="73" spans="2:23" ht="15.75" customHeight="1">
      <c r="B73" s="2982"/>
      <c r="C73" s="2431"/>
      <c r="D73" s="774"/>
      <c r="E73" s="165" t="s">
        <v>1504</v>
      </c>
      <c r="F73" s="1712"/>
      <c r="G73" s="104" t="s">
        <v>780</v>
      </c>
      <c r="H73" s="1712"/>
      <c r="I73" s="104" t="s">
        <v>780</v>
      </c>
      <c r="J73" s="1712"/>
      <c r="K73" s="104" t="s">
        <v>780</v>
      </c>
      <c r="L73" s="1712"/>
      <c r="M73" s="104" t="s">
        <v>780</v>
      </c>
      <c r="N73" s="1712"/>
      <c r="O73" s="104" t="s">
        <v>780</v>
      </c>
      <c r="P73" s="1712"/>
      <c r="Q73" s="104" t="s">
        <v>780</v>
      </c>
      <c r="R73" s="1712"/>
      <c r="S73" s="77" t="s">
        <v>858</v>
      </c>
      <c r="T73" s="171">
        <f t="shared" ref="T73" si="4">SUM(F73:R73)</f>
        <v>0</v>
      </c>
      <c r="U73" s="2202"/>
      <c r="V73" s="9" t="b">
        <f>D73&lt;&gt;0</f>
        <v>0</v>
      </c>
      <c r="W73" s="2093" t="str">
        <f>IFERROR(VLOOKUP($D73,調書!$H$350:$BB$356,48,0),"")</f>
        <v/>
      </c>
    </row>
    <row r="74" spans="2:23" ht="15.75" customHeight="1">
      <c r="B74" s="2982"/>
      <c r="C74" s="2337"/>
      <c r="D74" s="183"/>
      <c r="E74" s="184" t="s">
        <v>871</v>
      </c>
      <c r="F74" s="1696"/>
      <c r="G74" s="8" t="s">
        <v>872</v>
      </c>
      <c r="H74" s="1696"/>
      <c r="I74" s="8" t="s">
        <v>872</v>
      </c>
      <c r="J74" s="1696"/>
      <c r="K74" s="8" t="s">
        <v>872</v>
      </c>
      <c r="L74" s="1696"/>
      <c r="M74" s="8" t="s">
        <v>872</v>
      </c>
      <c r="N74" s="1696"/>
      <c r="O74" s="8" t="s">
        <v>872</v>
      </c>
      <c r="P74" s="1696"/>
      <c r="Q74" s="8" t="s">
        <v>872</v>
      </c>
      <c r="R74" s="1696"/>
      <c r="S74" s="79" t="s">
        <v>873</v>
      </c>
      <c r="T74" s="185">
        <f t="shared" si="2"/>
        <v>0</v>
      </c>
      <c r="U74" s="2202"/>
      <c r="V74" s="9" t="b">
        <f>D74&lt;&gt;0</f>
        <v>0</v>
      </c>
      <c r="W74" s="2093" t="str">
        <f>IFERROR(VLOOKUP($D74,調書!$H$350:$BB$356,48,0),"")</f>
        <v/>
      </c>
    </row>
    <row r="75" spans="2:23" ht="15.75" customHeight="1">
      <c r="B75" s="2983"/>
      <c r="C75" s="1591"/>
      <c r="D75" s="1591"/>
      <c r="E75" s="1721"/>
      <c r="F75" s="1721"/>
      <c r="G75" s="1721"/>
      <c r="H75" s="1721"/>
      <c r="I75" s="1721"/>
      <c r="J75" s="1721"/>
      <c r="K75" s="1721"/>
      <c r="L75" s="1721"/>
      <c r="M75" s="1721"/>
      <c r="N75" s="1721"/>
      <c r="O75" s="1721"/>
      <c r="P75" s="1721"/>
      <c r="Q75" s="1723"/>
      <c r="R75" s="1724" t="s">
        <v>419</v>
      </c>
      <c r="S75" s="1721"/>
      <c r="T75" s="186">
        <f>SUM(T65:T69)</f>
        <v>0</v>
      </c>
      <c r="U75" s="2202"/>
      <c r="V75" s="9" t="b">
        <f>T75&lt;&gt;0</f>
        <v>0</v>
      </c>
    </row>
    <row r="76" spans="2:23" ht="15.75" customHeight="1">
      <c r="C76" s="181"/>
      <c r="D76" s="181"/>
      <c r="U76" s="2202"/>
    </row>
    <row r="77" spans="2:23" ht="15.75" customHeight="1">
      <c r="B77" s="44"/>
      <c r="C77" s="182"/>
      <c r="D77" s="182"/>
      <c r="E77" s="44"/>
      <c r="F77" s="44"/>
      <c r="G77" s="44"/>
      <c r="H77" s="44"/>
      <c r="I77" s="44"/>
      <c r="J77" s="44"/>
      <c r="K77" s="44"/>
      <c r="L77" s="44"/>
      <c r="M77" s="44"/>
      <c r="N77" s="44"/>
      <c r="O77" s="44"/>
      <c r="P77" s="44"/>
      <c r="Q77" s="44"/>
      <c r="R77" s="44"/>
      <c r="S77" s="44"/>
      <c r="T77" s="44"/>
      <c r="U77" s="2202"/>
    </row>
    <row r="78" spans="2:23" ht="15.75" customHeight="1">
      <c r="B78" s="2984" t="s">
        <v>5315</v>
      </c>
      <c r="C78" s="2989" t="s">
        <v>1366</v>
      </c>
      <c r="D78" s="2990"/>
      <c r="E78" s="161" t="s">
        <v>871</v>
      </c>
      <c r="F78" s="1713"/>
      <c r="G78" s="118" t="s">
        <v>872</v>
      </c>
      <c r="H78" s="1713"/>
      <c r="I78" s="118" t="s">
        <v>872</v>
      </c>
      <c r="J78" s="1713"/>
      <c r="K78" s="118" t="s">
        <v>872</v>
      </c>
      <c r="L78" s="1713"/>
      <c r="M78" s="118" t="s">
        <v>872</v>
      </c>
      <c r="N78" s="1713"/>
      <c r="O78" s="118" t="s">
        <v>872</v>
      </c>
      <c r="P78" s="1713"/>
      <c r="Q78" s="118" t="s">
        <v>872</v>
      </c>
      <c r="R78" s="1713"/>
      <c r="S78" s="138" t="s">
        <v>873</v>
      </c>
      <c r="T78" s="177">
        <f t="shared" ref="T78:T91" si="5">SUM(F78:R78)</f>
        <v>0</v>
      </c>
      <c r="U78" s="2202"/>
      <c r="V78" s="9" t="b">
        <f t="shared" ref="V78:V86" si="6">C78&lt;&gt;0</f>
        <v>1</v>
      </c>
      <c r="W78" s="2093" t="str">
        <f>IFERROR(VLOOKUP($C78,調書!$F$363:$BB$413,50,0),"")</f>
        <v/>
      </c>
    </row>
    <row r="79" spans="2:23" ht="15.75" customHeight="1">
      <c r="B79" s="2982"/>
      <c r="C79" s="2979" t="s">
        <v>5544</v>
      </c>
      <c r="D79" s="2986"/>
      <c r="E79" s="165" t="s">
        <v>871</v>
      </c>
      <c r="F79" s="1712"/>
      <c r="G79" s="104" t="s">
        <v>872</v>
      </c>
      <c r="H79" s="1712"/>
      <c r="I79" s="104" t="s">
        <v>872</v>
      </c>
      <c r="J79" s="1712"/>
      <c r="K79" s="104" t="s">
        <v>872</v>
      </c>
      <c r="L79" s="1712"/>
      <c r="M79" s="104" t="s">
        <v>872</v>
      </c>
      <c r="N79" s="1712"/>
      <c r="O79" s="104" t="s">
        <v>872</v>
      </c>
      <c r="P79" s="1712"/>
      <c r="Q79" s="104" t="s">
        <v>872</v>
      </c>
      <c r="R79" s="1712"/>
      <c r="S79" s="77" t="s">
        <v>873</v>
      </c>
      <c r="T79" s="171">
        <f t="shared" si="5"/>
        <v>0</v>
      </c>
      <c r="U79" s="2202"/>
      <c r="V79" s="9" t="b">
        <f t="shared" si="6"/>
        <v>1</v>
      </c>
      <c r="W79" s="2093" t="str">
        <f>IFERROR(VLOOKUP($C79,調書!$F$363:$BB$413,50,0),"")</f>
        <v/>
      </c>
    </row>
    <row r="80" spans="2:23" ht="15.75" customHeight="1">
      <c r="B80" s="2982"/>
      <c r="C80" s="2979" t="s">
        <v>1357</v>
      </c>
      <c r="D80" s="2986"/>
      <c r="E80" s="165" t="s">
        <v>871</v>
      </c>
      <c r="F80" s="1712"/>
      <c r="G80" s="104" t="s">
        <v>872</v>
      </c>
      <c r="H80" s="1712"/>
      <c r="I80" s="104" t="s">
        <v>872</v>
      </c>
      <c r="J80" s="1712"/>
      <c r="K80" s="104" t="s">
        <v>872</v>
      </c>
      <c r="L80" s="1712"/>
      <c r="M80" s="104" t="s">
        <v>872</v>
      </c>
      <c r="N80" s="1712"/>
      <c r="O80" s="104" t="s">
        <v>872</v>
      </c>
      <c r="P80" s="1712"/>
      <c r="Q80" s="104" t="s">
        <v>872</v>
      </c>
      <c r="R80" s="1712"/>
      <c r="S80" s="77" t="s">
        <v>873</v>
      </c>
      <c r="T80" s="171">
        <f t="shared" si="5"/>
        <v>0</v>
      </c>
      <c r="U80" s="2202"/>
      <c r="V80" s="9" t="b">
        <f t="shared" si="6"/>
        <v>1</v>
      </c>
      <c r="W80" s="2093" t="str">
        <f>IFERROR(VLOOKUP($C80,調書!$F$363:$BB$413,50,0),"")</f>
        <v/>
      </c>
    </row>
    <row r="81" spans="2:23" ht="15.75" customHeight="1">
      <c r="B81" s="2982"/>
      <c r="C81" s="2979" t="s">
        <v>5542</v>
      </c>
      <c r="D81" s="2986"/>
      <c r="E81" s="165" t="s">
        <v>871</v>
      </c>
      <c r="F81" s="1712"/>
      <c r="G81" s="104" t="s">
        <v>872</v>
      </c>
      <c r="H81" s="1712"/>
      <c r="I81" s="104" t="s">
        <v>872</v>
      </c>
      <c r="J81" s="1712"/>
      <c r="K81" s="104" t="s">
        <v>872</v>
      </c>
      <c r="L81" s="1712"/>
      <c r="M81" s="104" t="s">
        <v>872</v>
      </c>
      <c r="N81" s="1712"/>
      <c r="O81" s="104" t="s">
        <v>872</v>
      </c>
      <c r="P81" s="1712"/>
      <c r="Q81" s="104" t="s">
        <v>872</v>
      </c>
      <c r="R81" s="1712"/>
      <c r="S81" s="77" t="s">
        <v>873</v>
      </c>
      <c r="T81" s="171">
        <f t="shared" si="5"/>
        <v>0</v>
      </c>
      <c r="U81" s="2202"/>
      <c r="V81" s="9" t="b">
        <f t="shared" si="6"/>
        <v>1</v>
      </c>
      <c r="W81" s="2093" t="str">
        <f>IFERROR(VLOOKUP($C81,調書!$F$363:$BB$413,50,0),"")</f>
        <v/>
      </c>
    </row>
    <row r="82" spans="2:23" ht="15.75" customHeight="1">
      <c r="B82" s="2982"/>
      <c r="C82" s="2979"/>
      <c r="D82" s="2986"/>
      <c r="E82" s="165" t="s">
        <v>871</v>
      </c>
      <c r="F82" s="1712"/>
      <c r="G82" s="104" t="s">
        <v>872</v>
      </c>
      <c r="H82" s="1712"/>
      <c r="I82" s="104" t="s">
        <v>872</v>
      </c>
      <c r="J82" s="1712"/>
      <c r="K82" s="104" t="s">
        <v>872</v>
      </c>
      <c r="L82" s="1712"/>
      <c r="M82" s="104" t="s">
        <v>872</v>
      </c>
      <c r="N82" s="1712"/>
      <c r="O82" s="104" t="s">
        <v>872</v>
      </c>
      <c r="P82" s="1712"/>
      <c r="Q82" s="104" t="s">
        <v>872</v>
      </c>
      <c r="R82" s="1712"/>
      <c r="S82" s="77" t="s">
        <v>873</v>
      </c>
      <c r="T82" s="171">
        <f t="shared" si="5"/>
        <v>0</v>
      </c>
      <c r="U82" s="2202"/>
      <c r="V82" s="9" t="b">
        <f t="shared" si="6"/>
        <v>0</v>
      </c>
      <c r="W82" s="2093" t="str">
        <f>IFERROR(VLOOKUP($C82,調書!$F$363:$BB$413,50,0),"")</f>
        <v/>
      </c>
    </row>
    <row r="83" spans="2:23" ht="15.75" customHeight="1">
      <c r="B83" s="2982"/>
      <c r="C83" s="2979"/>
      <c r="D83" s="2986"/>
      <c r="E83" s="165" t="s">
        <v>871</v>
      </c>
      <c r="F83" s="1712"/>
      <c r="G83" s="104" t="s">
        <v>872</v>
      </c>
      <c r="H83" s="1712"/>
      <c r="I83" s="104" t="s">
        <v>872</v>
      </c>
      <c r="J83" s="1712"/>
      <c r="K83" s="104" t="s">
        <v>872</v>
      </c>
      <c r="L83" s="1712"/>
      <c r="M83" s="104" t="s">
        <v>872</v>
      </c>
      <c r="N83" s="1712"/>
      <c r="O83" s="104" t="s">
        <v>872</v>
      </c>
      <c r="P83" s="1712"/>
      <c r="Q83" s="104" t="s">
        <v>872</v>
      </c>
      <c r="R83" s="1712"/>
      <c r="S83" s="77" t="s">
        <v>873</v>
      </c>
      <c r="T83" s="171">
        <f t="shared" si="5"/>
        <v>0</v>
      </c>
      <c r="U83" s="2202"/>
      <c r="V83" s="9" t="b">
        <f t="shared" si="6"/>
        <v>0</v>
      </c>
      <c r="W83" s="2093" t="str">
        <f>IFERROR(VLOOKUP($C83,調書!$F$363:$BB$413,50,0),"")</f>
        <v/>
      </c>
    </row>
    <row r="84" spans="2:23" ht="15.75" customHeight="1">
      <c r="B84" s="2982"/>
      <c r="C84" s="2979"/>
      <c r="D84" s="2986"/>
      <c r="E84" s="165" t="s">
        <v>871</v>
      </c>
      <c r="F84" s="1712"/>
      <c r="G84" s="104" t="s">
        <v>872</v>
      </c>
      <c r="H84" s="1712"/>
      <c r="I84" s="104" t="s">
        <v>872</v>
      </c>
      <c r="J84" s="1712"/>
      <c r="K84" s="104" t="s">
        <v>872</v>
      </c>
      <c r="L84" s="1712"/>
      <c r="M84" s="104" t="s">
        <v>872</v>
      </c>
      <c r="N84" s="1712"/>
      <c r="O84" s="104" t="s">
        <v>872</v>
      </c>
      <c r="P84" s="1712"/>
      <c r="Q84" s="104" t="s">
        <v>872</v>
      </c>
      <c r="R84" s="1712"/>
      <c r="S84" s="77" t="s">
        <v>873</v>
      </c>
      <c r="T84" s="171">
        <f t="shared" si="5"/>
        <v>0</v>
      </c>
      <c r="U84" s="2202"/>
      <c r="V84" s="9" t="b">
        <f t="shared" si="6"/>
        <v>0</v>
      </c>
      <c r="W84" s="2093" t="str">
        <f>IFERROR(VLOOKUP($C84,調書!$F$363:$BB$413,50,0),"")</f>
        <v/>
      </c>
    </row>
    <row r="85" spans="2:23" ht="15.75" customHeight="1">
      <c r="B85" s="2982"/>
      <c r="C85" s="2979"/>
      <c r="D85" s="2986"/>
      <c r="E85" s="165" t="s">
        <v>871</v>
      </c>
      <c r="F85" s="1712"/>
      <c r="G85" s="104" t="s">
        <v>872</v>
      </c>
      <c r="H85" s="1712"/>
      <c r="I85" s="104" t="s">
        <v>872</v>
      </c>
      <c r="J85" s="1712"/>
      <c r="K85" s="104" t="s">
        <v>872</v>
      </c>
      <c r="L85" s="1712"/>
      <c r="M85" s="104" t="s">
        <v>872</v>
      </c>
      <c r="N85" s="1712"/>
      <c r="O85" s="104" t="s">
        <v>872</v>
      </c>
      <c r="P85" s="1712"/>
      <c r="Q85" s="104" t="s">
        <v>872</v>
      </c>
      <c r="R85" s="1712"/>
      <c r="S85" s="77" t="s">
        <v>873</v>
      </c>
      <c r="T85" s="171">
        <f t="shared" si="5"/>
        <v>0</v>
      </c>
      <c r="U85" s="2202"/>
      <c r="V85" s="9" t="b">
        <f t="shared" si="6"/>
        <v>0</v>
      </c>
      <c r="W85" s="2093" t="str">
        <f>IFERROR(VLOOKUP($C85,調書!$F$363:$BB$413,50,0),"")</f>
        <v/>
      </c>
    </row>
    <row r="86" spans="2:23" ht="15.75" customHeight="1">
      <c r="B86" s="2982"/>
      <c r="C86" s="2987"/>
      <c r="D86" s="2988"/>
      <c r="E86" s="184" t="s">
        <v>871</v>
      </c>
      <c r="F86" s="1696"/>
      <c r="G86" s="8" t="s">
        <v>872</v>
      </c>
      <c r="H86" s="1696"/>
      <c r="I86" s="8" t="s">
        <v>872</v>
      </c>
      <c r="J86" s="1696"/>
      <c r="K86" s="8" t="s">
        <v>872</v>
      </c>
      <c r="L86" s="1696"/>
      <c r="M86" s="8" t="s">
        <v>872</v>
      </c>
      <c r="N86" s="1696"/>
      <c r="O86" s="8" t="s">
        <v>872</v>
      </c>
      <c r="P86" s="1696"/>
      <c r="Q86" s="8" t="s">
        <v>872</v>
      </c>
      <c r="R86" s="1696"/>
      <c r="S86" s="79" t="s">
        <v>873</v>
      </c>
      <c r="T86" s="185">
        <f t="shared" si="5"/>
        <v>0</v>
      </c>
      <c r="U86" s="2202"/>
      <c r="V86" s="9" t="b">
        <f t="shared" si="6"/>
        <v>0</v>
      </c>
      <c r="W86" s="2093" t="str">
        <f>IFERROR(VLOOKUP($C86,調書!$F$363:$BB$413,50,0),"")</f>
        <v/>
      </c>
    </row>
    <row r="87" spans="2:23" ht="15.75" customHeight="1">
      <c r="B87" s="2982"/>
      <c r="C87" s="3000" t="s">
        <v>418</v>
      </c>
      <c r="D87" s="775"/>
      <c r="E87" s="178" t="s">
        <v>871</v>
      </c>
      <c r="F87" s="1716"/>
      <c r="G87" s="97" t="s">
        <v>872</v>
      </c>
      <c r="H87" s="1716"/>
      <c r="I87" s="97" t="s">
        <v>872</v>
      </c>
      <c r="J87" s="1716"/>
      <c r="K87" s="97" t="s">
        <v>872</v>
      </c>
      <c r="L87" s="1716"/>
      <c r="M87" s="97" t="s">
        <v>872</v>
      </c>
      <c r="N87" s="1716"/>
      <c r="O87" s="97" t="s">
        <v>872</v>
      </c>
      <c r="P87" s="1716"/>
      <c r="Q87" s="97" t="s">
        <v>872</v>
      </c>
      <c r="R87" s="1716"/>
      <c r="S87" s="6" t="s">
        <v>873</v>
      </c>
      <c r="T87" s="777">
        <f t="shared" si="5"/>
        <v>0</v>
      </c>
      <c r="U87" s="2202"/>
      <c r="V87" s="9" t="b">
        <f>D87&lt;&gt;0</f>
        <v>0</v>
      </c>
      <c r="W87" s="2093" t="str">
        <f>IFERROR(VLOOKUP($D87,調書!$F$363:$BB$413,48,0),"")</f>
        <v/>
      </c>
    </row>
    <row r="88" spans="2:23" ht="15.75" customHeight="1">
      <c r="B88" s="2982"/>
      <c r="C88" s="2431"/>
      <c r="D88" s="774"/>
      <c r="E88" s="165" t="s">
        <v>1504</v>
      </c>
      <c r="F88" s="1712"/>
      <c r="G88" s="104" t="s">
        <v>780</v>
      </c>
      <c r="H88" s="1712"/>
      <c r="I88" s="104" t="s">
        <v>780</v>
      </c>
      <c r="J88" s="1712"/>
      <c r="K88" s="104" t="s">
        <v>780</v>
      </c>
      <c r="L88" s="1712"/>
      <c r="M88" s="104" t="s">
        <v>780</v>
      </c>
      <c r="N88" s="1712"/>
      <c r="O88" s="104" t="s">
        <v>780</v>
      </c>
      <c r="P88" s="1712"/>
      <c r="Q88" s="104" t="s">
        <v>780</v>
      </c>
      <c r="R88" s="1712"/>
      <c r="S88" s="77" t="s">
        <v>858</v>
      </c>
      <c r="T88" s="171">
        <f t="shared" si="5"/>
        <v>0</v>
      </c>
      <c r="U88" s="2202"/>
      <c r="V88" s="9" t="b">
        <f t="shared" ref="V88:V89" si="7">D88&lt;&gt;0</f>
        <v>0</v>
      </c>
      <c r="W88" s="2093" t="str">
        <f>IFERROR(VLOOKUP($D88,調書!$F$363:$BB$413,48,0),"")</f>
        <v/>
      </c>
    </row>
    <row r="89" spans="2:23" ht="15.75" customHeight="1">
      <c r="B89" s="2982"/>
      <c r="C89" s="2431"/>
      <c r="D89" s="774"/>
      <c r="E89" s="165" t="s">
        <v>1504</v>
      </c>
      <c r="F89" s="1712"/>
      <c r="G89" s="104" t="s">
        <v>780</v>
      </c>
      <c r="H89" s="1712"/>
      <c r="I89" s="104" t="s">
        <v>780</v>
      </c>
      <c r="J89" s="1712"/>
      <c r="K89" s="104" t="s">
        <v>780</v>
      </c>
      <c r="L89" s="1712"/>
      <c r="M89" s="104" t="s">
        <v>780</v>
      </c>
      <c r="N89" s="1712"/>
      <c r="O89" s="104" t="s">
        <v>780</v>
      </c>
      <c r="P89" s="1712"/>
      <c r="Q89" s="104" t="s">
        <v>780</v>
      </c>
      <c r="R89" s="1712"/>
      <c r="S89" s="77" t="s">
        <v>858</v>
      </c>
      <c r="T89" s="171">
        <f t="shared" si="5"/>
        <v>0</v>
      </c>
      <c r="U89" s="2202"/>
      <c r="V89" s="9" t="b">
        <f t="shared" si="7"/>
        <v>0</v>
      </c>
      <c r="W89" s="2093" t="str">
        <f>IFERROR(VLOOKUP($D89,調書!$F$363:$BB$413,48,0),"")</f>
        <v/>
      </c>
    </row>
    <row r="90" spans="2:23" ht="15.75" customHeight="1">
      <c r="B90" s="2982"/>
      <c r="C90" s="2431"/>
      <c r="D90" s="774"/>
      <c r="E90" s="165" t="s">
        <v>1504</v>
      </c>
      <c r="F90" s="1712"/>
      <c r="G90" s="104" t="s">
        <v>780</v>
      </c>
      <c r="H90" s="1712"/>
      <c r="I90" s="104" t="s">
        <v>780</v>
      </c>
      <c r="J90" s="1712"/>
      <c r="K90" s="104" t="s">
        <v>780</v>
      </c>
      <c r="L90" s="1712"/>
      <c r="M90" s="104" t="s">
        <v>780</v>
      </c>
      <c r="N90" s="1712"/>
      <c r="O90" s="104" t="s">
        <v>780</v>
      </c>
      <c r="P90" s="1712"/>
      <c r="Q90" s="104" t="s">
        <v>780</v>
      </c>
      <c r="R90" s="1712"/>
      <c r="S90" s="77" t="s">
        <v>858</v>
      </c>
      <c r="T90" s="171">
        <f t="shared" ref="T90" si="8">SUM(F90:R90)</f>
        <v>0</v>
      </c>
      <c r="U90" s="2202"/>
      <c r="V90" s="9" t="b">
        <f>D90&lt;&gt;0</f>
        <v>0</v>
      </c>
      <c r="W90" s="2093" t="str">
        <f>IFERROR(VLOOKUP($D90,調書!$F$363:$BB$413,48,0),"")</f>
        <v/>
      </c>
    </row>
    <row r="91" spans="2:23" ht="15.75" customHeight="1">
      <c r="B91" s="2982"/>
      <c r="C91" s="2337"/>
      <c r="D91" s="183"/>
      <c r="E91" s="184" t="s">
        <v>871</v>
      </c>
      <c r="F91" s="1696"/>
      <c r="G91" s="8" t="s">
        <v>872</v>
      </c>
      <c r="H91" s="1696"/>
      <c r="I91" s="8" t="s">
        <v>872</v>
      </c>
      <c r="J91" s="1696"/>
      <c r="K91" s="8" t="s">
        <v>872</v>
      </c>
      <c r="L91" s="1696"/>
      <c r="M91" s="8" t="s">
        <v>872</v>
      </c>
      <c r="N91" s="1696"/>
      <c r="O91" s="8" t="s">
        <v>872</v>
      </c>
      <c r="P91" s="1696"/>
      <c r="Q91" s="8" t="s">
        <v>872</v>
      </c>
      <c r="R91" s="1696"/>
      <c r="S91" s="79" t="s">
        <v>873</v>
      </c>
      <c r="T91" s="185">
        <f t="shared" si="5"/>
        <v>0</v>
      </c>
      <c r="U91" s="2202"/>
      <c r="V91" s="9" t="b">
        <f>D91&lt;&gt;0</f>
        <v>0</v>
      </c>
      <c r="W91" s="2093" t="str">
        <f>IFERROR(VLOOKUP($D91,調書!$F$363:$BB$413,48,0),"")</f>
        <v/>
      </c>
    </row>
    <row r="92" spans="2:23" ht="15.75" customHeight="1">
      <c r="B92" s="2983"/>
      <c r="C92" s="1591"/>
      <c r="D92" s="1591"/>
      <c r="E92" s="1721"/>
      <c r="F92" s="1721"/>
      <c r="G92" s="1721"/>
      <c r="H92" s="1721"/>
      <c r="I92" s="1721"/>
      <c r="J92" s="1721"/>
      <c r="K92" s="1721"/>
      <c r="L92" s="1721"/>
      <c r="M92" s="1721"/>
      <c r="N92" s="1721"/>
      <c r="O92" s="1721"/>
      <c r="P92" s="1721"/>
      <c r="Q92" s="1723"/>
      <c r="R92" s="1724" t="s">
        <v>419</v>
      </c>
      <c r="S92" s="1721"/>
      <c r="T92" s="186">
        <f>SUM(T78:T86)</f>
        <v>0</v>
      </c>
      <c r="U92" s="2202"/>
      <c r="V92" s="9" t="b">
        <f>T92&lt;&gt;0</f>
        <v>0</v>
      </c>
    </row>
    <row r="93" spans="2:23" ht="15.75" customHeight="1">
      <c r="C93" s="181"/>
      <c r="D93" s="181"/>
      <c r="U93" s="2202"/>
    </row>
    <row r="94" spans="2:23" ht="15.75" customHeight="1">
      <c r="B94" s="44"/>
      <c r="C94" s="182"/>
      <c r="D94" s="182"/>
      <c r="E94" s="44"/>
      <c r="F94" s="44"/>
      <c r="G94" s="44"/>
      <c r="H94" s="44"/>
      <c r="I94" s="44"/>
      <c r="J94" s="44"/>
      <c r="K94" s="44"/>
      <c r="L94" s="44"/>
      <c r="M94" s="44"/>
      <c r="N94" s="44"/>
      <c r="O94" s="44"/>
      <c r="P94" s="44"/>
      <c r="Q94" s="44"/>
      <c r="R94" s="44"/>
      <c r="S94" s="44"/>
      <c r="T94" s="44"/>
      <c r="U94" s="2202"/>
    </row>
    <row r="95" spans="2:23" ht="15.75" customHeight="1">
      <c r="B95" s="2984" t="s">
        <v>420</v>
      </c>
      <c r="C95" s="2989" t="s">
        <v>1367</v>
      </c>
      <c r="D95" s="2992"/>
      <c r="E95" s="161" t="s">
        <v>871</v>
      </c>
      <c r="F95" s="1713"/>
      <c r="G95" s="118" t="s">
        <v>872</v>
      </c>
      <c r="H95" s="1713"/>
      <c r="I95" s="118" t="s">
        <v>872</v>
      </c>
      <c r="J95" s="1713"/>
      <c r="K95" s="118" t="s">
        <v>872</v>
      </c>
      <c r="L95" s="1713"/>
      <c r="M95" s="118" t="s">
        <v>872</v>
      </c>
      <c r="N95" s="1713"/>
      <c r="O95" s="118" t="s">
        <v>872</v>
      </c>
      <c r="P95" s="1713"/>
      <c r="Q95" s="118" t="s">
        <v>872</v>
      </c>
      <c r="R95" s="1713"/>
      <c r="S95" s="138" t="s">
        <v>873</v>
      </c>
      <c r="T95" s="177">
        <f t="shared" ref="T95:T108" si="9">SUM(F95:R95)</f>
        <v>0</v>
      </c>
      <c r="U95" s="2202"/>
      <c r="V95" s="9" t="b">
        <f t="shared" ref="V95:V103" si="10">C95&lt;&gt;0</f>
        <v>1</v>
      </c>
      <c r="W95" s="2093" t="str">
        <f>IFERROR(VLOOKUP($C95,調書!$F$427:$BB$474,50,0),"")</f>
        <v/>
      </c>
    </row>
    <row r="96" spans="2:23" ht="15.75" customHeight="1">
      <c r="B96" s="2982"/>
      <c r="C96" s="2979" t="s">
        <v>1393</v>
      </c>
      <c r="D96" s="2980"/>
      <c r="E96" s="165" t="s">
        <v>871</v>
      </c>
      <c r="F96" s="1712"/>
      <c r="G96" s="104" t="s">
        <v>872</v>
      </c>
      <c r="H96" s="1712"/>
      <c r="I96" s="104" t="s">
        <v>872</v>
      </c>
      <c r="J96" s="1712"/>
      <c r="K96" s="104" t="s">
        <v>872</v>
      </c>
      <c r="L96" s="1712"/>
      <c r="M96" s="104" t="s">
        <v>872</v>
      </c>
      <c r="N96" s="1712"/>
      <c r="O96" s="104" t="s">
        <v>872</v>
      </c>
      <c r="P96" s="1712"/>
      <c r="Q96" s="104" t="s">
        <v>872</v>
      </c>
      <c r="R96" s="1712"/>
      <c r="S96" s="77" t="s">
        <v>873</v>
      </c>
      <c r="T96" s="171">
        <f t="shared" si="9"/>
        <v>0</v>
      </c>
      <c r="U96" s="2202"/>
      <c r="V96" s="9" t="b">
        <f t="shared" si="10"/>
        <v>1</v>
      </c>
      <c r="W96" s="2093" t="str">
        <f>IFERROR(VLOOKUP($C96,調書!$F$427:$BB$474,50,0),"")</f>
        <v/>
      </c>
    </row>
    <row r="97" spans="2:23" ht="15.75" customHeight="1">
      <c r="B97" s="2982"/>
      <c r="C97" s="2979" t="s">
        <v>1383</v>
      </c>
      <c r="D97" s="2980"/>
      <c r="E97" s="165" t="s">
        <v>871</v>
      </c>
      <c r="F97" s="1712"/>
      <c r="G97" s="104" t="s">
        <v>872</v>
      </c>
      <c r="H97" s="1712"/>
      <c r="I97" s="104" t="s">
        <v>872</v>
      </c>
      <c r="J97" s="1712"/>
      <c r="K97" s="104" t="s">
        <v>872</v>
      </c>
      <c r="L97" s="1712"/>
      <c r="M97" s="104" t="s">
        <v>872</v>
      </c>
      <c r="N97" s="1712"/>
      <c r="O97" s="104" t="s">
        <v>872</v>
      </c>
      <c r="P97" s="1712"/>
      <c r="Q97" s="104" t="s">
        <v>872</v>
      </c>
      <c r="R97" s="1712"/>
      <c r="S97" s="77" t="s">
        <v>873</v>
      </c>
      <c r="T97" s="171">
        <f t="shared" si="9"/>
        <v>0</v>
      </c>
      <c r="U97" s="2202"/>
      <c r="V97" s="9" t="b">
        <f t="shared" si="10"/>
        <v>1</v>
      </c>
      <c r="W97" s="2093" t="str">
        <f>IFERROR(VLOOKUP($C97,調書!$F$427:$BB$474,50,0),"")</f>
        <v/>
      </c>
    </row>
    <row r="98" spans="2:23" ht="15.75" customHeight="1">
      <c r="B98" s="2982"/>
      <c r="C98" s="2979" t="s">
        <v>1386</v>
      </c>
      <c r="D98" s="2980"/>
      <c r="E98" s="165" t="s">
        <v>871</v>
      </c>
      <c r="F98" s="1712"/>
      <c r="G98" s="104" t="s">
        <v>872</v>
      </c>
      <c r="H98" s="1712"/>
      <c r="I98" s="104" t="s">
        <v>872</v>
      </c>
      <c r="J98" s="1712"/>
      <c r="K98" s="104" t="s">
        <v>872</v>
      </c>
      <c r="L98" s="1712"/>
      <c r="M98" s="104" t="s">
        <v>872</v>
      </c>
      <c r="N98" s="1712"/>
      <c r="O98" s="104" t="s">
        <v>872</v>
      </c>
      <c r="P98" s="1712"/>
      <c r="Q98" s="104" t="s">
        <v>872</v>
      </c>
      <c r="R98" s="1712"/>
      <c r="S98" s="77" t="s">
        <v>873</v>
      </c>
      <c r="T98" s="171">
        <f t="shared" si="9"/>
        <v>0</v>
      </c>
      <c r="U98" s="2202"/>
      <c r="V98" s="9" t="b">
        <f t="shared" si="10"/>
        <v>1</v>
      </c>
      <c r="W98" s="2093" t="str">
        <f>IFERROR(VLOOKUP($C98,調書!$F$427:$BB$474,50,0),"")</f>
        <v/>
      </c>
    </row>
    <row r="99" spans="2:23" ht="15.75" customHeight="1">
      <c r="B99" s="2982"/>
      <c r="C99" s="2979"/>
      <c r="D99" s="2980"/>
      <c r="E99" s="165" t="s">
        <v>871</v>
      </c>
      <c r="F99" s="1712"/>
      <c r="G99" s="104" t="s">
        <v>872</v>
      </c>
      <c r="H99" s="1712"/>
      <c r="I99" s="104" t="s">
        <v>872</v>
      </c>
      <c r="J99" s="1712"/>
      <c r="K99" s="104" t="s">
        <v>872</v>
      </c>
      <c r="L99" s="1712"/>
      <c r="M99" s="104" t="s">
        <v>872</v>
      </c>
      <c r="N99" s="1712"/>
      <c r="O99" s="104" t="s">
        <v>872</v>
      </c>
      <c r="P99" s="1712"/>
      <c r="Q99" s="104" t="s">
        <v>872</v>
      </c>
      <c r="R99" s="1712"/>
      <c r="S99" s="77" t="s">
        <v>873</v>
      </c>
      <c r="T99" s="171">
        <f t="shared" si="9"/>
        <v>0</v>
      </c>
      <c r="U99" s="2202"/>
      <c r="V99" s="9" t="b">
        <f t="shared" si="10"/>
        <v>0</v>
      </c>
      <c r="W99" s="2093" t="str">
        <f>IFERROR(VLOOKUP($C99,調書!$F$427:$BB$474,50,0),"")</f>
        <v/>
      </c>
    </row>
    <row r="100" spans="2:23" ht="15.75" customHeight="1">
      <c r="B100" s="2982"/>
      <c r="C100" s="2979"/>
      <c r="D100" s="2980"/>
      <c r="E100" s="165" t="s">
        <v>871</v>
      </c>
      <c r="F100" s="1712"/>
      <c r="G100" s="104" t="s">
        <v>872</v>
      </c>
      <c r="H100" s="1712"/>
      <c r="I100" s="104" t="s">
        <v>872</v>
      </c>
      <c r="J100" s="1712"/>
      <c r="K100" s="104" t="s">
        <v>872</v>
      </c>
      <c r="L100" s="1712"/>
      <c r="M100" s="104" t="s">
        <v>872</v>
      </c>
      <c r="N100" s="1712"/>
      <c r="O100" s="104" t="s">
        <v>872</v>
      </c>
      <c r="P100" s="1712"/>
      <c r="Q100" s="104" t="s">
        <v>872</v>
      </c>
      <c r="R100" s="1712"/>
      <c r="S100" s="77" t="s">
        <v>873</v>
      </c>
      <c r="T100" s="171">
        <f t="shared" si="9"/>
        <v>0</v>
      </c>
      <c r="U100" s="2202"/>
      <c r="V100" s="9" t="b">
        <f t="shared" si="10"/>
        <v>0</v>
      </c>
      <c r="W100" s="2093" t="str">
        <f>IFERROR(VLOOKUP($C100,調書!$F$427:$BB$474,50,0),"")</f>
        <v/>
      </c>
    </row>
    <row r="101" spans="2:23" ht="15.75" customHeight="1">
      <c r="B101" s="2982"/>
      <c r="C101" s="2979"/>
      <c r="D101" s="2980"/>
      <c r="E101" s="165" t="s">
        <v>871</v>
      </c>
      <c r="F101" s="1712"/>
      <c r="G101" s="104" t="s">
        <v>872</v>
      </c>
      <c r="H101" s="1712"/>
      <c r="I101" s="104" t="s">
        <v>872</v>
      </c>
      <c r="J101" s="1712"/>
      <c r="K101" s="104" t="s">
        <v>872</v>
      </c>
      <c r="L101" s="1712"/>
      <c r="M101" s="104" t="s">
        <v>872</v>
      </c>
      <c r="N101" s="1712"/>
      <c r="O101" s="104" t="s">
        <v>872</v>
      </c>
      <c r="P101" s="1712"/>
      <c r="Q101" s="104" t="s">
        <v>872</v>
      </c>
      <c r="R101" s="1712"/>
      <c r="S101" s="77" t="s">
        <v>873</v>
      </c>
      <c r="T101" s="171">
        <f t="shared" si="9"/>
        <v>0</v>
      </c>
      <c r="U101" s="2202"/>
      <c r="V101" s="9" t="b">
        <f t="shared" si="10"/>
        <v>0</v>
      </c>
      <c r="W101" s="2093" t="str">
        <f>IFERROR(VLOOKUP($C101,調書!$F$427:$BB$474,50,0),"")</f>
        <v/>
      </c>
    </row>
    <row r="102" spans="2:23" ht="15.75" customHeight="1">
      <c r="B102" s="2982"/>
      <c r="C102" s="2979"/>
      <c r="D102" s="2980"/>
      <c r="E102" s="165" t="s">
        <v>871</v>
      </c>
      <c r="F102" s="1712"/>
      <c r="G102" s="104" t="s">
        <v>872</v>
      </c>
      <c r="H102" s="1712"/>
      <c r="I102" s="104" t="s">
        <v>872</v>
      </c>
      <c r="J102" s="1712"/>
      <c r="K102" s="104" t="s">
        <v>872</v>
      </c>
      <c r="L102" s="1712"/>
      <c r="M102" s="104" t="s">
        <v>872</v>
      </c>
      <c r="N102" s="1712"/>
      <c r="O102" s="104" t="s">
        <v>872</v>
      </c>
      <c r="P102" s="1712"/>
      <c r="Q102" s="104" t="s">
        <v>872</v>
      </c>
      <c r="R102" s="1712"/>
      <c r="S102" s="77" t="s">
        <v>873</v>
      </c>
      <c r="T102" s="171">
        <f t="shared" si="9"/>
        <v>0</v>
      </c>
      <c r="U102" s="2202"/>
      <c r="V102" s="9" t="b">
        <f t="shared" si="10"/>
        <v>0</v>
      </c>
      <c r="W102" s="2093" t="str">
        <f>IFERROR(VLOOKUP($C102,調書!$F$427:$BB$474,50,0),"")</f>
        <v/>
      </c>
    </row>
    <row r="103" spans="2:23" ht="15.75" customHeight="1">
      <c r="B103" s="2982"/>
      <c r="C103" s="2987"/>
      <c r="D103" s="2991"/>
      <c r="E103" s="184" t="s">
        <v>871</v>
      </c>
      <c r="F103" s="1696"/>
      <c r="G103" s="8" t="s">
        <v>872</v>
      </c>
      <c r="H103" s="1696"/>
      <c r="I103" s="8" t="s">
        <v>872</v>
      </c>
      <c r="J103" s="1696"/>
      <c r="K103" s="8" t="s">
        <v>872</v>
      </c>
      <c r="L103" s="1696"/>
      <c r="M103" s="8" t="s">
        <v>872</v>
      </c>
      <c r="N103" s="1696"/>
      <c r="O103" s="8" t="s">
        <v>872</v>
      </c>
      <c r="P103" s="1696"/>
      <c r="Q103" s="8" t="s">
        <v>872</v>
      </c>
      <c r="R103" s="1696"/>
      <c r="S103" s="79" t="s">
        <v>873</v>
      </c>
      <c r="T103" s="185">
        <f t="shared" si="9"/>
        <v>0</v>
      </c>
      <c r="U103" s="2202"/>
      <c r="V103" s="9" t="b">
        <f t="shared" si="10"/>
        <v>0</v>
      </c>
      <c r="W103" s="2093" t="str">
        <f>IFERROR(VLOOKUP($C103,調書!$F$427:$BB$474,50,0),"")</f>
        <v/>
      </c>
    </row>
    <row r="104" spans="2:23" ht="15.75" customHeight="1">
      <c r="B104" s="2982"/>
      <c r="C104" s="3000" t="s">
        <v>418</v>
      </c>
      <c r="D104" s="778" t="s">
        <v>821</v>
      </c>
      <c r="E104" s="178" t="s">
        <v>871</v>
      </c>
      <c r="F104" s="1716"/>
      <c r="G104" s="97" t="s">
        <v>872</v>
      </c>
      <c r="H104" s="1716"/>
      <c r="I104" s="97" t="s">
        <v>872</v>
      </c>
      <c r="J104" s="1716"/>
      <c r="K104" s="97" t="s">
        <v>872</v>
      </c>
      <c r="L104" s="1716"/>
      <c r="M104" s="97" t="s">
        <v>872</v>
      </c>
      <c r="N104" s="1716"/>
      <c r="O104" s="97" t="s">
        <v>872</v>
      </c>
      <c r="P104" s="1716"/>
      <c r="Q104" s="97" t="s">
        <v>872</v>
      </c>
      <c r="R104" s="1716"/>
      <c r="S104" s="6" t="s">
        <v>873</v>
      </c>
      <c r="T104" s="777">
        <f t="shared" si="9"/>
        <v>0</v>
      </c>
      <c r="U104" s="2202"/>
      <c r="V104" s="9" t="b">
        <f>D104&lt;&gt;0</f>
        <v>1</v>
      </c>
      <c r="W104" s="2093" t="str">
        <f>IFERROR(VLOOKUP($D104,調書!$F$427:$BB$474,48,0),"")</f>
        <v/>
      </c>
    </row>
    <row r="105" spans="2:23" ht="15.75" customHeight="1">
      <c r="B105" s="2982"/>
      <c r="C105" s="2431"/>
      <c r="D105" s="779"/>
      <c r="E105" s="165" t="s">
        <v>1504</v>
      </c>
      <c r="F105" s="1712"/>
      <c r="G105" s="104" t="s">
        <v>780</v>
      </c>
      <c r="H105" s="1712"/>
      <c r="I105" s="104" t="s">
        <v>780</v>
      </c>
      <c r="J105" s="1712"/>
      <c r="K105" s="104" t="s">
        <v>780</v>
      </c>
      <c r="L105" s="1712"/>
      <c r="M105" s="104" t="s">
        <v>780</v>
      </c>
      <c r="N105" s="1712"/>
      <c r="O105" s="104" t="s">
        <v>780</v>
      </c>
      <c r="P105" s="1712"/>
      <c r="Q105" s="104" t="s">
        <v>780</v>
      </c>
      <c r="R105" s="1712"/>
      <c r="S105" s="77" t="s">
        <v>858</v>
      </c>
      <c r="T105" s="171">
        <f t="shared" si="9"/>
        <v>0</v>
      </c>
      <c r="U105" s="2202"/>
      <c r="V105" s="9" t="b">
        <f t="shared" ref="V105:V106" si="11">D105&lt;&gt;0</f>
        <v>0</v>
      </c>
      <c r="W105" s="2093" t="str">
        <f>IFERROR(VLOOKUP($D105,調書!$F$427:$BB$474,48,0),"")</f>
        <v/>
      </c>
    </row>
    <row r="106" spans="2:23" ht="15.75" customHeight="1">
      <c r="B106" s="2982"/>
      <c r="C106" s="2431"/>
      <c r="D106" s="779"/>
      <c r="E106" s="165" t="s">
        <v>1504</v>
      </c>
      <c r="F106" s="1712"/>
      <c r="G106" s="104" t="s">
        <v>780</v>
      </c>
      <c r="H106" s="1712"/>
      <c r="I106" s="104" t="s">
        <v>780</v>
      </c>
      <c r="J106" s="1712"/>
      <c r="K106" s="104" t="s">
        <v>780</v>
      </c>
      <c r="L106" s="1712"/>
      <c r="M106" s="104" t="s">
        <v>780</v>
      </c>
      <c r="N106" s="1712"/>
      <c r="O106" s="104" t="s">
        <v>780</v>
      </c>
      <c r="P106" s="1712"/>
      <c r="Q106" s="104" t="s">
        <v>780</v>
      </c>
      <c r="R106" s="1712"/>
      <c r="S106" s="77" t="s">
        <v>858</v>
      </c>
      <c r="T106" s="171">
        <f t="shared" si="9"/>
        <v>0</v>
      </c>
      <c r="U106" s="2202"/>
      <c r="V106" s="9" t="b">
        <f t="shared" si="11"/>
        <v>0</v>
      </c>
      <c r="W106" s="2093" t="str">
        <f>IFERROR(VLOOKUP($D106,調書!$F$427:$BB$474,48,0),"")</f>
        <v/>
      </c>
    </row>
    <row r="107" spans="2:23" ht="15.75" customHeight="1">
      <c r="B107" s="2982"/>
      <c r="C107" s="2431"/>
      <c r="D107" s="779"/>
      <c r="E107" s="165" t="s">
        <v>1504</v>
      </c>
      <c r="F107" s="1712"/>
      <c r="G107" s="104" t="s">
        <v>780</v>
      </c>
      <c r="H107" s="1712"/>
      <c r="I107" s="104" t="s">
        <v>780</v>
      </c>
      <c r="J107" s="1712"/>
      <c r="K107" s="104" t="s">
        <v>780</v>
      </c>
      <c r="L107" s="1712"/>
      <c r="M107" s="104" t="s">
        <v>780</v>
      </c>
      <c r="N107" s="1712"/>
      <c r="O107" s="104" t="s">
        <v>780</v>
      </c>
      <c r="P107" s="1712"/>
      <c r="Q107" s="104" t="s">
        <v>780</v>
      </c>
      <c r="R107" s="1712"/>
      <c r="S107" s="77" t="s">
        <v>858</v>
      </c>
      <c r="T107" s="171">
        <f t="shared" ref="T107" si="12">SUM(F107:R107)</f>
        <v>0</v>
      </c>
      <c r="U107" s="2202"/>
      <c r="V107" s="9" t="b">
        <f>D107&lt;&gt;0</f>
        <v>0</v>
      </c>
      <c r="W107" s="2093" t="str">
        <f>IFERROR(VLOOKUP($D107,調書!$F$427:$BB$474,48,0),"")</f>
        <v/>
      </c>
    </row>
    <row r="108" spans="2:23" ht="15.75" customHeight="1">
      <c r="B108" s="2982"/>
      <c r="C108" s="2340"/>
      <c r="D108" s="188"/>
      <c r="E108" s="184" t="s">
        <v>871</v>
      </c>
      <c r="F108" s="1696"/>
      <c r="G108" s="8" t="s">
        <v>872</v>
      </c>
      <c r="H108" s="1696"/>
      <c r="I108" s="8" t="s">
        <v>872</v>
      </c>
      <c r="J108" s="1696"/>
      <c r="K108" s="8" t="s">
        <v>872</v>
      </c>
      <c r="L108" s="1696"/>
      <c r="M108" s="8" t="s">
        <v>872</v>
      </c>
      <c r="N108" s="1696"/>
      <c r="O108" s="8" t="s">
        <v>872</v>
      </c>
      <c r="P108" s="1696"/>
      <c r="Q108" s="8" t="s">
        <v>872</v>
      </c>
      <c r="R108" s="1696"/>
      <c r="S108" s="79" t="s">
        <v>873</v>
      </c>
      <c r="T108" s="185">
        <f t="shared" si="9"/>
        <v>0</v>
      </c>
      <c r="U108" s="2202"/>
      <c r="V108" s="9" t="b">
        <f>D108&lt;&gt;0</f>
        <v>0</v>
      </c>
      <c r="W108" s="2093" t="str">
        <f>IFERROR(VLOOKUP($D108,調書!$F$427:$BB$474,48,0),"")</f>
        <v/>
      </c>
    </row>
    <row r="109" spans="2:23" ht="15.75" customHeight="1">
      <c r="B109" s="2983"/>
      <c r="C109" s="1591"/>
      <c r="D109" s="1591"/>
      <c r="E109" s="1721"/>
      <c r="F109" s="1721"/>
      <c r="G109" s="1721"/>
      <c r="H109" s="1721"/>
      <c r="I109" s="1721"/>
      <c r="J109" s="1721"/>
      <c r="K109" s="1721"/>
      <c r="L109" s="1721"/>
      <c r="M109" s="1721"/>
      <c r="N109" s="1721"/>
      <c r="O109" s="1721"/>
      <c r="P109" s="1721"/>
      <c r="Q109" s="1723"/>
      <c r="R109" s="1724" t="s">
        <v>419</v>
      </c>
      <c r="S109" s="1721"/>
      <c r="T109" s="186">
        <f>SUM(T95:T103)</f>
        <v>0</v>
      </c>
      <c r="U109" s="2202"/>
      <c r="V109" s="9" t="b">
        <f>T109&lt;&gt;0</f>
        <v>0</v>
      </c>
    </row>
    <row r="110" spans="2:23" ht="15.75" customHeight="1">
      <c r="C110" s="181"/>
      <c r="D110" s="181"/>
      <c r="U110" s="2202"/>
    </row>
    <row r="111" spans="2:23" ht="15.75" customHeight="1">
      <c r="B111" s="44"/>
      <c r="C111" s="182"/>
      <c r="D111" s="182"/>
      <c r="E111" s="44"/>
      <c r="F111" s="44"/>
      <c r="G111" s="44"/>
      <c r="H111" s="44"/>
      <c r="I111" s="44"/>
      <c r="J111" s="44"/>
      <c r="K111" s="44"/>
      <c r="L111" s="44"/>
      <c r="M111" s="44"/>
      <c r="N111" s="44"/>
      <c r="O111" s="44"/>
      <c r="P111" s="44"/>
      <c r="Q111" s="44"/>
      <c r="R111" s="44"/>
      <c r="S111" s="44"/>
      <c r="T111" s="44"/>
      <c r="U111" s="2202"/>
    </row>
    <row r="112" spans="2:23" ht="15.75" customHeight="1">
      <c r="B112" s="2981" t="s">
        <v>421</v>
      </c>
      <c r="C112" s="2989" t="s">
        <v>1366</v>
      </c>
      <c r="D112" s="2992"/>
      <c r="E112" s="161" t="s">
        <v>871</v>
      </c>
      <c r="F112" s="1713"/>
      <c r="G112" s="118" t="s">
        <v>872</v>
      </c>
      <c r="H112" s="1713"/>
      <c r="I112" s="118" t="s">
        <v>872</v>
      </c>
      <c r="J112" s="1713"/>
      <c r="K112" s="118" t="s">
        <v>872</v>
      </c>
      <c r="L112" s="1713"/>
      <c r="M112" s="118" t="s">
        <v>872</v>
      </c>
      <c r="N112" s="1713"/>
      <c r="O112" s="118" t="s">
        <v>872</v>
      </c>
      <c r="P112" s="1713"/>
      <c r="Q112" s="118" t="s">
        <v>872</v>
      </c>
      <c r="R112" s="1713"/>
      <c r="S112" s="138" t="s">
        <v>873</v>
      </c>
      <c r="T112" s="177">
        <f t="shared" ref="T112:T121" si="13">SUM(F112:R112)</f>
        <v>0</v>
      </c>
      <c r="U112" s="2202"/>
      <c r="V112" s="9" t="b">
        <f>C112&lt;&gt;0</f>
        <v>1</v>
      </c>
      <c r="W112" s="2093" t="str">
        <f>IFERROR(VLOOKUP($C112,調書!$F$488:$BB$534,50,0),"")</f>
        <v/>
      </c>
    </row>
    <row r="113" spans="2:23" ht="15.75" customHeight="1">
      <c r="B113" s="2982"/>
      <c r="C113" s="2979" t="s">
        <v>1357</v>
      </c>
      <c r="D113" s="2980"/>
      <c r="E113" s="165" t="s">
        <v>871</v>
      </c>
      <c r="F113" s="1712"/>
      <c r="G113" s="104" t="s">
        <v>872</v>
      </c>
      <c r="H113" s="1712"/>
      <c r="I113" s="104" t="s">
        <v>872</v>
      </c>
      <c r="J113" s="1712"/>
      <c r="K113" s="104" t="s">
        <v>872</v>
      </c>
      <c r="L113" s="1712"/>
      <c r="M113" s="104" t="s">
        <v>872</v>
      </c>
      <c r="N113" s="1712"/>
      <c r="O113" s="104" t="s">
        <v>872</v>
      </c>
      <c r="P113" s="1712"/>
      <c r="Q113" s="104" t="s">
        <v>872</v>
      </c>
      <c r="R113" s="1712"/>
      <c r="S113" s="77" t="s">
        <v>873</v>
      </c>
      <c r="T113" s="171">
        <f t="shared" si="13"/>
        <v>0</v>
      </c>
      <c r="U113" s="2202"/>
      <c r="V113" s="9" t="b">
        <f>C113&lt;&gt;0</f>
        <v>1</v>
      </c>
      <c r="W113" s="2093" t="str">
        <f>IFERROR(VLOOKUP($C113,調書!$F$488:$BB$534,50,0),"")</f>
        <v/>
      </c>
    </row>
    <row r="114" spans="2:23" ht="15.75" customHeight="1">
      <c r="B114" s="2982"/>
      <c r="C114" s="2979"/>
      <c r="D114" s="2980"/>
      <c r="E114" s="165" t="s">
        <v>871</v>
      </c>
      <c r="F114" s="1712"/>
      <c r="G114" s="104" t="s">
        <v>872</v>
      </c>
      <c r="H114" s="1712"/>
      <c r="I114" s="104" t="s">
        <v>872</v>
      </c>
      <c r="J114" s="1712"/>
      <c r="K114" s="104" t="s">
        <v>872</v>
      </c>
      <c r="L114" s="1712"/>
      <c r="M114" s="104" t="s">
        <v>872</v>
      </c>
      <c r="N114" s="1712"/>
      <c r="O114" s="104" t="s">
        <v>872</v>
      </c>
      <c r="P114" s="1712"/>
      <c r="Q114" s="104" t="s">
        <v>872</v>
      </c>
      <c r="R114" s="1712"/>
      <c r="S114" s="77" t="s">
        <v>873</v>
      </c>
      <c r="T114" s="171">
        <f t="shared" si="13"/>
        <v>0</v>
      </c>
      <c r="U114" s="2202"/>
      <c r="V114" s="9" t="b">
        <f>C114&lt;&gt;0</f>
        <v>0</v>
      </c>
      <c r="W114" s="2093" t="str">
        <f>IFERROR(VLOOKUP($C114,調書!$F$488:$BB$534,50,0),"")</f>
        <v/>
      </c>
    </row>
    <row r="115" spans="2:23" ht="15.75" customHeight="1">
      <c r="B115" s="2982"/>
      <c r="C115" s="2979"/>
      <c r="D115" s="2980"/>
      <c r="E115" s="165" t="s">
        <v>871</v>
      </c>
      <c r="F115" s="1712"/>
      <c r="G115" s="104" t="s">
        <v>872</v>
      </c>
      <c r="H115" s="1712"/>
      <c r="I115" s="104" t="s">
        <v>872</v>
      </c>
      <c r="J115" s="1712"/>
      <c r="K115" s="104" t="s">
        <v>872</v>
      </c>
      <c r="L115" s="1712"/>
      <c r="M115" s="104" t="s">
        <v>872</v>
      </c>
      <c r="N115" s="1712"/>
      <c r="O115" s="104" t="s">
        <v>872</v>
      </c>
      <c r="P115" s="1712"/>
      <c r="Q115" s="104" t="s">
        <v>872</v>
      </c>
      <c r="R115" s="1712"/>
      <c r="S115" s="77" t="s">
        <v>873</v>
      </c>
      <c r="T115" s="171">
        <f t="shared" si="13"/>
        <v>0</v>
      </c>
      <c r="U115" s="2202"/>
      <c r="V115" s="9" t="b">
        <f>C115&lt;&gt;0</f>
        <v>0</v>
      </c>
      <c r="W115" s="2093" t="str">
        <f>IFERROR(VLOOKUP($C115,調書!$F$488:$BB$534,50,0),"")</f>
        <v/>
      </c>
    </row>
    <row r="116" spans="2:23" ht="15.75" customHeight="1">
      <c r="B116" s="2982"/>
      <c r="C116" s="2987"/>
      <c r="D116" s="2991"/>
      <c r="E116" s="184" t="s">
        <v>871</v>
      </c>
      <c r="F116" s="1696"/>
      <c r="G116" s="8" t="s">
        <v>872</v>
      </c>
      <c r="H116" s="1696"/>
      <c r="I116" s="8" t="s">
        <v>872</v>
      </c>
      <c r="J116" s="1696"/>
      <c r="K116" s="8" t="s">
        <v>872</v>
      </c>
      <c r="L116" s="1696"/>
      <c r="M116" s="8" t="s">
        <v>872</v>
      </c>
      <c r="N116" s="1696"/>
      <c r="O116" s="8" t="s">
        <v>872</v>
      </c>
      <c r="P116" s="1696"/>
      <c r="Q116" s="8" t="s">
        <v>872</v>
      </c>
      <c r="R116" s="1696"/>
      <c r="S116" s="79" t="s">
        <v>873</v>
      </c>
      <c r="T116" s="185">
        <f t="shared" si="13"/>
        <v>0</v>
      </c>
      <c r="U116" s="2202"/>
      <c r="V116" s="9" t="b">
        <f>C116&lt;&gt;0</f>
        <v>0</v>
      </c>
      <c r="W116" s="2093" t="str">
        <f>IFERROR(VLOOKUP($C116,調書!$F$488:$BB$534,50,0),"")</f>
        <v/>
      </c>
    </row>
    <row r="117" spans="2:23" ht="15.75" customHeight="1">
      <c r="B117" s="2982"/>
      <c r="C117" s="2993" t="s">
        <v>418</v>
      </c>
      <c r="D117" s="778" t="s">
        <v>820</v>
      </c>
      <c r="E117" s="178" t="s">
        <v>871</v>
      </c>
      <c r="F117" s="1716"/>
      <c r="G117" s="97" t="s">
        <v>872</v>
      </c>
      <c r="H117" s="1716"/>
      <c r="I117" s="97" t="s">
        <v>872</v>
      </c>
      <c r="J117" s="1716"/>
      <c r="K117" s="97" t="s">
        <v>872</v>
      </c>
      <c r="L117" s="1716"/>
      <c r="M117" s="97" t="s">
        <v>872</v>
      </c>
      <c r="N117" s="1716"/>
      <c r="O117" s="97" t="s">
        <v>872</v>
      </c>
      <c r="P117" s="1716"/>
      <c r="Q117" s="97" t="s">
        <v>872</v>
      </c>
      <c r="R117" s="1716"/>
      <c r="S117" s="6" t="s">
        <v>873</v>
      </c>
      <c r="T117" s="777">
        <f t="shared" si="13"/>
        <v>0</v>
      </c>
      <c r="U117" s="2202"/>
      <c r="V117" s="9" t="b">
        <f>D117&lt;&gt;0</f>
        <v>1</v>
      </c>
      <c r="W117" s="2093" t="str">
        <f>IFERROR(VLOOKUP($D117,調書!$F$488:$BB$534,48,0),"")</f>
        <v/>
      </c>
    </row>
    <row r="118" spans="2:23" ht="15.75" customHeight="1">
      <c r="B118" s="2982"/>
      <c r="C118" s="2994"/>
      <c r="D118" s="779" t="s">
        <v>821</v>
      </c>
      <c r="E118" s="165" t="s">
        <v>1504</v>
      </c>
      <c r="F118" s="1712"/>
      <c r="G118" s="104" t="s">
        <v>780</v>
      </c>
      <c r="H118" s="1712"/>
      <c r="I118" s="104" t="s">
        <v>780</v>
      </c>
      <c r="J118" s="1712"/>
      <c r="K118" s="104" t="s">
        <v>780</v>
      </c>
      <c r="L118" s="1712"/>
      <c r="M118" s="104" t="s">
        <v>780</v>
      </c>
      <c r="N118" s="1712"/>
      <c r="O118" s="104" t="s">
        <v>780</v>
      </c>
      <c r="P118" s="1712"/>
      <c r="Q118" s="104" t="s">
        <v>780</v>
      </c>
      <c r="R118" s="1712"/>
      <c r="S118" s="77" t="s">
        <v>858</v>
      </c>
      <c r="T118" s="171">
        <f t="shared" si="13"/>
        <v>0</v>
      </c>
      <c r="U118" s="2202"/>
      <c r="V118" s="9" t="b">
        <f t="shared" ref="V118:V119" si="14">D118&lt;&gt;0</f>
        <v>1</v>
      </c>
      <c r="W118" s="2093" t="str">
        <f>IFERROR(VLOOKUP($D118,調書!$F$488:$BB$534,48,0),"")</f>
        <v/>
      </c>
    </row>
    <row r="119" spans="2:23" ht="15.75" customHeight="1">
      <c r="B119" s="2982"/>
      <c r="C119" s="2994"/>
      <c r="D119" s="779"/>
      <c r="E119" s="165" t="s">
        <v>1504</v>
      </c>
      <c r="F119" s="1712"/>
      <c r="G119" s="104" t="s">
        <v>780</v>
      </c>
      <c r="H119" s="1712"/>
      <c r="I119" s="104" t="s">
        <v>780</v>
      </c>
      <c r="J119" s="1712"/>
      <c r="K119" s="104" t="s">
        <v>780</v>
      </c>
      <c r="L119" s="1712"/>
      <c r="M119" s="104" t="s">
        <v>780</v>
      </c>
      <c r="N119" s="1712"/>
      <c r="O119" s="104" t="s">
        <v>780</v>
      </c>
      <c r="P119" s="1712"/>
      <c r="Q119" s="104" t="s">
        <v>780</v>
      </c>
      <c r="R119" s="1712"/>
      <c r="S119" s="77" t="s">
        <v>858</v>
      </c>
      <c r="T119" s="171">
        <f t="shared" si="13"/>
        <v>0</v>
      </c>
      <c r="U119" s="2202"/>
      <c r="V119" s="9" t="b">
        <f t="shared" si="14"/>
        <v>0</v>
      </c>
      <c r="W119" s="2093" t="str">
        <f>IFERROR(VLOOKUP($D119,調書!$F$488:$BB$534,48,0),"")</f>
        <v/>
      </c>
    </row>
    <row r="120" spans="2:23" ht="15.75" customHeight="1">
      <c r="B120" s="2982"/>
      <c r="C120" s="2994"/>
      <c r="D120" s="779"/>
      <c r="E120" s="165" t="s">
        <v>1504</v>
      </c>
      <c r="F120" s="1712"/>
      <c r="G120" s="104" t="s">
        <v>780</v>
      </c>
      <c r="H120" s="1712"/>
      <c r="I120" s="104" t="s">
        <v>780</v>
      </c>
      <c r="J120" s="1712"/>
      <c r="K120" s="104" t="s">
        <v>780</v>
      </c>
      <c r="L120" s="1712"/>
      <c r="M120" s="104" t="s">
        <v>780</v>
      </c>
      <c r="N120" s="1712"/>
      <c r="O120" s="104" t="s">
        <v>780</v>
      </c>
      <c r="P120" s="1712"/>
      <c r="Q120" s="104" t="s">
        <v>780</v>
      </c>
      <c r="R120" s="1712"/>
      <c r="S120" s="77" t="s">
        <v>858</v>
      </c>
      <c r="T120" s="171">
        <f t="shared" ref="T120" si="15">SUM(F120:R120)</f>
        <v>0</v>
      </c>
      <c r="U120" s="2202"/>
      <c r="V120" s="9" t="b">
        <f>D120&lt;&gt;0</f>
        <v>0</v>
      </c>
      <c r="W120" s="2093" t="str">
        <f>IFERROR(VLOOKUP($D120,調書!$F$488:$BB$534,48,0),"")</f>
        <v/>
      </c>
    </row>
    <row r="121" spans="2:23" ht="15.75" customHeight="1">
      <c r="B121" s="2982"/>
      <c r="C121" s="2995"/>
      <c r="D121" s="188"/>
      <c r="E121" s="184" t="s">
        <v>871</v>
      </c>
      <c r="F121" s="1696"/>
      <c r="G121" s="8" t="s">
        <v>872</v>
      </c>
      <c r="H121" s="1696"/>
      <c r="I121" s="8" t="s">
        <v>872</v>
      </c>
      <c r="J121" s="1696"/>
      <c r="K121" s="8" t="s">
        <v>872</v>
      </c>
      <c r="L121" s="1696"/>
      <c r="M121" s="8" t="s">
        <v>872</v>
      </c>
      <c r="N121" s="1696"/>
      <c r="O121" s="8" t="s">
        <v>872</v>
      </c>
      <c r="P121" s="1696"/>
      <c r="Q121" s="8" t="s">
        <v>872</v>
      </c>
      <c r="R121" s="1696"/>
      <c r="S121" s="79" t="s">
        <v>873</v>
      </c>
      <c r="T121" s="185">
        <f t="shared" si="13"/>
        <v>0</v>
      </c>
      <c r="U121" s="2202"/>
      <c r="V121" s="9" t="b">
        <f>D121&lt;&gt;0</f>
        <v>0</v>
      </c>
      <c r="W121" s="2093" t="str">
        <f>IFERROR(VLOOKUP($D121,調書!$F$488:$BB$534,48,0),"")</f>
        <v/>
      </c>
    </row>
    <row r="122" spans="2:23" ht="15.75" customHeight="1">
      <c r="B122" s="2983"/>
      <c r="C122" s="1591"/>
      <c r="D122" s="1591"/>
      <c r="E122" s="1721"/>
      <c r="F122" s="1721"/>
      <c r="G122" s="1721"/>
      <c r="H122" s="1721"/>
      <c r="I122" s="1721"/>
      <c r="J122" s="1721"/>
      <c r="K122" s="1721"/>
      <c r="L122" s="1721"/>
      <c r="M122" s="1721"/>
      <c r="N122" s="1721"/>
      <c r="O122" s="1721"/>
      <c r="P122" s="1721"/>
      <c r="Q122" s="1723"/>
      <c r="R122" s="1724" t="s">
        <v>419</v>
      </c>
      <c r="S122" s="1721"/>
      <c r="T122" s="186">
        <f>SUM(T112:T116)</f>
        <v>0</v>
      </c>
      <c r="U122" s="2202"/>
      <c r="V122" s="9" t="b">
        <f>T122&lt;&gt;0</f>
        <v>0</v>
      </c>
    </row>
    <row r="123" spans="2:23" ht="15.75" customHeight="1">
      <c r="C123" s="181"/>
      <c r="D123" s="181"/>
      <c r="U123" s="2202"/>
    </row>
    <row r="124" spans="2:23" ht="15.75" customHeight="1">
      <c r="B124" s="44"/>
      <c r="C124" s="182"/>
      <c r="D124" s="182"/>
      <c r="E124" s="44"/>
      <c r="F124" s="44"/>
      <c r="G124" s="44"/>
      <c r="H124" s="44"/>
      <c r="I124" s="44"/>
      <c r="J124" s="44"/>
      <c r="K124" s="44"/>
      <c r="L124" s="44"/>
      <c r="M124" s="44"/>
      <c r="N124" s="44"/>
      <c r="O124" s="44"/>
      <c r="P124" s="44"/>
      <c r="Q124" s="44"/>
      <c r="R124" s="44"/>
      <c r="S124" s="44"/>
      <c r="T124" s="44"/>
      <c r="U124" s="2202"/>
    </row>
    <row r="125" spans="2:23" ht="15.75" customHeight="1">
      <c r="B125" s="2984" t="s">
        <v>422</v>
      </c>
      <c r="C125" s="2989" t="s">
        <v>1421</v>
      </c>
      <c r="D125" s="2990"/>
      <c r="E125" s="161" t="s">
        <v>871</v>
      </c>
      <c r="F125" s="1713"/>
      <c r="G125" s="118" t="s">
        <v>872</v>
      </c>
      <c r="H125" s="1713"/>
      <c r="I125" s="118" t="s">
        <v>872</v>
      </c>
      <c r="J125" s="1713"/>
      <c r="K125" s="118" t="s">
        <v>872</v>
      </c>
      <c r="L125" s="1713"/>
      <c r="M125" s="118" t="s">
        <v>872</v>
      </c>
      <c r="N125" s="1713"/>
      <c r="O125" s="118" t="s">
        <v>872</v>
      </c>
      <c r="P125" s="1713"/>
      <c r="Q125" s="118" t="s">
        <v>872</v>
      </c>
      <c r="R125" s="1713"/>
      <c r="S125" s="138" t="s">
        <v>873</v>
      </c>
      <c r="T125" s="177">
        <f t="shared" ref="T125:T134" si="16">SUM(F125:R125)</f>
        <v>0</v>
      </c>
      <c r="U125" s="2202"/>
      <c r="V125" s="9" t="b">
        <f>C125&lt;&gt;0</f>
        <v>1</v>
      </c>
      <c r="W125" s="2093" t="str">
        <f>IFERROR(VLOOKUP($C125,調書!$F$548:$BB$585,50,0),"")</f>
        <v/>
      </c>
    </row>
    <row r="126" spans="2:23" ht="15.75" customHeight="1">
      <c r="B126" s="2982"/>
      <c r="C126" s="2979" t="s">
        <v>1411</v>
      </c>
      <c r="D126" s="2986"/>
      <c r="E126" s="165" t="s">
        <v>871</v>
      </c>
      <c r="F126" s="1712"/>
      <c r="G126" s="104" t="s">
        <v>872</v>
      </c>
      <c r="H126" s="1712"/>
      <c r="I126" s="104" t="s">
        <v>872</v>
      </c>
      <c r="J126" s="1712"/>
      <c r="K126" s="104" t="s">
        <v>872</v>
      </c>
      <c r="L126" s="1712"/>
      <c r="M126" s="104" t="s">
        <v>872</v>
      </c>
      <c r="N126" s="1712"/>
      <c r="O126" s="104" t="s">
        <v>872</v>
      </c>
      <c r="P126" s="1712"/>
      <c r="Q126" s="104" t="s">
        <v>872</v>
      </c>
      <c r="R126" s="1712"/>
      <c r="S126" s="77" t="s">
        <v>873</v>
      </c>
      <c r="T126" s="171">
        <f t="shared" si="16"/>
        <v>0</v>
      </c>
      <c r="U126" s="2202"/>
      <c r="V126" s="9" t="b">
        <f>C126&lt;&gt;0</f>
        <v>1</v>
      </c>
      <c r="W126" s="2093" t="str">
        <f>IFERROR(VLOOKUP($C126,調書!$F$548:$BB$585,50,0),"")</f>
        <v/>
      </c>
    </row>
    <row r="127" spans="2:23" ht="15.75" customHeight="1">
      <c r="B127" s="2982"/>
      <c r="C127" s="2979"/>
      <c r="D127" s="2986"/>
      <c r="E127" s="165" t="s">
        <v>871</v>
      </c>
      <c r="F127" s="1712"/>
      <c r="G127" s="104" t="s">
        <v>872</v>
      </c>
      <c r="H127" s="1712"/>
      <c r="I127" s="104" t="s">
        <v>872</v>
      </c>
      <c r="J127" s="1712"/>
      <c r="K127" s="104" t="s">
        <v>872</v>
      </c>
      <c r="L127" s="1712"/>
      <c r="M127" s="104" t="s">
        <v>872</v>
      </c>
      <c r="N127" s="1712"/>
      <c r="O127" s="104" t="s">
        <v>872</v>
      </c>
      <c r="P127" s="1712"/>
      <c r="Q127" s="104" t="s">
        <v>872</v>
      </c>
      <c r="R127" s="1712"/>
      <c r="S127" s="77" t="s">
        <v>873</v>
      </c>
      <c r="T127" s="171">
        <f t="shared" si="16"/>
        <v>0</v>
      </c>
      <c r="U127" s="2202"/>
      <c r="V127" s="9" t="b">
        <f>C127&lt;&gt;0</f>
        <v>0</v>
      </c>
      <c r="W127" s="2093" t="str">
        <f>IFERROR(VLOOKUP($C127,調書!$F$548:$BB$585,50,0),"")</f>
        <v/>
      </c>
    </row>
    <row r="128" spans="2:23" ht="15.75" customHeight="1">
      <c r="B128" s="2982"/>
      <c r="C128" s="2979"/>
      <c r="D128" s="2986"/>
      <c r="E128" s="165" t="s">
        <v>871</v>
      </c>
      <c r="F128" s="1712"/>
      <c r="G128" s="104" t="s">
        <v>872</v>
      </c>
      <c r="H128" s="1712"/>
      <c r="I128" s="104" t="s">
        <v>872</v>
      </c>
      <c r="J128" s="1712"/>
      <c r="K128" s="104" t="s">
        <v>872</v>
      </c>
      <c r="L128" s="1712"/>
      <c r="M128" s="104" t="s">
        <v>872</v>
      </c>
      <c r="N128" s="1712"/>
      <c r="O128" s="104" t="s">
        <v>872</v>
      </c>
      <c r="P128" s="1712"/>
      <c r="Q128" s="104" t="s">
        <v>872</v>
      </c>
      <c r="R128" s="1712"/>
      <c r="S128" s="77" t="s">
        <v>873</v>
      </c>
      <c r="T128" s="171">
        <f t="shared" si="16"/>
        <v>0</v>
      </c>
      <c r="U128" s="2202"/>
      <c r="V128" s="9" t="b">
        <f>C128&lt;&gt;0</f>
        <v>0</v>
      </c>
      <c r="W128" s="2093" t="str">
        <f>IFERROR(VLOOKUP($C128,調書!$F$548:$BB$585,50,0),"")</f>
        <v/>
      </c>
    </row>
    <row r="129" spans="2:23" ht="15.75" customHeight="1">
      <c r="B129" s="2982"/>
      <c r="C129" s="2987"/>
      <c r="D129" s="2988"/>
      <c r="E129" s="184" t="s">
        <v>871</v>
      </c>
      <c r="F129" s="1696"/>
      <c r="G129" s="8" t="s">
        <v>872</v>
      </c>
      <c r="H129" s="1696"/>
      <c r="I129" s="8" t="s">
        <v>872</v>
      </c>
      <c r="J129" s="1696"/>
      <c r="K129" s="8" t="s">
        <v>872</v>
      </c>
      <c r="L129" s="1696"/>
      <c r="M129" s="8" t="s">
        <v>872</v>
      </c>
      <c r="N129" s="1696"/>
      <c r="O129" s="8" t="s">
        <v>872</v>
      </c>
      <c r="P129" s="1696"/>
      <c r="Q129" s="8" t="s">
        <v>872</v>
      </c>
      <c r="R129" s="1696"/>
      <c r="S129" s="79" t="s">
        <v>873</v>
      </c>
      <c r="T129" s="185">
        <f t="shared" si="16"/>
        <v>0</v>
      </c>
      <c r="U129" s="2202"/>
      <c r="V129" s="9" t="b">
        <f>C129&lt;&gt;0</f>
        <v>0</v>
      </c>
      <c r="W129" s="2093" t="str">
        <f>IFERROR(VLOOKUP($C129,調書!$F$548:$BB$585,50,0),"")</f>
        <v/>
      </c>
    </row>
    <row r="130" spans="2:23" ht="15.75" customHeight="1">
      <c r="B130" s="2982"/>
      <c r="C130" s="2993" t="s">
        <v>418</v>
      </c>
      <c r="D130" s="775" t="s">
        <v>820</v>
      </c>
      <c r="E130" s="178" t="s">
        <v>871</v>
      </c>
      <c r="F130" s="1716"/>
      <c r="G130" s="97" t="s">
        <v>872</v>
      </c>
      <c r="H130" s="1716"/>
      <c r="I130" s="97" t="s">
        <v>872</v>
      </c>
      <c r="J130" s="1716"/>
      <c r="K130" s="97" t="s">
        <v>872</v>
      </c>
      <c r="L130" s="1716"/>
      <c r="M130" s="97" t="s">
        <v>872</v>
      </c>
      <c r="N130" s="1716"/>
      <c r="O130" s="97" t="s">
        <v>872</v>
      </c>
      <c r="P130" s="1716"/>
      <c r="Q130" s="97" t="s">
        <v>872</v>
      </c>
      <c r="R130" s="1716"/>
      <c r="S130" s="6" t="s">
        <v>873</v>
      </c>
      <c r="T130" s="777">
        <f t="shared" si="16"/>
        <v>0</v>
      </c>
      <c r="U130" s="2202"/>
      <c r="V130" s="9" t="b">
        <f>D130&lt;&gt;0</f>
        <v>1</v>
      </c>
      <c r="W130" s="2093" t="str">
        <f>IFERROR(VLOOKUP($D130,調書!$H$586:$BB$592,48,0),"")</f>
        <v/>
      </c>
    </row>
    <row r="131" spans="2:23" ht="15.75" customHeight="1">
      <c r="B131" s="2982"/>
      <c r="C131" s="2994"/>
      <c r="D131" s="774" t="s">
        <v>821</v>
      </c>
      <c r="E131" s="165" t="s">
        <v>1504</v>
      </c>
      <c r="F131" s="1712"/>
      <c r="G131" s="104" t="s">
        <v>780</v>
      </c>
      <c r="H131" s="1712"/>
      <c r="I131" s="104" t="s">
        <v>780</v>
      </c>
      <c r="J131" s="1712"/>
      <c r="K131" s="104" t="s">
        <v>780</v>
      </c>
      <c r="L131" s="1712"/>
      <c r="M131" s="104" t="s">
        <v>780</v>
      </c>
      <c r="N131" s="1712"/>
      <c r="O131" s="104" t="s">
        <v>780</v>
      </c>
      <c r="P131" s="1712"/>
      <c r="Q131" s="104" t="s">
        <v>780</v>
      </c>
      <c r="R131" s="1712"/>
      <c r="S131" s="77" t="s">
        <v>858</v>
      </c>
      <c r="T131" s="171">
        <f t="shared" si="16"/>
        <v>0</v>
      </c>
      <c r="U131" s="2202"/>
      <c r="V131" s="9" t="b">
        <f t="shared" ref="V131:V132" si="17">D131&lt;&gt;0</f>
        <v>1</v>
      </c>
      <c r="W131" s="2093" t="str">
        <f>IFERROR(VLOOKUP($D131,調書!$H$586:$BB$592,48,0),"")</f>
        <v/>
      </c>
    </row>
    <row r="132" spans="2:23" ht="15.75" customHeight="1">
      <c r="B132" s="2982"/>
      <c r="C132" s="2994"/>
      <c r="D132" s="774"/>
      <c r="E132" s="165" t="s">
        <v>1504</v>
      </c>
      <c r="F132" s="1712"/>
      <c r="G132" s="104" t="s">
        <v>780</v>
      </c>
      <c r="H132" s="1712"/>
      <c r="I132" s="104" t="s">
        <v>780</v>
      </c>
      <c r="J132" s="1712"/>
      <c r="K132" s="104" t="s">
        <v>780</v>
      </c>
      <c r="L132" s="1712"/>
      <c r="M132" s="104" t="s">
        <v>780</v>
      </c>
      <c r="N132" s="1712"/>
      <c r="O132" s="104" t="s">
        <v>780</v>
      </c>
      <c r="P132" s="1712"/>
      <c r="Q132" s="104" t="s">
        <v>780</v>
      </c>
      <c r="R132" s="1712"/>
      <c r="S132" s="77" t="s">
        <v>858</v>
      </c>
      <c r="T132" s="171">
        <f t="shared" si="16"/>
        <v>0</v>
      </c>
      <c r="U132" s="2202"/>
      <c r="V132" s="9" t="b">
        <f t="shared" si="17"/>
        <v>0</v>
      </c>
      <c r="W132" s="2093" t="str">
        <f>IFERROR(VLOOKUP($D132,調書!$H$586:$BB$592,48,0),"")</f>
        <v/>
      </c>
    </row>
    <row r="133" spans="2:23" ht="15.75" customHeight="1">
      <c r="B133" s="2982"/>
      <c r="C133" s="2994"/>
      <c r="D133" s="774"/>
      <c r="E133" s="165" t="s">
        <v>1504</v>
      </c>
      <c r="F133" s="1712"/>
      <c r="G133" s="104" t="s">
        <v>780</v>
      </c>
      <c r="H133" s="1712"/>
      <c r="I133" s="104" t="s">
        <v>780</v>
      </c>
      <c r="J133" s="1712"/>
      <c r="K133" s="104" t="s">
        <v>780</v>
      </c>
      <c r="L133" s="1712"/>
      <c r="M133" s="104" t="s">
        <v>780</v>
      </c>
      <c r="N133" s="1712"/>
      <c r="O133" s="104" t="s">
        <v>780</v>
      </c>
      <c r="P133" s="1712"/>
      <c r="Q133" s="104" t="s">
        <v>780</v>
      </c>
      <c r="R133" s="1712"/>
      <c r="S133" s="77" t="s">
        <v>858</v>
      </c>
      <c r="T133" s="171">
        <f t="shared" ref="T133" si="18">SUM(F133:R133)</f>
        <v>0</v>
      </c>
      <c r="U133" s="2202"/>
      <c r="V133" s="9" t="b">
        <f>D133&lt;&gt;0</f>
        <v>0</v>
      </c>
      <c r="W133" s="2093" t="str">
        <f>IFERROR(VLOOKUP($D133,調書!$H$586:$BB$592,48,0),"")</f>
        <v/>
      </c>
    </row>
    <row r="134" spans="2:23" ht="15.75" customHeight="1">
      <c r="B134" s="2982"/>
      <c r="C134" s="2995"/>
      <c r="D134" s="183"/>
      <c r="E134" s="184" t="s">
        <v>871</v>
      </c>
      <c r="F134" s="1696"/>
      <c r="G134" s="8" t="s">
        <v>872</v>
      </c>
      <c r="H134" s="1696"/>
      <c r="I134" s="8" t="s">
        <v>872</v>
      </c>
      <c r="J134" s="1696"/>
      <c r="K134" s="8" t="s">
        <v>872</v>
      </c>
      <c r="L134" s="1696"/>
      <c r="M134" s="8" t="s">
        <v>872</v>
      </c>
      <c r="N134" s="1696"/>
      <c r="O134" s="8" t="s">
        <v>872</v>
      </c>
      <c r="P134" s="1696"/>
      <c r="Q134" s="8" t="s">
        <v>872</v>
      </c>
      <c r="R134" s="1696"/>
      <c r="S134" s="79" t="s">
        <v>873</v>
      </c>
      <c r="T134" s="185">
        <f t="shared" si="16"/>
        <v>0</v>
      </c>
      <c r="U134" s="2202"/>
      <c r="V134" s="9" t="b">
        <f>D134&lt;&gt;0</f>
        <v>0</v>
      </c>
      <c r="W134" s="2093" t="str">
        <f>IFERROR(VLOOKUP($D134,調書!$H$586:$BB$592,48,0),"")</f>
        <v/>
      </c>
    </row>
    <row r="135" spans="2:23" ht="15.75" customHeight="1">
      <c r="B135" s="2982"/>
      <c r="C135" s="2993" t="s">
        <v>423</v>
      </c>
      <c r="D135" s="187"/>
      <c r="E135" s="161" t="s">
        <v>871</v>
      </c>
      <c r="F135" s="3011" t="str">
        <f>HYPERLINK("#調書!E612","&lt;調書直接入力&gt;")</f>
        <v>&lt;調書直接入力&gt;</v>
      </c>
      <c r="G135" s="3012"/>
      <c r="H135" s="3013"/>
      <c r="I135" s="3005" t="s">
        <v>424</v>
      </c>
      <c r="J135" s="3006"/>
      <c r="K135" s="3006"/>
      <c r="L135" s="3006"/>
      <c r="M135" s="3006"/>
      <c r="N135" s="3006"/>
      <c r="O135" s="3006"/>
      <c r="P135" s="3006"/>
      <c r="Q135" s="3006"/>
      <c r="R135" s="3006"/>
      <c r="S135" s="3006"/>
      <c r="T135" s="3007"/>
      <c r="U135" s="2202"/>
      <c r="V135" s="9" t="b">
        <f>D135&lt;&gt;0</f>
        <v>0</v>
      </c>
    </row>
    <row r="136" spans="2:23" ht="15.75" customHeight="1">
      <c r="B136" s="2982"/>
      <c r="C136" s="2995"/>
      <c r="D136" s="183"/>
      <c r="E136" s="184" t="s">
        <v>871</v>
      </c>
      <c r="F136" s="3014"/>
      <c r="G136" s="3015"/>
      <c r="H136" s="3016"/>
      <c r="I136" s="3008"/>
      <c r="J136" s="3009"/>
      <c r="K136" s="3009"/>
      <c r="L136" s="3009"/>
      <c r="M136" s="3009"/>
      <c r="N136" s="3009"/>
      <c r="O136" s="3009"/>
      <c r="P136" s="3009"/>
      <c r="Q136" s="3009"/>
      <c r="R136" s="3009"/>
      <c r="S136" s="3009"/>
      <c r="T136" s="3010"/>
      <c r="U136" s="2202"/>
      <c r="V136" s="9" t="b">
        <f>D136&lt;&gt;0</f>
        <v>0</v>
      </c>
    </row>
    <row r="137" spans="2:23" ht="15.75" customHeight="1">
      <c r="B137" s="2983"/>
      <c r="C137" s="1725"/>
      <c r="D137" s="1591"/>
      <c r="E137" s="1721"/>
      <c r="F137" s="1721"/>
      <c r="G137" s="1721"/>
      <c r="H137" s="1721"/>
      <c r="I137" s="1721"/>
      <c r="J137" s="1721"/>
      <c r="K137" s="1721"/>
      <c r="L137" s="1721"/>
      <c r="M137" s="1721"/>
      <c r="N137" s="1721"/>
      <c r="O137" s="1721"/>
      <c r="P137" s="1721"/>
      <c r="Q137" s="1723"/>
      <c r="R137" s="1724" t="s">
        <v>419</v>
      </c>
      <c r="S137" s="1721"/>
      <c r="T137" s="186">
        <f>SUM(T125:T129)</f>
        <v>0</v>
      </c>
      <c r="U137" s="2202"/>
      <c r="V137" s="9" t="b">
        <f>T137&lt;&gt;0</f>
        <v>0</v>
      </c>
    </row>
    <row r="138" spans="2:23" ht="15.75" customHeight="1">
      <c r="C138" s="181"/>
      <c r="D138" s="181"/>
    </row>
  </sheetData>
  <autoFilter ref="V2:V137" xr:uid="{00000000-0001-0000-0500-000000000000}"/>
  <customSheetViews>
    <customSheetView guid="{6CFAA980-29D1-42A9-8342-BF14629EBE3B}" showGridLines="0" zeroValues="0" fitToPage="1" showAutoFilter="1">
      <pane xSplit="1" ySplit="4" topLeftCell="B5" activePane="bottomRight" state="frozen"/>
      <selection pane="bottomRight" activeCell="C8" sqref="C8:D8"/>
      <pageMargins left="0.59055118110236227" right="0.19685039370078741" top="0.47244094488188981" bottom="0.39370078740157483" header="0.39370078740157483" footer="0.19685039370078741"/>
      <pageSetup paperSize="9" scale="63" fitToHeight="2" orientation="portrait" r:id="rId1"/>
      <headerFooter alignWithMargins="0">
        <oddHeader>&amp;C&amp;"HG創英角ｺﾞｼｯｸUB,ｳﾙﾄﾗﾎﾞｰﾙﾄﾞ"&amp;11見積拾補助票</oddHeader>
        <oddFooter>&amp;R&amp;"ＭＳ ゴシック,標準"&amp;D　&amp;T</oddFooter>
      </headerFooter>
      <autoFilter ref="U2:U144" xr:uid="{7428C3B0-45C9-4115-B3DF-0EF69B386B3C}"/>
    </customSheetView>
  </customSheetViews>
  <mergeCells count="90">
    <mergeCell ref="B78:B92"/>
    <mergeCell ref="B65:B75"/>
    <mergeCell ref="I135:T136"/>
    <mergeCell ref="C117:C121"/>
    <mergeCell ref="C104:C108"/>
    <mergeCell ref="C115:D115"/>
    <mergeCell ref="C128:D128"/>
    <mergeCell ref="C126:D126"/>
    <mergeCell ref="C116:D116"/>
    <mergeCell ref="C113:D113"/>
    <mergeCell ref="F135:H136"/>
    <mergeCell ref="C95:D95"/>
    <mergeCell ref="C84:D84"/>
    <mergeCell ref="C82:D82"/>
    <mergeCell ref="C66:D66"/>
    <mergeCell ref="C83:D83"/>
    <mergeCell ref="C67:D67"/>
    <mergeCell ref="C87:C91"/>
    <mergeCell ref="C70:C74"/>
    <mergeCell ref="C79:D79"/>
    <mergeCell ref="C7:D7"/>
    <mergeCell ref="C8:D8"/>
    <mergeCell ref="C9:D9"/>
    <mergeCell ref="C15:D15"/>
    <mergeCell ref="C21:D21"/>
    <mergeCell ref="C11:D11"/>
    <mergeCell ref="C12:D12"/>
    <mergeCell ref="C13:D13"/>
    <mergeCell ref="C10:D10"/>
    <mergeCell ref="C33:D33"/>
    <mergeCell ref="C17:D17"/>
    <mergeCell ref="C18:D18"/>
    <mergeCell ref="C29:D29"/>
    <mergeCell ref="C27:D27"/>
    <mergeCell ref="C19:D19"/>
    <mergeCell ref="C20:D20"/>
    <mergeCell ref="C23:D23"/>
    <mergeCell ref="C22:D22"/>
    <mergeCell ref="C25:D25"/>
    <mergeCell ref="C34:D34"/>
    <mergeCell ref="C43:D43"/>
    <mergeCell ref="C41:D41"/>
    <mergeCell ref="C36:D36"/>
    <mergeCell ref="C50:D50"/>
    <mergeCell ref="C37:D37"/>
    <mergeCell ref="C42:D42"/>
    <mergeCell ref="C35:D35"/>
    <mergeCell ref="C45:D45"/>
    <mergeCell ref="C44:D44"/>
    <mergeCell ref="C49:D49"/>
    <mergeCell ref="C51:D51"/>
    <mergeCell ref="C52:D52"/>
    <mergeCell ref="C61:D61"/>
    <mergeCell ref="C60:D60"/>
    <mergeCell ref="C58:D58"/>
    <mergeCell ref="C53:D53"/>
    <mergeCell ref="C57:D57"/>
    <mergeCell ref="C59:D59"/>
    <mergeCell ref="C78:D78"/>
    <mergeCell ref="B125:B137"/>
    <mergeCell ref="C99:D99"/>
    <mergeCell ref="C97:D97"/>
    <mergeCell ref="C98:D98"/>
    <mergeCell ref="C103:D103"/>
    <mergeCell ref="C100:D100"/>
    <mergeCell ref="C114:D114"/>
    <mergeCell ref="C101:D101"/>
    <mergeCell ref="C112:D112"/>
    <mergeCell ref="C102:D102"/>
    <mergeCell ref="C125:D125"/>
    <mergeCell ref="C127:D127"/>
    <mergeCell ref="C130:C134"/>
    <mergeCell ref="C135:C136"/>
    <mergeCell ref="C129:D129"/>
    <mergeCell ref="E29:T29"/>
    <mergeCell ref="C96:D96"/>
    <mergeCell ref="B112:B122"/>
    <mergeCell ref="B95:B109"/>
    <mergeCell ref="B6:B30"/>
    <mergeCell ref="C81:D81"/>
    <mergeCell ref="C80:D80"/>
    <mergeCell ref="C69:D69"/>
    <mergeCell ref="C86:D86"/>
    <mergeCell ref="B33:B38"/>
    <mergeCell ref="B41:B46"/>
    <mergeCell ref="B49:B54"/>
    <mergeCell ref="B57:B62"/>
    <mergeCell ref="C65:D65"/>
    <mergeCell ref="C85:D85"/>
    <mergeCell ref="C68:D68"/>
  </mergeCells>
  <phoneticPr fontId="20"/>
  <dataValidations disablePrompts="1" count="17">
    <dataValidation type="list" allowBlank="1" showInputMessage="1" showErrorMessage="1" sqref="D136" xr:uid="{00000000-0002-0000-0500-000000000000}">
      <formula1>"固定式,開閉式"</formula1>
    </dataValidation>
    <dataValidation type="list" allowBlank="1" showInputMessage="1" showErrorMessage="1" sqref="D117:D121 D104:D108 D87:D91 D70:D74 D130:D134" xr:uid="{00000000-0002-0000-0500-000001000000}">
      <formula1>断熱名称</formula1>
    </dataValidation>
    <dataValidation type="list" allowBlank="1" showInputMessage="1" showErrorMessage="1" error="調書シートで追加（又は修正）した後、再度選択してくだい。" sqref="C125:D129" xr:uid="{00000000-0002-0000-0500-000002000000}">
      <formula1>屋根名称</formula1>
    </dataValidation>
    <dataValidation type="list" allowBlank="1" showInputMessage="1" showErrorMessage="1" error="調書シートで追加（又は修正）した後、再度選択してくだい。" sqref="C112:D116" xr:uid="{00000000-0002-0000-0500-000003000000}">
      <formula1>天井名称</formula1>
    </dataValidation>
    <dataValidation type="list" allowBlank="1" showInputMessage="1" showErrorMessage="1" error="調書シートで追加（又は修正）した後、再度選択してくだい。" sqref="C95:D103" xr:uid="{00000000-0002-0000-0500-000004000000}">
      <formula1>床名称</formula1>
    </dataValidation>
    <dataValidation type="list" allowBlank="1" showInputMessage="1" showErrorMessage="1" error="調書シートで追加（又は修正）した後、再度選択してくだい。" sqref="C78:D86" xr:uid="{00000000-0002-0000-0500-000005000000}">
      <formula1>内部名称</formula1>
    </dataValidation>
    <dataValidation type="list" allowBlank="1" showInputMessage="1" showErrorMessage="1" error="調書シートで追加（又は修正）した後、再度選択してくだい。" sqref="C65:D69" xr:uid="{00000000-0002-0000-0500-000006000000}">
      <formula1>外部名称</formula1>
    </dataValidation>
    <dataValidation type="list" allowBlank="1" showInputMessage="1" showErrorMessage="1" error="調書シートで追加（又は修正）した後、再度選択してくだい。" sqref="C57:D61" xr:uid="{00000000-0002-0000-0500-000007000000}">
      <formula1>間仕切名称</formula1>
    </dataValidation>
    <dataValidation type="list" allowBlank="1" showInputMessage="1" showErrorMessage="1" error="調書シートで追加（又は修正）した後、再度選択してくだい。" sqref="C49:D53" xr:uid="{00000000-0002-0000-0500-000008000000}">
      <formula1>外周壁名称</formula1>
    </dataValidation>
    <dataValidation type="list" allowBlank="1" showInputMessage="1" showErrorMessage="1" error="調書シートで追加（又は修正）した後、再度選択してくだい。" sqref="C41:D45" xr:uid="{00000000-0002-0000-0500-000009000000}">
      <formula1>床構造名称</formula1>
    </dataValidation>
    <dataValidation type="list" allowBlank="1" showInputMessage="1" showErrorMessage="1" error="調書シートで追加（又は修正）した後、再度選択してくだい。" sqref="C33:C37" xr:uid="{00000000-0002-0000-0500-00000A000000}">
      <formula1>屋根構造名称</formula1>
    </dataValidation>
    <dataValidation type="list" allowBlank="1" showInputMessage="1" showErrorMessage="1" sqref="C7:D9" xr:uid="{00000000-0002-0000-0500-00000B000000}">
      <formula1>Ｓ名称</formula1>
    </dataValidation>
    <dataValidation type="list" allowBlank="1" showInputMessage="1" showErrorMessage="1" sqref="C15:D15" xr:uid="{00000000-0002-0000-0500-00000C000000}">
      <formula1>ＬＧＳ名称</formula1>
    </dataValidation>
    <dataValidation type="list" allowBlank="1" showInputMessage="1" showErrorMessage="1" sqref="C17:D23" xr:uid="{00000000-0002-0000-0500-00000D000000}">
      <formula1>ＲＣＣＢ名称</formula1>
    </dataValidation>
    <dataValidation type="list" allowBlank="1" showInputMessage="1" showErrorMessage="1" sqref="C27:D27" xr:uid="{00000000-0002-0000-0500-00000E000000}">
      <formula1>根伐土量名称</formula1>
    </dataValidation>
    <dataValidation type="list" allowBlank="1" showInputMessage="1" showErrorMessage="1" error="あ" sqref="D135" xr:uid="{00000000-0002-0000-0500-00000F000000}">
      <formula1>"固定式,開閉式"</formula1>
    </dataValidation>
    <dataValidation type="list" allowBlank="1" showInputMessage="1" showErrorMessage="1" sqref="C11:D13" xr:uid="{00000000-0002-0000-0500-000010000000}">
      <formula1>耐火被覆</formula1>
    </dataValidation>
  </dataValidations>
  <hyperlinks>
    <hyperlink ref="F3" location="①見" display="主体基礎" xr:uid="{E4720F7B-20B5-4178-956A-82AE8335B2DF}"/>
    <hyperlink ref="H3" location="②見" display="各種構造" xr:uid="{DC9A0777-27AB-4EAB-B4AA-2104863A914E}"/>
    <hyperlink ref="J3" location="③見" display="各種骨組" xr:uid="{40D52787-5C7B-4EDE-BB8B-3D639A8EB7AE}"/>
    <hyperlink ref="L3" location="④見" display="外壁仕上" xr:uid="{2CB7B551-4FF5-451C-B7DB-5F300A1C8D45}"/>
    <hyperlink ref="N3" location="⑤見" display="内壁仕上" xr:uid="{E125B363-BA5E-464E-BDA3-73CE3561AF13}"/>
    <hyperlink ref="P3" location="⑥見" display="床 仕 上" xr:uid="{0DDA3070-BCCC-45FB-871D-A8D1023D991C}"/>
    <hyperlink ref="R3" location="⑦見" display="天井仕上" xr:uid="{3C40002B-C07B-483E-80F1-F477481A099C}"/>
    <hyperlink ref="T3" location="⑧見" display="屋根仕上" xr:uid="{0C4887E7-3CC2-4D68-8E2E-66634B1A7D90}"/>
  </hyperlinks>
  <pageMargins left="0.59055118110236227" right="0.19685039370078741" top="0.47244094488188981" bottom="0.39370078740157483" header="0.39370078740157483" footer="0.19685039370078741"/>
  <pageSetup paperSize="9" scale="77" fitToHeight="2" orientation="portrait" r:id="rId2"/>
  <headerFooter alignWithMargins="0">
    <oddHeader>&amp;C&amp;"HG創英角ｺﾞｼｯｸUB,ｳﾙﾄﾗﾎﾞｰﾙﾄﾞ"&amp;11見積拾補助票</oddHeader>
    <oddFooter>&amp;R&amp;"ＭＳ ゴシック,標準"&amp;D　&amp;T</oddFooter>
  </headerFooter>
  <ignoredErrors>
    <ignoredError sqref="V10:V15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10"/>
    <pageSetUpPr fitToPage="1"/>
  </sheetPr>
  <dimension ref="A1:AH258"/>
  <sheetViews>
    <sheetView showGridLines="0" zoomScaleNormal="100" workbookViewId="0">
      <pane ySplit="2" topLeftCell="A3" activePane="bottomLeft" state="frozen"/>
      <selection activeCell="A2" sqref="A2:F2"/>
      <selection pane="bottomLeft" activeCell="AI1" sqref="AI1:AI1048576"/>
    </sheetView>
  </sheetViews>
  <sheetFormatPr defaultRowHeight="13.5" customHeight="1"/>
  <cols>
    <col min="1" max="1" width="12.109375" bestFit="1" customWidth="1"/>
    <col min="2" max="31" width="3.77734375" customWidth="1"/>
    <col min="32" max="32" width="14.44140625" customWidth="1"/>
    <col min="33" max="33" width="5.6640625" style="2198" bestFit="1" customWidth="1"/>
    <col min="34" max="34" width="7.77734375" bestFit="1" customWidth="1"/>
  </cols>
  <sheetData>
    <row r="1" spans="1:34" ht="11">
      <c r="AG1" s="2200"/>
    </row>
    <row r="2" spans="1:34" ht="13">
      <c r="A2" s="191" t="s">
        <v>425</v>
      </c>
      <c r="AG2" s="2201" t="s">
        <v>5811</v>
      </c>
      <c r="AH2" t="b">
        <v>1</v>
      </c>
    </row>
    <row r="3" spans="1:34" ht="13.5" customHeight="1">
      <c r="A3" s="191"/>
      <c r="AG3" s="2200"/>
      <c r="AH3" t="b">
        <v>1</v>
      </c>
    </row>
    <row r="4" spans="1:34" ht="13.5" customHeight="1" thickBot="1">
      <c r="A4" s="191"/>
      <c r="AG4" s="2200"/>
      <c r="AH4" t="b">
        <f>AH5</f>
        <v>0</v>
      </c>
    </row>
    <row r="5" spans="1:34" ht="13.5" customHeight="1">
      <c r="A5" s="3071" t="s">
        <v>1024</v>
      </c>
      <c r="B5" s="1594" t="s">
        <v>426</v>
      </c>
      <c r="C5" s="1593"/>
      <c r="D5" s="1593"/>
      <c r="E5" s="1593"/>
      <c r="F5" s="1593"/>
      <c r="G5" s="1593"/>
      <c r="H5" s="1593"/>
      <c r="I5" s="1593"/>
      <c r="J5" s="1593"/>
      <c r="K5" s="1593"/>
      <c r="L5" s="1593"/>
      <c r="M5" s="1593"/>
      <c r="N5" s="1593"/>
      <c r="O5" s="1593"/>
      <c r="P5" s="1593"/>
      <c r="Q5" s="1593"/>
      <c r="R5" s="1593"/>
      <c r="S5" s="1593"/>
      <c r="T5" s="1593"/>
      <c r="U5" s="1593"/>
      <c r="V5" s="1593"/>
      <c r="W5" s="1593"/>
      <c r="X5" s="1593"/>
      <c r="Y5" s="1593"/>
      <c r="Z5" s="1593"/>
      <c r="AA5" s="1593"/>
      <c r="AB5" s="1593"/>
      <c r="AC5" s="1593"/>
      <c r="AD5" s="1593"/>
      <c r="AE5" s="1593"/>
      <c r="AF5" s="1726" t="s">
        <v>427</v>
      </c>
      <c r="AG5" s="2200"/>
      <c r="AH5" t="b">
        <f>AF6&lt;&gt;0</f>
        <v>0</v>
      </c>
    </row>
    <row r="6" spans="1:34" ht="13.5" customHeight="1">
      <c r="A6" s="3072"/>
      <c r="B6" s="2215"/>
      <c r="C6" s="3070"/>
      <c r="D6" s="175" t="s">
        <v>428</v>
      </c>
      <c r="E6" s="3070"/>
      <c r="F6" s="2216"/>
      <c r="G6" s="175" t="s">
        <v>428</v>
      </c>
      <c r="H6" s="3070"/>
      <c r="I6" s="2216"/>
      <c r="J6" s="175" t="s">
        <v>428</v>
      </c>
      <c r="K6" s="3070"/>
      <c r="L6" s="2216"/>
      <c r="M6" s="175" t="s">
        <v>428</v>
      </c>
      <c r="N6" s="3070"/>
      <c r="O6" s="2216"/>
      <c r="P6" s="175" t="s">
        <v>428</v>
      </c>
      <c r="Q6" s="3070"/>
      <c r="R6" s="2216"/>
      <c r="S6" s="175" t="s">
        <v>428</v>
      </c>
      <c r="T6" s="3070"/>
      <c r="U6" s="2216"/>
      <c r="V6" s="175" t="s">
        <v>428</v>
      </c>
      <c r="W6" s="3070"/>
      <c r="X6" s="2216"/>
      <c r="Y6" s="175" t="s">
        <v>428</v>
      </c>
      <c r="Z6" s="3070"/>
      <c r="AA6" s="2216"/>
      <c r="AB6" s="175" t="s">
        <v>428</v>
      </c>
      <c r="AC6" s="3070"/>
      <c r="AD6" s="2216"/>
      <c r="AE6" s="3079" t="s">
        <v>429</v>
      </c>
      <c r="AF6" s="3077">
        <f>SUM(B6:AE10)</f>
        <v>0</v>
      </c>
      <c r="AG6" s="2200"/>
      <c r="AH6" t="b">
        <f>SUM(B6:AD6)&lt;&gt;0</f>
        <v>0</v>
      </c>
    </row>
    <row r="7" spans="1:34" ht="13.5" customHeight="1">
      <c r="A7" s="3072"/>
      <c r="B7" s="2232"/>
      <c r="C7" s="2233"/>
      <c r="D7" s="169" t="s">
        <v>428</v>
      </c>
      <c r="E7" s="3069"/>
      <c r="F7" s="2233"/>
      <c r="G7" s="169" t="s">
        <v>428</v>
      </c>
      <c r="H7" s="3069"/>
      <c r="I7" s="2233"/>
      <c r="J7" s="169" t="s">
        <v>428</v>
      </c>
      <c r="K7" s="3069"/>
      <c r="L7" s="2233"/>
      <c r="M7" s="169" t="s">
        <v>428</v>
      </c>
      <c r="N7" s="3069"/>
      <c r="O7" s="2233"/>
      <c r="P7" s="169" t="s">
        <v>428</v>
      </c>
      <c r="Q7" s="3069"/>
      <c r="R7" s="2233"/>
      <c r="S7" s="169" t="s">
        <v>428</v>
      </c>
      <c r="T7" s="3069"/>
      <c r="U7" s="2233"/>
      <c r="V7" s="169" t="s">
        <v>428</v>
      </c>
      <c r="W7" s="3069"/>
      <c r="X7" s="2233"/>
      <c r="Y7" s="169" t="s">
        <v>428</v>
      </c>
      <c r="Z7" s="3069"/>
      <c r="AA7" s="2233"/>
      <c r="AB7" s="169" t="s">
        <v>428</v>
      </c>
      <c r="AC7" s="3069"/>
      <c r="AD7" s="2233"/>
      <c r="AE7" s="3079"/>
      <c r="AF7" s="3077"/>
      <c r="AG7" s="2200"/>
      <c r="AH7" t="b">
        <f>SUM(B7:AD7)&lt;&gt;0</f>
        <v>0</v>
      </c>
    </row>
    <row r="8" spans="1:34" ht="13.5" customHeight="1">
      <c r="A8" s="3072"/>
      <c r="B8" s="2232"/>
      <c r="C8" s="2233"/>
      <c r="D8" s="169" t="s">
        <v>428</v>
      </c>
      <c r="E8" s="3069"/>
      <c r="F8" s="2233"/>
      <c r="G8" s="169" t="s">
        <v>428</v>
      </c>
      <c r="H8" s="3069"/>
      <c r="I8" s="2233"/>
      <c r="J8" s="169" t="s">
        <v>428</v>
      </c>
      <c r="K8" s="3069"/>
      <c r="L8" s="2233"/>
      <c r="M8" s="169" t="s">
        <v>428</v>
      </c>
      <c r="N8" s="3069"/>
      <c r="O8" s="2233"/>
      <c r="P8" s="169" t="s">
        <v>428</v>
      </c>
      <c r="Q8" s="3069"/>
      <c r="R8" s="2233"/>
      <c r="S8" s="169" t="s">
        <v>428</v>
      </c>
      <c r="T8" s="3069"/>
      <c r="U8" s="2233"/>
      <c r="V8" s="169" t="s">
        <v>428</v>
      </c>
      <c r="W8" s="3069"/>
      <c r="X8" s="2233"/>
      <c r="Y8" s="169" t="s">
        <v>428</v>
      </c>
      <c r="Z8" s="3069"/>
      <c r="AA8" s="2233"/>
      <c r="AB8" s="169" t="s">
        <v>428</v>
      </c>
      <c r="AC8" s="3069"/>
      <c r="AD8" s="2233"/>
      <c r="AE8" s="3079"/>
      <c r="AF8" s="3077"/>
      <c r="AG8" s="2200"/>
      <c r="AH8" t="b">
        <f>SUM(B8:AD8)&lt;&gt;0</f>
        <v>0</v>
      </c>
    </row>
    <row r="9" spans="1:34" ht="13.5" customHeight="1">
      <c r="A9" s="3072"/>
      <c r="B9" s="2232"/>
      <c r="C9" s="2233"/>
      <c r="D9" s="169" t="s">
        <v>428</v>
      </c>
      <c r="E9" s="3069"/>
      <c r="F9" s="2233"/>
      <c r="G9" s="169" t="s">
        <v>428</v>
      </c>
      <c r="H9" s="3069"/>
      <c r="I9" s="2233"/>
      <c r="J9" s="169" t="s">
        <v>428</v>
      </c>
      <c r="K9" s="3069"/>
      <c r="L9" s="2233"/>
      <c r="M9" s="169" t="s">
        <v>428</v>
      </c>
      <c r="N9" s="3069"/>
      <c r="O9" s="2233"/>
      <c r="P9" s="169" t="s">
        <v>428</v>
      </c>
      <c r="Q9" s="3069"/>
      <c r="R9" s="2233"/>
      <c r="S9" s="169" t="s">
        <v>428</v>
      </c>
      <c r="T9" s="3069"/>
      <c r="U9" s="2233"/>
      <c r="V9" s="169" t="s">
        <v>428</v>
      </c>
      <c r="W9" s="3069"/>
      <c r="X9" s="2233"/>
      <c r="Y9" s="169" t="s">
        <v>428</v>
      </c>
      <c r="Z9" s="3069"/>
      <c r="AA9" s="2233"/>
      <c r="AB9" s="169" t="s">
        <v>428</v>
      </c>
      <c r="AC9" s="3069"/>
      <c r="AD9" s="2233"/>
      <c r="AE9" s="3079"/>
      <c r="AF9" s="3077"/>
      <c r="AG9" s="2200"/>
      <c r="AH9" t="b">
        <f>SUM(B9:AD9)&lt;&gt;0</f>
        <v>0</v>
      </c>
    </row>
    <row r="10" spans="1:34" ht="13.5" customHeight="1" thickBot="1">
      <c r="A10" s="3073"/>
      <c r="B10" s="2373"/>
      <c r="C10" s="2374"/>
      <c r="D10" s="502" t="s">
        <v>428</v>
      </c>
      <c r="E10" s="2551"/>
      <c r="F10" s="2374"/>
      <c r="G10" s="502" t="s">
        <v>428</v>
      </c>
      <c r="H10" s="2551"/>
      <c r="I10" s="2374"/>
      <c r="J10" s="502" t="s">
        <v>428</v>
      </c>
      <c r="K10" s="2551"/>
      <c r="L10" s="2374"/>
      <c r="M10" s="502" t="s">
        <v>428</v>
      </c>
      <c r="N10" s="2551"/>
      <c r="O10" s="2374"/>
      <c r="P10" s="502" t="s">
        <v>428</v>
      </c>
      <c r="Q10" s="2551"/>
      <c r="R10" s="2374"/>
      <c r="S10" s="502" t="s">
        <v>428</v>
      </c>
      <c r="T10" s="2551"/>
      <c r="U10" s="2374"/>
      <c r="V10" s="502" t="s">
        <v>428</v>
      </c>
      <c r="W10" s="2551"/>
      <c r="X10" s="2374"/>
      <c r="Y10" s="502" t="s">
        <v>428</v>
      </c>
      <c r="Z10" s="2551"/>
      <c r="AA10" s="2374"/>
      <c r="AB10" s="502" t="s">
        <v>428</v>
      </c>
      <c r="AC10" s="2551"/>
      <c r="AD10" s="2374"/>
      <c r="AE10" s="3080"/>
      <c r="AF10" s="3078"/>
      <c r="AG10" s="2200"/>
      <c r="AH10" t="b">
        <f>AF6&lt;&gt;0</f>
        <v>0</v>
      </c>
    </row>
    <row r="11" spans="1:34" ht="13.5" customHeight="1" thickBo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200"/>
      <c r="AH11" t="b">
        <f>AH14</f>
        <v>0</v>
      </c>
    </row>
    <row r="12" spans="1:34" ht="13.5" customHeight="1">
      <c r="A12" s="3081" t="s">
        <v>1029</v>
      </c>
      <c r="B12" s="1549" t="s">
        <v>426</v>
      </c>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726" t="s">
        <v>427</v>
      </c>
      <c r="AG12" s="2200"/>
      <c r="AH12" t="b">
        <f>AF13&lt;&gt;0</f>
        <v>0</v>
      </c>
    </row>
    <row r="13" spans="1:34" ht="13.5" customHeight="1">
      <c r="A13" s="3082"/>
      <c r="B13" s="2215"/>
      <c r="C13" s="2216"/>
      <c r="D13" s="175" t="s">
        <v>428</v>
      </c>
      <c r="E13" s="3070"/>
      <c r="F13" s="2216"/>
      <c r="G13" s="175" t="s">
        <v>428</v>
      </c>
      <c r="H13" s="3070"/>
      <c r="I13" s="2216"/>
      <c r="J13" s="175" t="s">
        <v>428</v>
      </c>
      <c r="K13" s="3070"/>
      <c r="L13" s="2216"/>
      <c r="M13" s="175" t="s">
        <v>428</v>
      </c>
      <c r="N13" s="3070"/>
      <c r="O13" s="2216"/>
      <c r="P13" s="175" t="s">
        <v>428</v>
      </c>
      <c r="Q13" s="3070"/>
      <c r="R13" s="2216"/>
      <c r="S13" s="175" t="s">
        <v>428</v>
      </c>
      <c r="T13" s="3070"/>
      <c r="U13" s="2216"/>
      <c r="V13" s="175" t="s">
        <v>428</v>
      </c>
      <c r="W13" s="3070"/>
      <c r="X13" s="2216"/>
      <c r="Y13" s="175" t="s">
        <v>428</v>
      </c>
      <c r="Z13" s="3070"/>
      <c r="AA13" s="2216"/>
      <c r="AB13" s="175" t="s">
        <v>428</v>
      </c>
      <c r="AC13" s="3070"/>
      <c r="AD13" s="2216"/>
      <c r="AE13" s="3079" t="s">
        <v>429</v>
      </c>
      <c r="AF13" s="3077">
        <f>SUM(B13:AE14)</f>
        <v>0</v>
      </c>
      <c r="AG13" s="2200"/>
      <c r="AH13" t="b">
        <f>SUM(B13:AD13)&lt;&gt;0</f>
        <v>0</v>
      </c>
    </row>
    <row r="14" spans="1:34" ht="13.5" customHeight="1" thickBot="1">
      <c r="A14" s="3082"/>
      <c r="B14" s="2373"/>
      <c r="C14" s="2374"/>
      <c r="D14" s="502" t="s">
        <v>428</v>
      </c>
      <c r="E14" s="2551"/>
      <c r="F14" s="2374"/>
      <c r="G14" s="502" t="s">
        <v>428</v>
      </c>
      <c r="H14" s="2551"/>
      <c r="I14" s="2374"/>
      <c r="J14" s="502" t="s">
        <v>428</v>
      </c>
      <c r="K14" s="2551"/>
      <c r="L14" s="2374"/>
      <c r="M14" s="502" t="s">
        <v>428</v>
      </c>
      <c r="N14" s="2551"/>
      <c r="O14" s="2374"/>
      <c r="P14" s="502" t="s">
        <v>428</v>
      </c>
      <c r="Q14" s="2551"/>
      <c r="R14" s="2374"/>
      <c r="S14" s="502" t="s">
        <v>428</v>
      </c>
      <c r="T14" s="2551"/>
      <c r="U14" s="2374"/>
      <c r="V14" s="502" t="s">
        <v>428</v>
      </c>
      <c r="W14" s="2551"/>
      <c r="X14" s="2374"/>
      <c r="Y14" s="502" t="s">
        <v>428</v>
      </c>
      <c r="Z14" s="2551"/>
      <c r="AA14" s="2374"/>
      <c r="AB14" s="502" t="s">
        <v>428</v>
      </c>
      <c r="AC14" s="2551"/>
      <c r="AD14" s="2374"/>
      <c r="AE14" s="3083"/>
      <c r="AF14" s="3078"/>
      <c r="AG14" s="2200"/>
      <c r="AH14" t="b">
        <f>AF13&lt;&gt;0</f>
        <v>0</v>
      </c>
    </row>
    <row r="15" spans="1:34" ht="13.5" customHeight="1" thickBo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200"/>
      <c r="AH15" t="b">
        <f>AH17</f>
        <v>0</v>
      </c>
    </row>
    <row r="16" spans="1:34" ht="13.5" customHeight="1">
      <c r="A16" s="3053" t="s">
        <v>914</v>
      </c>
      <c r="B16" s="1549" t="s">
        <v>915</v>
      </c>
      <c r="C16" s="1547"/>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726" t="s">
        <v>916</v>
      </c>
      <c r="AG16" s="2200"/>
      <c r="AH16" t="b">
        <f>AH17</f>
        <v>0</v>
      </c>
    </row>
    <row r="17" spans="1:34" ht="13.5" customHeight="1" thickBot="1">
      <c r="A17" s="3055"/>
      <c r="B17" s="3076"/>
      <c r="C17" s="3075"/>
      <c r="D17" s="192" t="s">
        <v>917</v>
      </c>
      <c r="E17" s="3074"/>
      <c r="F17" s="3075"/>
      <c r="G17" s="192" t="s">
        <v>917</v>
      </c>
      <c r="H17" s="3074"/>
      <c r="I17" s="3075"/>
      <c r="J17" s="192" t="s">
        <v>917</v>
      </c>
      <c r="K17" s="3074"/>
      <c r="L17" s="3075"/>
      <c r="M17" s="192" t="s">
        <v>917</v>
      </c>
      <c r="N17" s="3074"/>
      <c r="O17" s="3075"/>
      <c r="P17" s="192" t="s">
        <v>917</v>
      </c>
      <c r="Q17" s="3074"/>
      <c r="R17" s="3075"/>
      <c r="S17" s="192" t="s">
        <v>917</v>
      </c>
      <c r="T17" s="3074"/>
      <c r="U17" s="3075"/>
      <c r="V17" s="192" t="s">
        <v>917</v>
      </c>
      <c r="W17" s="3074"/>
      <c r="X17" s="3075"/>
      <c r="Y17" s="192" t="s">
        <v>917</v>
      </c>
      <c r="Z17" s="3074"/>
      <c r="AA17" s="3075"/>
      <c r="AB17" s="192" t="s">
        <v>917</v>
      </c>
      <c r="AC17" s="3074"/>
      <c r="AD17" s="3075"/>
      <c r="AE17" s="193" t="s">
        <v>918</v>
      </c>
      <c r="AF17" s="194">
        <f>SUM(B17:AE17)</f>
        <v>0</v>
      </c>
      <c r="AG17" s="2200"/>
      <c r="AH17" t="b">
        <f>AF17&lt;&gt;0</f>
        <v>0</v>
      </c>
    </row>
    <row r="18" spans="1:34" ht="13.5" customHeight="1">
      <c r="AG18" s="2200"/>
      <c r="AH18" t="b">
        <f>AH41</f>
        <v>0</v>
      </c>
    </row>
    <row r="19" spans="1:34" ht="13.5" customHeight="1">
      <c r="A19" s="3067" t="s">
        <v>919</v>
      </c>
      <c r="B19" s="3056" t="s">
        <v>920</v>
      </c>
      <c r="C19" s="3057"/>
      <c r="D19" s="3057"/>
      <c r="E19" s="3057"/>
      <c r="F19" s="3057"/>
      <c r="G19" s="3058"/>
      <c r="H19" s="3056" t="s">
        <v>920</v>
      </c>
      <c r="I19" s="3057"/>
      <c r="J19" s="3057"/>
      <c r="K19" s="3057"/>
      <c r="L19" s="3057"/>
      <c r="M19" s="3058"/>
      <c r="N19" s="3056" t="s">
        <v>920</v>
      </c>
      <c r="O19" s="3057"/>
      <c r="P19" s="3057"/>
      <c r="Q19" s="3057"/>
      <c r="R19" s="3057"/>
      <c r="S19" s="3058"/>
      <c r="T19" s="3056" t="s">
        <v>920</v>
      </c>
      <c r="U19" s="3057"/>
      <c r="V19" s="3057"/>
      <c r="W19" s="3057"/>
      <c r="X19" s="3057"/>
      <c r="Y19" s="3058"/>
      <c r="Z19" s="3056" t="s">
        <v>920</v>
      </c>
      <c r="AA19" s="3057"/>
      <c r="AB19" s="3057"/>
      <c r="AC19" s="3057"/>
      <c r="AD19" s="3057"/>
      <c r="AE19" s="3058"/>
      <c r="AG19" s="2200"/>
      <c r="AH19" t="b">
        <f>AH41</f>
        <v>0</v>
      </c>
    </row>
    <row r="20" spans="1:34" ht="13.5" customHeight="1">
      <c r="A20" s="3054"/>
      <c r="B20" s="1728" t="s">
        <v>921</v>
      </c>
      <c r="C20" s="1728"/>
      <c r="D20" s="1729" t="s">
        <v>922</v>
      </c>
      <c r="E20" s="1730"/>
      <c r="F20" s="1731" t="s">
        <v>923</v>
      </c>
      <c r="G20" s="1728"/>
      <c r="H20" s="1731" t="s">
        <v>921</v>
      </c>
      <c r="I20" s="1728"/>
      <c r="J20" s="1729" t="s">
        <v>922</v>
      </c>
      <c r="K20" s="1730"/>
      <c r="L20" s="1731" t="s">
        <v>923</v>
      </c>
      <c r="M20" s="1728"/>
      <c r="N20" s="1731" t="s">
        <v>921</v>
      </c>
      <c r="O20" s="1728"/>
      <c r="P20" s="1729" t="s">
        <v>922</v>
      </c>
      <c r="Q20" s="1730"/>
      <c r="R20" s="1731" t="s">
        <v>923</v>
      </c>
      <c r="S20" s="1728"/>
      <c r="T20" s="1731" t="s">
        <v>921</v>
      </c>
      <c r="U20" s="1728"/>
      <c r="V20" s="1729" t="s">
        <v>922</v>
      </c>
      <c r="W20" s="1730"/>
      <c r="X20" s="1731" t="s">
        <v>923</v>
      </c>
      <c r="Y20" s="1728"/>
      <c r="Z20" s="1731" t="s">
        <v>921</v>
      </c>
      <c r="AA20" s="1728"/>
      <c r="AB20" s="1729" t="s">
        <v>922</v>
      </c>
      <c r="AC20" s="1730"/>
      <c r="AD20" s="1731" t="s">
        <v>923</v>
      </c>
      <c r="AE20" s="1730"/>
      <c r="AF20" s="195"/>
      <c r="AG20" s="2200"/>
      <c r="AH20" t="b">
        <f>AH41</f>
        <v>0</v>
      </c>
    </row>
    <row r="21" spans="1:34" ht="13.5" customHeight="1">
      <c r="A21" s="3054"/>
      <c r="B21" s="3059"/>
      <c r="C21" s="3060"/>
      <c r="D21" s="3061"/>
      <c r="E21" s="3062"/>
      <c r="F21" s="2243">
        <f t="shared" ref="F21:F36" si="0">ROUNDDOWN(B21*D21,2)</f>
        <v>0</v>
      </c>
      <c r="G21" s="2245"/>
      <c r="H21" s="3065"/>
      <c r="I21" s="3066"/>
      <c r="J21" s="3061"/>
      <c r="K21" s="3062"/>
      <c r="L21" s="2243">
        <f t="shared" ref="L21:L36" si="1">ROUNDDOWN(H21*J21,2)</f>
        <v>0</v>
      </c>
      <c r="M21" s="2245"/>
      <c r="N21" s="3065"/>
      <c r="O21" s="3066"/>
      <c r="P21" s="3061"/>
      <c r="Q21" s="3062"/>
      <c r="R21" s="2243">
        <f t="shared" ref="R21:R36" si="2">ROUNDDOWN(N21*P21,2)</f>
        <v>0</v>
      </c>
      <c r="S21" s="2245"/>
      <c r="T21" s="3065"/>
      <c r="U21" s="3060"/>
      <c r="V21" s="3061"/>
      <c r="W21" s="3062"/>
      <c r="X21" s="2243">
        <f t="shared" ref="X21:X36" si="3">ROUNDDOWN(T21*V21,2)</f>
        <v>0</v>
      </c>
      <c r="Y21" s="2245"/>
      <c r="Z21" s="3065"/>
      <c r="AA21" s="3060"/>
      <c r="AB21" s="3059"/>
      <c r="AC21" s="3062"/>
      <c r="AD21" s="3063">
        <f t="shared" ref="AD21:AD36" si="4">ROUNDDOWN(Z21*AB21,2)</f>
        <v>0</v>
      </c>
      <c r="AE21" s="3064"/>
      <c r="AF21" s="2"/>
      <c r="AG21" s="2200"/>
      <c r="AH21" t="b">
        <f t="shared" ref="AH21:AH36" si="5">SUM(B21:AE21)&lt;&gt;0</f>
        <v>0</v>
      </c>
    </row>
    <row r="22" spans="1:34" ht="13.5" customHeight="1">
      <c r="A22" s="3054"/>
      <c r="B22" s="3043"/>
      <c r="C22" s="3044"/>
      <c r="D22" s="3045"/>
      <c r="E22" s="3046"/>
      <c r="F22" s="2203">
        <f t="shared" si="0"/>
        <v>0</v>
      </c>
      <c r="G22" s="2205"/>
      <c r="H22" s="3047"/>
      <c r="I22" s="3048"/>
      <c r="J22" s="3045"/>
      <c r="K22" s="3046"/>
      <c r="L22" s="2203">
        <f t="shared" si="1"/>
        <v>0</v>
      </c>
      <c r="M22" s="2205"/>
      <c r="N22" s="3047"/>
      <c r="O22" s="3048"/>
      <c r="P22" s="3045"/>
      <c r="Q22" s="3046"/>
      <c r="R22" s="2203">
        <f t="shared" si="2"/>
        <v>0</v>
      </c>
      <c r="S22" s="2205"/>
      <c r="T22" s="3047"/>
      <c r="U22" s="3044"/>
      <c r="V22" s="3045"/>
      <c r="W22" s="3046"/>
      <c r="X22" s="2203">
        <f t="shared" si="3"/>
        <v>0</v>
      </c>
      <c r="Y22" s="2205"/>
      <c r="Z22" s="3047"/>
      <c r="AA22" s="3044"/>
      <c r="AB22" s="3043"/>
      <c r="AC22" s="3046"/>
      <c r="AD22" s="2203">
        <f t="shared" si="4"/>
        <v>0</v>
      </c>
      <c r="AE22" s="2205"/>
      <c r="AF22" s="2"/>
      <c r="AG22" s="2200"/>
      <c r="AH22" t="b">
        <f t="shared" si="5"/>
        <v>0</v>
      </c>
    </row>
    <row r="23" spans="1:34" ht="13.5" customHeight="1">
      <c r="A23" s="3054"/>
      <c r="B23" s="3043"/>
      <c r="C23" s="3044"/>
      <c r="D23" s="3045"/>
      <c r="E23" s="3046"/>
      <c r="F23" s="2203">
        <f t="shared" si="0"/>
        <v>0</v>
      </c>
      <c r="G23" s="2205"/>
      <c r="H23" s="3047"/>
      <c r="I23" s="3048"/>
      <c r="J23" s="3045"/>
      <c r="K23" s="3046"/>
      <c r="L23" s="2203">
        <f t="shared" si="1"/>
        <v>0</v>
      </c>
      <c r="M23" s="2205"/>
      <c r="N23" s="3047"/>
      <c r="O23" s="3048"/>
      <c r="P23" s="3045"/>
      <c r="Q23" s="3046"/>
      <c r="R23" s="2203">
        <f t="shared" si="2"/>
        <v>0</v>
      </c>
      <c r="S23" s="2205"/>
      <c r="T23" s="3047"/>
      <c r="U23" s="3044"/>
      <c r="V23" s="3045"/>
      <c r="W23" s="3046"/>
      <c r="X23" s="2203">
        <f t="shared" si="3"/>
        <v>0</v>
      </c>
      <c r="Y23" s="2205"/>
      <c r="Z23" s="3047"/>
      <c r="AA23" s="3044"/>
      <c r="AB23" s="3043"/>
      <c r="AC23" s="3046"/>
      <c r="AD23" s="2203">
        <f t="shared" si="4"/>
        <v>0</v>
      </c>
      <c r="AE23" s="2205"/>
      <c r="AF23" s="2"/>
      <c r="AG23" s="2200"/>
      <c r="AH23" t="b">
        <f t="shared" si="5"/>
        <v>0</v>
      </c>
    </row>
    <row r="24" spans="1:34" ht="13.5" customHeight="1">
      <c r="A24" s="3054"/>
      <c r="B24" s="3043"/>
      <c r="C24" s="3044"/>
      <c r="D24" s="3045"/>
      <c r="E24" s="3046"/>
      <c r="F24" s="2203">
        <f t="shared" si="0"/>
        <v>0</v>
      </c>
      <c r="G24" s="2205"/>
      <c r="H24" s="3047"/>
      <c r="I24" s="3048"/>
      <c r="J24" s="3045"/>
      <c r="K24" s="3046"/>
      <c r="L24" s="2203">
        <f t="shared" si="1"/>
        <v>0</v>
      </c>
      <c r="M24" s="2205"/>
      <c r="N24" s="3047"/>
      <c r="O24" s="3048"/>
      <c r="P24" s="3045"/>
      <c r="Q24" s="3046"/>
      <c r="R24" s="2203">
        <f t="shared" si="2"/>
        <v>0</v>
      </c>
      <c r="S24" s="2205"/>
      <c r="T24" s="3047"/>
      <c r="U24" s="3044"/>
      <c r="V24" s="3045"/>
      <c r="W24" s="3046"/>
      <c r="X24" s="2203">
        <f t="shared" si="3"/>
        <v>0</v>
      </c>
      <c r="Y24" s="2205"/>
      <c r="Z24" s="3047"/>
      <c r="AA24" s="3044"/>
      <c r="AB24" s="3043"/>
      <c r="AC24" s="3046"/>
      <c r="AD24" s="2203">
        <f t="shared" si="4"/>
        <v>0</v>
      </c>
      <c r="AE24" s="2205"/>
      <c r="AF24" s="2"/>
      <c r="AG24" s="2200"/>
      <c r="AH24" t="b">
        <f t="shared" si="5"/>
        <v>0</v>
      </c>
    </row>
    <row r="25" spans="1:34" ht="13.5" customHeight="1">
      <c r="A25" s="3054"/>
      <c r="B25" s="3043"/>
      <c r="C25" s="3044"/>
      <c r="D25" s="3045"/>
      <c r="E25" s="3046"/>
      <c r="F25" s="2203">
        <f t="shared" si="0"/>
        <v>0</v>
      </c>
      <c r="G25" s="2205"/>
      <c r="H25" s="3047"/>
      <c r="I25" s="3048"/>
      <c r="J25" s="3045"/>
      <c r="K25" s="3046"/>
      <c r="L25" s="2203">
        <f t="shared" si="1"/>
        <v>0</v>
      </c>
      <c r="M25" s="2205"/>
      <c r="N25" s="3047"/>
      <c r="O25" s="3048"/>
      <c r="P25" s="3045"/>
      <c r="Q25" s="3046"/>
      <c r="R25" s="2203">
        <f t="shared" si="2"/>
        <v>0</v>
      </c>
      <c r="S25" s="2205"/>
      <c r="T25" s="3047"/>
      <c r="U25" s="3044"/>
      <c r="V25" s="3045"/>
      <c r="W25" s="3046"/>
      <c r="X25" s="2203">
        <f t="shared" si="3"/>
        <v>0</v>
      </c>
      <c r="Y25" s="2205"/>
      <c r="Z25" s="3047"/>
      <c r="AA25" s="3044"/>
      <c r="AB25" s="3043"/>
      <c r="AC25" s="3046"/>
      <c r="AD25" s="2203">
        <f t="shared" si="4"/>
        <v>0</v>
      </c>
      <c r="AE25" s="2205"/>
      <c r="AF25" s="2"/>
      <c r="AG25" s="2200"/>
      <c r="AH25" t="b">
        <f t="shared" si="5"/>
        <v>0</v>
      </c>
    </row>
    <row r="26" spans="1:34" ht="13.5" customHeight="1">
      <c r="A26" s="3054"/>
      <c r="B26" s="3043"/>
      <c r="C26" s="3044"/>
      <c r="D26" s="3045"/>
      <c r="E26" s="3046"/>
      <c r="F26" s="2203">
        <f t="shared" si="0"/>
        <v>0</v>
      </c>
      <c r="G26" s="2205"/>
      <c r="H26" s="3047"/>
      <c r="I26" s="3048"/>
      <c r="J26" s="3045"/>
      <c r="K26" s="3046"/>
      <c r="L26" s="2203">
        <f t="shared" si="1"/>
        <v>0</v>
      </c>
      <c r="M26" s="2205"/>
      <c r="N26" s="3047"/>
      <c r="O26" s="3048"/>
      <c r="P26" s="3045"/>
      <c r="Q26" s="3046"/>
      <c r="R26" s="2203">
        <f t="shared" si="2"/>
        <v>0</v>
      </c>
      <c r="S26" s="2205"/>
      <c r="T26" s="3047"/>
      <c r="U26" s="3044"/>
      <c r="V26" s="3045"/>
      <c r="W26" s="3046"/>
      <c r="X26" s="2203">
        <f t="shared" si="3"/>
        <v>0</v>
      </c>
      <c r="Y26" s="2205"/>
      <c r="Z26" s="3047"/>
      <c r="AA26" s="3044"/>
      <c r="AB26" s="3043"/>
      <c r="AC26" s="3046"/>
      <c r="AD26" s="2203">
        <f t="shared" si="4"/>
        <v>0</v>
      </c>
      <c r="AE26" s="2205"/>
      <c r="AF26" s="2"/>
      <c r="AG26" s="2200"/>
      <c r="AH26" t="b">
        <f t="shared" si="5"/>
        <v>0</v>
      </c>
    </row>
    <row r="27" spans="1:34" ht="13.5" customHeight="1">
      <c r="A27" s="3054"/>
      <c r="B27" s="3043"/>
      <c r="C27" s="3044"/>
      <c r="D27" s="3045"/>
      <c r="E27" s="3046"/>
      <c r="F27" s="2203">
        <f t="shared" si="0"/>
        <v>0</v>
      </c>
      <c r="G27" s="2205"/>
      <c r="H27" s="3047"/>
      <c r="I27" s="3048"/>
      <c r="J27" s="3045"/>
      <c r="K27" s="3046"/>
      <c r="L27" s="2203">
        <f t="shared" si="1"/>
        <v>0</v>
      </c>
      <c r="M27" s="2205"/>
      <c r="N27" s="3047"/>
      <c r="O27" s="3048"/>
      <c r="P27" s="3045"/>
      <c r="Q27" s="3046"/>
      <c r="R27" s="2203">
        <f t="shared" si="2"/>
        <v>0</v>
      </c>
      <c r="S27" s="2205"/>
      <c r="T27" s="3047"/>
      <c r="U27" s="3044"/>
      <c r="V27" s="3045"/>
      <c r="W27" s="3046"/>
      <c r="X27" s="2203">
        <f t="shared" si="3"/>
        <v>0</v>
      </c>
      <c r="Y27" s="2205"/>
      <c r="Z27" s="3047"/>
      <c r="AA27" s="3044"/>
      <c r="AB27" s="3043"/>
      <c r="AC27" s="3046"/>
      <c r="AD27" s="2203">
        <f t="shared" si="4"/>
        <v>0</v>
      </c>
      <c r="AE27" s="2205"/>
      <c r="AF27" s="2"/>
      <c r="AG27" s="2200"/>
      <c r="AH27" t="b">
        <f t="shared" si="5"/>
        <v>0</v>
      </c>
    </row>
    <row r="28" spans="1:34" ht="13.5" customHeight="1">
      <c r="A28" s="3054"/>
      <c r="B28" s="3043"/>
      <c r="C28" s="3044"/>
      <c r="D28" s="3045"/>
      <c r="E28" s="3046"/>
      <c r="F28" s="2203">
        <f t="shared" si="0"/>
        <v>0</v>
      </c>
      <c r="G28" s="2205"/>
      <c r="H28" s="3047"/>
      <c r="I28" s="3048"/>
      <c r="J28" s="3045"/>
      <c r="K28" s="3046"/>
      <c r="L28" s="2203">
        <f t="shared" si="1"/>
        <v>0</v>
      </c>
      <c r="M28" s="2205"/>
      <c r="N28" s="3047"/>
      <c r="O28" s="3048"/>
      <c r="P28" s="3045"/>
      <c r="Q28" s="3046"/>
      <c r="R28" s="2203">
        <f t="shared" si="2"/>
        <v>0</v>
      </c>
      <c r="S28" s="2205"/>
      <c r="T28" s="3047"/>
      <c r="U28" s="3044"/>
      <c r="V28" s="3045"/>
      <c r="W28" s="3046"/>
      <c r="X28" s="2203">
        <f t="shared" si="3"/>
        <v>0</v>
      </c>
      <c r="Y28" s="2205"/>
      <c r="Z28" s="3047"/>
      <c r="AA28" s="3044"/>
      <c r="AB28" s="3043"/>
      <c r="AC28" s="3046"/>
      <c r="AD28" s="2203">
        <f t="shared" si="4"/>
        <v>0</v>
      </c>
      <c r="AE28" s="2205"/>
      <c r="AF28" s="2"/>
      <c r="AG28" s="2200"/>
      <c r="AH28" t="b">
        <f t="shared" si="5"/>
        <v>0</v>
      </c>
    </row>
    <row r="29" spans="1:34" ht="13.5" customHeight="1">
      <c r="A29" s="3054"/>
      <c r="B29" s="3043"/>
      <c r="C29" s="3044"/>
      <c r="D29" s="3045"/>
      <c r="E29" s="3046"/>
      <c r="F29" s="2203">
        <f t="shared" si="0"/>
        <v>0</v>
      </c>
      <c r="G29" s="2205"/>
      <c r="H29" s="3047"/>
      <c r="I29" s="3048"/>
      <c r="J29" s="3045"/>
      <c r="K29" s="3046"/>
      <c r="L29" s="2203">
        <f t="shared" si="1"/>
        <v>0</v>
      </c>
      <c r="M29" s="2205"/>
      <c r="N29" s="3047"/>
      <c r="O29" s="3048"/>
      <c r="P29" s="3045"/>
      <c r="Q29" s="3046"/>
      <c r="R29" s="2203">
        <f t="shared" si="2"/>
        <v>0</v>
      </c>
      <c r="S29" s="2205"/>
      <c r="T29" s="3047"/>
      <c r="U29" s="3044"/>
      <c r="V29" s="3045"/>
      <c r="W29" s="3046"/>
      <c r="X29" s="2203">
        <f t="shared" si="3"/>
        <v>0</v>
      </c>
      <c r="Y29" s="2205"/>
      <c r="Z29" s="3047"/>
      <c r="AA29" s="3044"/>
      <c r="AB29" s="3043"/>
      <c r="AC29" s="3046"/>
      <c r="AD29" s="2203">
        <f t="shared" si="4"/>
        <v>0</v>
      </c>
      <c r="AE29" s="2205"/>
      <c r="AF29" s="2"/>
      <c r="AG29" s="2200"/>
      <c r="AH29" t="b">
        <f t="shared" si="5"/>
        <v>0</v>
      </c>
    </row>
    <row r="30" spans="1:34" ht="13.5" customHeight="1">
      <c r="A30" s="3054"/>
      <c r="B30" s="3043"/>
      <c r="C30" s="3044"/>
      <c r="D30" s="3045"/>
      <c r="E30" s="3046"/>
      <c r="F30" s="2203">
        <f t="shared" si="0"/>
        <v>0</v>
      </c>
      <c r="G30" s="2205"/>
      <c r="H30" s="3047"/>
      <c r="I30" s="3048"/>
      <c r="J30" s="3045"/>
      <c r="K30" s="3046"/>
      <c r="L30" s="2203">
        <f t="shared" si="1"/>
        <v>0</v>
      </c>
      <c r="M30" s="2205"/>
      <c r="N30" s="3047"/>
      <c r="O30" s="3048"/>
      <c r="P30" s="3045"/>
      <c r="Q30" s="3046"/>
      <c r="R30" s="2203">
        <f t="shared" si="2"/>
        <v>0</v>
      </c>
      <c r="S30" s="2205"/>
      <c r="T30" s="3047"/>
      <c r="U30" s="3044"/>
      <c r="V30" s="3045"/>
      <c r="W30" s="3046"/>
      <c r="X30" s="2203">
        <f t="shared" si="3"/>
        <v>0</v>
      </c>
      <c r="Y30" s="2205"/>
      <c r="Z30" s="3047"/>
      <c r="AA30" s="3044"/>
      <c r="AB30" s="3043"/>
      <c r="AC30" s="3046"/>
      <c r="AD30" s="2203">
        <f t="shared" si="4"/>
        <v>0</v>
      </c>
      <c r="AE30" s="2205"/>
      <c r="AF30" s="2"/>
      <c r="AG30" s="2200"/>
      <c r="AH30" t="b">
        <f t="shared" si="5"/>
        <v>0</v>
      </c>
    </row>
    <row r="31" spans="1:34" ht="13.5" customHeight="1">
      <c r="A31" s="3054"/>
      <c r="B31" s="3043"/>
      <c r="C31" s="3044"/>
      <c r="D31" s="3045"/>
      <c r="E31" s="3046"/>
      <c r="F31" s="2203">
        <f t="shared" si="0"/>
        <v>0</v>
      </c>
      <c r="G31" s="2205"/>
      <c r="H31" s="3047"/>
      <c r="I31" s="3048"/>
      <c r="J31" s="3045"/>
      <c r="K31" s="3046"/>
      <c r="L31" s="2203">
        <f t="shared" si="1"/>
        <v>0</v>
      </c>
      <c r="M31" s="2205"/>
      <c r="N31" s="3047"/>
      <c r="O31" s="3048"/>
      <c r="P31" s="3045"/>
      <c r="Q31" s="3046"/>
      <c r="R31" s="2203">
        <f t="shared" si="2"/>
        <v>0</v>
      </c>
      <c r="S31" s="2205"/>
      <c r="T31" s="3047"/>
      <c r="U31" s="3044"/>
      <c r="V31" s="3045"/>
      <c r="W31" s="3046"/>
      <c r="X31" s="2203">
        <f t="shared" si="3"/>
        <v>0</v>
      </c>
      <c r="Y31" s="2205"/>
      <c r="Z31" s="3047"/>
      <c r="AA31" s="3044"/>
      <c r="AB31" s="3043"/>
      <c r="AC31" s="3046"/>
      <c r="AD31" s="2203">
        <f t="shared" si="4"/>
        <v>0</v>
      </c>
      <c r="AE31" s="2205"/>
      <c r="AF31" s="2"/>
      <c r="AG31" s="2200"/>
      <c r="AH31" t="b">
        <f t="shared" si="5"/>
        <v>0</v>
      </c>
    </row>
    <row r="32" spans="1:34" ht="13.5" customHeight="1">
      <c r="A32" s="3054"/>
      <c r="B32" s="3043"/>
      <c r="C32" s="3044"/>
      <c r="D32" s="3045"/>
      <c r="E32" s="3046"/>
      <c r="F32" s="2203">
        <f t="shared" si="0"/>
        <v>0</v>
      </c>
      <c r="G32" s="2205"/>
      <c r="H32" s="3047"/>
      <c r="I32" s="3048"/>
      <c r="J32" s="3045"/>
      <c r="K32" s="3046"/>
      <c r="L32" s="2203">
        <f t="shared" si="1"/>
        <v>0</v>
      </c>
      <c r="M32" s="2205"/>
      <c r="N32" s="3047"/>
      <c r="O32" s="3048"/>
      <c r="P32" s="3045"/>
      <c r="Q32" s="3046"/>
      <c r="R32" s="2203">
        <f t="shared" si="2"/>
        <v>0</v>
      </c>
      <c r="S32" s="2205"/>
      <c r="T32" s="3047"/>
      <c r="U32" s="3044"/>
      <c r="V32" s="3045"/>
      <c r="W32" s="3046"/>
      <c r="X32" s="2203">
        <f t="shared" si="3"/>
        <v>0</v>
      </c>
      <c r="Y32" s="2205"/>
      <c r="Z32" s="3047"/>
      <c r="AA32" s="3044"/>
      <c r="AB32" s="3043"/>
      <c r="AC32" s="3046"/>
      <c r="AD32" s="2203">
        <f t="shared" si="4"/>
        <v>0</v>
      </c>
      <c r="AE32" s="2205"/>
      <c r="AF32" s="2"/>
      <c r="AG32" s="2200"/>
      <c r="AH32" t="b">
        <f t="shared" si="5"/>
        <v>0</v>
      </c>
    </row>
    <row r="33" spans="1:34" ht="13.5" customHeight="1">
      <c r="A33" s="3054"/>
      <c r="B33" s="3043"/>
      <c r="C33" s="3044"/>
      <c r="D33" s="3045"/>
      <c r="E33" s="3046"/>
      <c r="F33" s="2203">
        <f t="shared" si="0"/>
        <v>0</v>
      </c>
      <c r="G33" s="2205"/>
      <c r="H33" s="3047"/>
      <c r="I33" s="3048"/>
      <c r="J33" s="3045"/>
      <c r="K33" s="3046"/>
      <c r="L33" s="2203">
        <f t="shared" si="1"/>
        <v>0</v>
      </c>
      <c r="M33" s="2205"/>
      <c r="N33" s="3047"/>
      <c r="O33" s="3048"/>
      <c r="P33" s="3045"/>
      <c r="Q33" s="3046"/>
      <c r="R33" s="2203">
        <f t="shared" si="2"/>
        <v>0</v>
      </c>
      <c r="S33" s="2205"/>
      <c r="T33" s="3047"/>
      <c r="U33" s="3044"/>
      <c r="V33" s="3045"/>
      <c r="W33" s="3046"/>
      <c r="X33" s="2203">
        <f t="shared" si="3"/>
        <v>0</v>
      </c>
      <c r="Y33" s="2205"/>
      <c r="Z33" s="3047"/>
      <c r="AA33" s="3044"/>
      <c r="AB33" s="3043"/>
      <c r="AC33" s="3046"/>
      <c r="AD33" s="2203">
        <f t="shared" si="4"/>
        <v>0</v>
      </c>
      <c r="AE33" s="2205"/>
      <c r="AF33" s="2"/>
      <c r="AG33" s="2200"/>
      <c r="AH33" t="b">
        <f t="shared" si="5"/>
        <v>0</v>
      </c>
    </row>
    <row r="34" spans="1:34" ht="13.5" customHeight="1">
      <c r="A34" s="3054"/>
      <c r="B34" s="3043"/>
      <c r="C34" s="3044"/>
      <c r="D34" s="3045"/>
      <c r="E34" s="3046"/>
      <c r="F34" s="2203">
        <f t="shared" si="0"/>
        <v>0</v>
      </c>
      <c r="G34" s="2205"/>
      <c r="H34" s="3047"/>
      <c r="I34" s="3048"/>
      <c r="J34" s="3045"/>
      <c r="K34" s="3046"/>
      <c r="L34" s="2203">
        <f t="shared" si="1"/>
        <v>0</v>
      </c>
      <c r="M34" s="2205"/>
      <c r="N34" s="3047"/>
      <c r="O34" s="3048"/>
      <c r="P34" s="3045"/>
      <c r="Q34" s="3046"/>
      <c r="R34" s="2203">
        <f t="shared" si="2"/>
        <v>0</v>
      </c>
      <c r="S34" s="2205"/>
      <c r="T34" s="3047"/>
      <c r="U34" s="3044"/>
      <c r="V34" s="3045"/>
      <c r="W34" s="3046"/>
      <c r="X34" s="2203">
        <f t="shared" si="3"/>
        <v>0</v>
      </c>
      <c r="Y34" s="2205"/>
      <c r="Z34" s="3047"/>
      <c r="AA34" s="3044"/>
      <c r="AB34" s="3043"/>
      <c r="AC34" s="3046"/>
      <c r="AD34" s="2203">
        <f t="shared" si="4"/>
        <v>0</v>
      </c>
      <c r="AE34" s="2205"/>
      <c r="AF34" s="2"/>
      <c r="AG34" s="2200"/>
      <c r="AH34" t="b">
        <f t="shared" si="5"/>
        <v>0</v>
      </c>
    </row>
    <row r="35" spans="1:34" ht="13.5" customHeight="1">
      <c r="A35" s="3054"/>
      <c r="B35" s="3043"/>
      <c r="C35" s="3044"/>
      <c r="D35" s="3045"/>
      <c r="E35" s="3046"/>
      <c r="F35" s="2203">
        <f t="shared" si="0"/>
        <v>0</v>
      </c>
      <c r="G35" s="2205"/>
      <c r="H35" s="3047"/>
      <c r="I35" s="3048"/>
      <c r="J35" s="3045"/>
      <c r="K35" s="3046"/>
      <c r="L35" s="2203">
        <f t="shared" si="1"/>
        <v>0</v>
      </c>
      <c r="M35" s="2205"/>
      <c r="N35" s="3047"/>
      <c r="O35" s="3048"/>
      <c r="P35" s="3045"/>
      <c r="Q35" s="3046"/>
      <c r="R35" s="2203">
        <f t="shared" si="2"/>
        <v>0</v>
      </c>
      <c r="S35" s="2205"/>
      <c r="T35" s="3047"/>
      <c r="U35" s="3044"/>
      <c r="V35" s="3045"/>
      <c r="W35" s="3046"/>
      <c r="X35" s="2203">
        <f t="shared" si="3"/>
        <v>0</v>
      </c>
      <c r="Y35" s="2205"/>
      <c r="Z35" s="3047"/>
      <c r="AA35" s="3044"/>
      <c r="AB35" s="3043"/>
      <c r="AC35" s="3046"/>
      <c r="AD35" s="2203">
        <f t="shared" si="4"/>
        <v>0</v>
      </c>
      <c r="AE35" s="2205"/>
      <c r="AF35" s="2"/>
      <c r="AG35" s="2200"/>
      <c r="AH35" t="b">
        <f t="shared" si="5"/>
        <v>0</v>
      </c>
    </row>
    <row r="36" spans="1:34" ht="13.5" customHeight="1">
      <c r="A36" s="3055"/>
      <c r="B36" s="3050"/>
      <c r="C36" s="3038"/>
      <c r="D36" s="3039"/>
      <c r="E36" s="3040"/>
      <c r="F36" s="2359">
        <f t="shared" si="0"/>
        <v>0</v>
      </c>
      <c r="G36" s="2940"/>
      <c r="H36" s="3037"/>
      <c r="I36" s="3049"/>
      <c r="J36" s="3039"/>
      <c r="K36" s="3040"/>
      <c r="L36" s="2359">
        <f t="shared" si="1"/>
        <v>0</v>
      </c>
      <c r="M36" s="2940"/>
      <c r="N36" s="3037"/>
      <c r="O36" s="3049"/>
      <c r="P36" s="3039"/>
      <c r="Q36" s="3040"/>
      <c r="R36" s="2359">
        <f t="shared" si="2"/>
        <v>0</v>
      </c>
      <c r="S36" s="2940"/>
      <c r="T36" s="3037"/>
      <c r="U36" s="3038"/>
      <c r="V36" s="3039"/>
      <c r="W36" s="3040"/>
      <c r="X36" s="2359">
        <f t="shared" si="3"/>
        <v>0</v>
      </c>
      <c r="Y36" s="2940"/>
      <c r="Z36" s="3051"/>
      <c r="AA36" s="3052"/>
      <c r="AB36" s="3041"/>
      <c r="AC36" s="3042"/>
      <c r="AD36" s="2359">
        <f t="shared" si="4"/>
        <v>0</v>
      </c>
      <c r="AE36" s="2940"/>
      <c r="AF36" s="2"/>
      <c r="AG36" s="2200"/>
      <c r="AH36" t="b">
        <f t="shared" si="5"/>
        <v>0</v>
      </c>
    </row>
    <row r="37" spans="1:34" ht="13.5" customHeight="1">
      <c r="A37" s="1733" t="s">
        <v>924</v>
      </c>
      <c r="B37" s="3034"/>
      <c r="C37" s="3035"/>
      <c r="D37" s="3035"/>
      <c r="E37" s="3035"/>
      <c r="F37" s="3035"/>
      <c r="G37" s="3036"/>
      <c r="H37" s="3034"/>
      <c r="I37" s="3035"/>
      <c r="J37" s="3035"/>
      <c r="K37" s="3035"/>
      <c r="L37" s="3035"/>
      <c r="M37" s="3036"/>
      <c r="N37" s="3034"/>
      <c r="O37" s="3035"/>
      <c r="P37" s="3035"/>
      <c r="Q37" s="3035"/>
      <c r="R37" s="3035"/>
      <c r="S37" s="3036"/>
      <c r="T37" s="3034"/>
      <c r="U37" s="3035"/>
      <c r="V37" s="3035"/>
      <c r="W37" s="3035"/>
      <c r="X37" s="3035"/>
      <c r="Y37" s="3036"/>
      <c r="Z37" s="3034"/>
      <c r="AA37" s="3035"/>
      <c r="AB37" s="3035"/>
      <c r="AC37" s="3035"/>
      <c r="AD37" s="3035"/>
      <c r="AE37" s="3036"/>
      <c r="AF37" s="195"/>
      <c r="AG37" s="2200"/>
      <c r="AH37" t="b">
        <f>AH41</f>
        <v>0</v>
      </c>
    </row>
    <row r="38" spans="1:34" ht="13.5" customHeight="1">
      <c r="A38" s="1733" t="s">
        <v>1510</v>
      </c>
      <c r="B38" s="3028">
        <f>SUM(F21:F36)</f>
        <v>0</v>
      </c>
      <c r="C38" s="3029"/>
      <c r="D38" s="3029"/>
      <c r="E38" s="3029"/>
      <c r="F38" s="3029"/>
      <c r="G38" s="3030"/>
      <c r="H38" s="3028">
        <f>SUM(L21:L36)</f>
        <v>0</v>
      </c>
      <c r="I38" s="3029"/>
      <c r="J38" s="3029"/>
      <c r="K38" s="3029"/>
      <c r="L38" s="3029"/>
      <c r="M38" s="3030"/>
      <c r="N38" s="3028">
        <f>SUM(R21:R36)</f>
        <v>0</v>
      </c>
      <c r="O38" s="3029"/>
      <c r="P38" s="3029"/>
      <c r="Q38" s="3029"/>
      <c r="R38" s="3029"/>
      <c r="S38" s="3030"/>
      <c r="T38" s="3028">
        <f>SUM(X21:X36)</f>
        <v>0</v>
      </c>
      <c r="U38" s="3029"/>
      <c r="V38" s="3029"/>
      <c r="W38" s="3029"/>
      <c r="X38" s="3029"/>
      <c r="Y38" s="3030"/>
      <c r="Z38" s="3028">
        <f>SUM(AD21:AD36)</f>
        <v>0</v>
      </c>
      <c r="AA38" s="3029"/>
      <c r="AB38" s="3029"/>
      <c r="AC38" s="3029"/>
      <c r="AD38" s="3029"/>
      <c r="AE38" s="3030"/>
      <c r="AF38" s="2"/>
      <c r="AG38" s="2200"/>
      <c r="AH38" t="b">
        <f>AH41</f>
        <v>0</v>
      </c>
    </row>
    <row r="39" spans="1:34" ht="14.25" customHeight="1" thickBot="1">
      <c r="A39" s="1734" t="s">
        <v>1508</v>
      </c>
      <c r="B39" s="3025"/>
      <c r="C39" s="3026"/>
      <c r="D39" s="3026"/>
      <c r="E39" s="776" t="s">
        <v>1509</v>
      </c>
      <c r="F39" s="3023"/>
      <c r="G39" s="3024"/>
      <c r="H39" s="3025"/>
      <c r="I39" s="3026"/>
      <c r="J39" s="3026"/>
      <c r="K39" s="776" t="s">
        <v>1509</v>
      </c>
      <c r="L39" s="3023"/>
      <c r="M39" s="3024"/>
      <c r="N39" s="3025"/>
      <c r="O39" s="3026"/>
      <c r="P39" s="3026"/>
      <c r="Q39" s="776" t="s">
        <v>1509</v>
      </c>
      <c r="R39" s="3023"/>
      <c r="S39" s="3024"/>
      <c r="T39" s="3025"/>
      <c r="U39" s="3026"/>
      <c r="V39" s="3026"/>
      <c r="W39" s="776" t="s">
        <v>1509</v>
      </c>
      <c r="X39" s="3023"/>
      <c r="Y39" s="3024"/>
      <c r="Z39" s="3025"/>
      <c r="AA39" s="3026"/>
      <c r="AB39" s="3026"/>
      <c r="AC39" s="776" t="s">
        <v>1509</v>
      </c>
      <c r="AD39" s="3023"/>
      <c r="AE39" s="3024"/>
      <c r="AF39" s="2"/>
      <c r="AG39" s="2200"/>
      <c r="AH39" t="b">
        <f>+AH41</f>
        <v>0</v>
      </c>
    </row>
    <row r="40" spans="1:34" ht="13.5" customHeight="1">
      <c r="A40" s="1733" t="s">
        <v>926</v>
      </c>
      <c r="B40" s="3031"/>
      <c r="C40" s="3032"/>
      <c r="D40" s="3032"/>
      <c r="E40" s="3032"/>
      <c r="F40" s="3032"/>
      <c r="G40" s="3033"/>
      <c r="H40" s="3031"/>
      <c r="I40" s="3032"/>
      <c r="J40" s="3032"/>
      <c r="K40" s="3032"/>
      <c r="L40" s="3032"/>
      <c r="M40" s="3033"/>
      <c r="N40" s="3031"/>
      <c r="O40" s="3032"/>
      <c r="P40" s="3032"/>
      <c r="Q40" s="3032"/>
      <c r="R40" s="3032"/>
      <c r="S40" s="3033"/>
      <c r="T40" s="3031"/>
      <c r="U40" s="3032"/>
      <c r="V40" s="3032"/>
      <c r="W40" s="3032"/>
      <c r="X40" s="3032"/>
      <c r="Y40" s="3033"/>
      <c r="Z40" s="3031"/>
      <c r="AA40" s="3032"/>
      <c r="AB40" s="3032"/>
      <c r="AC40" s="3032"/>
      <c r="AD40" s="3032"/>
      <c r="AE40" s="3032"/>
      <c r="AF40" s="1732" t="s">
        <v>927</v>
      </c>
      <c r="AG40" s="2200"/>
      <c r="AH40" t="b">
        <f>AH41</f>
        <v>0</v>
      </c>
    </row>
    <row r="41" spans="1:34" ht="13.5" customHeight="1" thickBot="1">
      <c r="A41" s="1733" t="s">
        <v>928</v>
      </c>
      <c r="B41" s="2543">
        <f>ROUNDDOWN(B38*IF(F39&lt;&gt;0,SQRT(B39^2+F39^2)/F39,1)-B40,2)</f>
        <v>0</v>
      </c>
      <c r="C41" s="2544"/>
      <c r="D41" s="2544"/>
      <c r="E41" s="2544"/>
      <c r="F41" s="2544"/>
      <c r="G41" s="3027"/>
      <c r="H41" s="2543">
        <f>ROUNDDOWN(H38*IF(L39&lt;&gt;0,SQRT(H39^2+L39^2)/L39,1)-H40,2)</f>
        <v>0</v>
      </c>
      <c r="I41" s="2544"/>
      <c r="J41" s="2544"/>
      <c r="K41" s="2544"/>
      <c r="L41" s="2544"/>
      <c r="M41" s="3027"/>
      <c r="N41" s="2543">
        <f>ROUNDDOWN(N38*IF(R39&lt;&gt;0,SQRT(N39^2+R39^2)/R39,1)-N40,2)</f>
        <v>0</v>
      </c>
      <c r="O41" s="2544"/>
      <c r="P41" s="2544"/>
      <c r="Q41" s="2544"/>
      <c r="R41" s="2544"/>
      <c r="S41" s="3027"/>
      <c r="T41" s="2543">
        <f>ROUNDDOWN(T38*IF(X39&lt;&gt;0,SQRT(T39^2+X39^2)/X39,1)-T40,2)</f>
        <v>0</v>
      </c>
      <c r="U41" s="2544"/>
      <c r="V41" s="2544"/>
      <c r="W41" s="2544"/>
      <c r="X41" s="2544"/>
      <c r="Y41" s="3027"/>
      <c r="Z41" s="2543">
        <f>ROUNDDOWN(Z38*IF(AD39&lt;&gt;0,SQRT(Z39^2+AD39^2)/AD39,1)-Z40,2)</f>
        <v>0</v>
      </c>
      <c r="AA41" s="2544"/>
      <c r="AB41" s="2544"/>
      <c r="AC41" s="2544"/>
      <c r="AD41" s="2544"/>
      <c r="AE41" s="3027"/>
      <c r="AF41" s="196">
        <f>SUMIF(B37:AE37,"*",B41:AE41)-SUMIF(B37:AE37,"無し",B41:AE41)+SUMIF(B61:AE61,"*",B65:AE65)-SUMIF(B61:AE61,"無し",B65:AE65)</f>
        <v>0</v>
      </c>
      <c r="AG41" s="2200"/>
      <c r="AH41" t="b">
        <f>AF41&lt;&gt;0</f>
        <v>0</v>
      </c>
    </row>
    <row r="42" spans="1:34" ht="13.5" customHeight="1">
      <c r="AG42" s="2200"/>
      <c r="AH42" t="b">
        <f>AH65</f>
        <v>0</v>
      </c>
    </row>
    <row r="43" spans="1:34" ht="13.5" customHeight="1">
      <c r="A43" s="3053" t="s">
        <v>929</v>
      </c>
      <c r="B43" s="3056" t="s">
        <v>920</v>
      </c>
      <c r="C43" s="3057"/>
      <c r="D43" s="3057"/>
      <c r="E43" s="3057"/>
      <c r="F43" s="3057"/>
      <c r="G43" s="3058"/>
      <c r="H43" s="3056" t="s">
        <v>920</v>
      </c>
      <c r="I43" s="3057"/>
      <c r="J43" s="3057"/>
      <c r="K43" s="3057"/>
      <c r="L43" s="3057"/>
      <c r="M43" s="3058"/>
      <c r="N43" s="3056" t="s">
        <v>920</v>
      </c>
      <c r="O43" s="3057"/>
      <c r="P43" s="3057"/>
      <c r="Q43" s="3057"/>
      <c r="R43" s="3057"/>
      <c r="S43" s="3058"/>
      <c r="T43" s="3056" t="s">
        <v>920</v>
      </c>
      <c r="U43" s="3057"/>
      <c r="V43" s="3057"/>
      <c r="W43" s="3057"/>
      <c r="X43" s="3057"/>
      <c r="Y43" s="3058"/>
      <c r="Z43" s="3056" t="s">
        <v>920</v>
      </c>
      <c r="AA43" s="3057"/>
      <c r="AB43" s="3057"/>
      <c r="AC43" s="3057"/>
      <c r="AD43" s="3057"/>
      <c r="AE43" s="3058"/>
      <c r="AG43" s="2200"/>
      <c r="AH43" t="b">
        <f>AH65</f>
        <v>0</v>
      </c>
    </row>
    <row r="44" spans="1:34" ht="13.5" customHeight="1">
      <c r="A44" s="3054"/>
      <c r="B44" s="1728" t="s">
        <v>921</v>
      </c>
      <c r="C44" s="1728"/>
      <c r="D44" s="1729" t="s">
        <v>922</v>
      </c>
      <c r="E44" s="1730"/>
      <c r="F44" s="1731" t="s">
        <v>923</v>
      </c>
      <c r="G44" s="1728"/>
      <c r="H44" s="1731" t="s">
        <v>921</v>
      </c>
      <c r="I44" s="1728"/>
      <c r="J44" s="1729" t="s">
        <v>922</v>
      </c>
      <c r="K44" s="1730"/>
      <c r="L44" s="1731" t="s">
        <v>923</v>
      </c>
      <c r="M44" s="1728"/>
      <c r="N44" s="1731" t="s">
        <v>921</v>
      </c>
      <c r="O44" s="1728"/>
      <c r="P44" s="1729" t="s">
        <v>922</v>
      </c>
      <c r="Q44" s="1730"/>
      <c r="R44" s="1731" t="s">
        <v>923</v>
      </c>
      <c r="S44" s="1728"/>
      <c r="T44" s="1731" t="s">
        <v>921</v>
      </c>
      <c r="U44" s="1728"/>
      <c r="V44" s="1729" t="s">
        <v>922</v>
      </c>
      <c r="W44" s="1730"/>
      <c r="X44" s="1731" t="s">
        <v>923</v>
      </c>
      <c r="Y44" s="1728"/>
      <c r="Z44" s="1731" t="s">
        <v>921</v>
      </c>
      <c r="AA44" s="1728"/>
      <c r="AB44" s="1729" t="s">
        <v>922</v>
      </c>
      <c r="AC44" s="1730"/>
      <c r="AD44" s="1731" t="s">
        <v>923</v>
      </c>
      <c r="AE44" s="1730"/>
      <c r="AF44" s="195"/>
      <c r="AG44" s="2200"/>
      <c r="AH44" t="b">
        <f>AH65</f>
        <v>0</v>
      </c>
    </row>
    <row r="45" spans="1:34" ht="13.5" customHeight="1">
      <c r="A45" s="3054"/>
      <c r="B45" s="3059"/>
      <c r="C45" s="3060"/>
      <c r="D45" s="3061"/>
      <c r="E45" s="3062"/>
      <c r="F45" s="2243">
        <f t="shared" ref="F45:F60" si="6">ROUNDDOWN(B45*D45,2)</f>
        <v>0</v>
      </c>
      <c r="G45" s="2245"/>
      <c r="H45" s="3065"/>
      <c r="I45" s="3066"/>
      <c r="J45" s="3061"/>
      <c r="K45" s="3062"/>
      <c r="L45" s="2243">
        <f t="shared" ref="L45:L60" si="7">ROUNDDOWN(H45*J45,2)</f>
        <v>0</v>
      </c>
      <c r="M45" s="2245"/>
      <c r="N45" s="3065"/>
      <c r="O45" s="3066"/>
      <c r="P45" s="3061"/>
      <c r="Q45" s="3062"/>
      <c r="R45" s="2243">
        <f t="shared" ref="R45:R60" si="8">ROUNDDOWN(N45*P45,2)</f>
        <v>0</v>
      </c>
      <c r="S45" s="2245"/>
      <c r="T45" s="3065"/>
      <c r="U45" s="3060"/>
      <c r="V45" s="3061"/>
      <c r="W45" s="3062"/>
      <c r="X45" s="2243">
        <f t="shared" ref="X45:X60" si="9">ROUNDDOWN(T45*V45,2)</f>
        <v>0</v>
      </c>
      <c r="Y45" s="2245"/>
      <c r="Z45" s="3065"/>
      <c r="AA45" s="3060"/>
      <c r="AB45" s="3059"/>
      <c r="AC45" s="3062"/>
      <c r="AD45" s="3063">
        <f t="shared" ref="AD45:AD60" si="10">ROUNDDOWN(Z45*AB45,2)</f>
        <v>0</v>
      </c>
      <c r="AE45" s="3064"/>
      <c r="AF45" s="2"/>
      <c r="AG45" s="2200"/>
      <c r="AH45" t="b">
        <f t="shared" ref="AH45:AH60" si="11">SUM(B45:AE45)&lt;&gt;0</f>
        <v>0</v>
      </c>
    </row>
    <row r="46" spans="1:34" ht="13.5" customHeight="1">
      <c r="A46" s="3054"/>
      <c r="B46" s="3043"/>
      <c r="C46" s="3044"/>
      <c r="D46" s="3045"/>
      <c r="E46" s="3046"/>
      <c r="F46" s="2203">
        <f t="shared" si="6"/>
        <v>0</v>
      </c>
      <c r="G46" s="2205"/>
      <c r="H46" s="3047"/>
      <c r="I46" s="3048"/>
      <c r="J46" s="3045"/>
      <c r="K46" s="3046"/>
      <c r="L46" s="2203">
        <f t="shared" si="7"/>
        <v>0</v>
      </c>
      <c r="M46" s="2205"/>
      <c r="N46" s="3047"/>
      <c r="O46" s="3048"/>
      <c r="P46" s="3045"/>
      <c r="Q46" s="3046"/>
      <c r="R46" s="2203">
        <f t="shared" si="8"/>
        <v>0</v>
      </c>
      <c r="S46" s="2205"/>
      <c r="T46" s="3047"/>
      <c r="U46" s="3044"/>
      <c r="V46" s="3045"/>
      <c r="W46" s="3046"/>
      <c r="X46" s="2203">
        <f t="shared" si="9"/>
        <v>0</v>
      </c>
      <c r="Y46" s="2205"/>
      <c r="Z46" s="3047"/>
      <c r="AA46" s="3044"/>
      <c r="AB46" s="3043"/>
      <c r="AC46" s="3046"/>
      <c r="AD46" s="2203">
        <f t="shared" si="10"/>
        <v>0</v>
      </c>
      <c r="AE46" s="2205"/>
      <c r="AF46" s="2"/>
      <c r="AG46" s="2200"/>
      <c r="AH46" t="b">
        <f t="shared" si="11"/>
        <v>0</v>
      </c>
    </row>
    <row r="47" spans="1:34" ht="13.5" customHeight="1">
      <c r="A47" s="3054"/>
      <c r="B47" s="3043"/>
      <c r="C47" s="3044"/>
      <c r="D47" s="3045"/>
      <c r="E47" s="3046"/>
      <c r="F47" s="2203">
        <f t="shared" si="6"/>
        <v>0</v>
      </c>
      <c r="G47" s="2205"/>
      <c r="H47" s="3047"/>
      <c r="I47" s="3048"/>
      <c r="J47" s="3045"/>
      <c r="K47" s="3046"/>
      <c r="L47" s="2203">
        <f t="shared" si="7"/>
        <v>0</v>
      </c>
      <c r="M47" s="2205"/>
      <c r="N47" s="3047"/>
      <c r="O47" s="3048"/>
      <c r="P47" s="3045"/>
      <c r="Q47" s="3046"/>
      <c r="R47" s="2203">
        <f t="shared" si="8"/>
        <v>0</v>
      </c>
      <c r="S47" s="2205"/>
      <c r="T47" s="3047"/>
      <c r="U47" s="3044"/>
      <c r="V47" s="3045"/>
      <c r="W47" s="3046"/>
      <c r="X47" s="2203">
        <f t="shared" si="9"/>
        <v>0</v>
      </c>
      <c r="Y47" s="2205"/>
      <c r="Z47" s="3047"/>
      <c r="AA47" s="3044"/>
      <c r="AB47" s="3043"/>
      <c r="AC47" s="3046"/>
      <c r="AD47" s="2203">
        <f t="shared" si="10"/>
        <v>0</v>
      </c>
      <c r="AE47" s="2205"/>
      <c r="AF47" s="2"/>
      <c r="AG47" s="2200"/>
      <c r="AH47" t="b">
        <f t="shared" si="11"/>
        <v>0</v>
      </c>
    </row>
    <row r="48" spans="1:34" ht="13.5" customHeight="1">
      <c r="A48" s="3054"/>
      <c r="B48" s="3043"/>
      <c r="C48" s="3044"/>
      <c r="D48" s="3045"/>
      <c r="E48" s="3046"/>
      <c r="F48" s="2203">
        <f t="shared" si="6"/>
        <v>0</v>
      </c>
      <c r="G48" s="2205"/>
      <c r="H48" s="3047"/>
      <c r="I48" s="3048"/>
      <c r="J48" s="3045"/>
      <c r="K48" s="3046"/>
      <c r="L48" s="2203">
        <f t="shared" si="7"/>
        <v>0</v>
      </c>
      <c r="M48" s="2205"/>
      <c r="N48" s="3047"/>
      <c r="O48" s="3048"/>
      <c r="P48" s="3045"/>
      <c r="Q48" s="3046"/>
      <c r="R48" s="2203">
        <f t="shared" si="8"/>
        <v>0</v>
      </c>
      <c r="S48" s="2205"/>
      <c r="T48" s="3047"/>
      <c r="U48" s="3044"/>
      <c r="V48" s="3045"/>
      <c r="W48" s="3046"/>
      <c r="X48" s="2203">
        <f t="shared" si="9"/>
        <v>0</v>
      </c>
      <c r="Y48" s="2205"/>
      <c r="Z48" s="3047"/>
      <c r="AA48" s="3044"/>
      <c r="AB48" s="3043"/>
      <c r="AC48" s="3046"/>
      <c r="AD48" s="2203">
        <f t="shared" si="10"/>
        <v>0</v>
      </c>
      <c r="AE48" s="2205"/>
      <c r="AF48" s="2"/>
      <c r="AG48" s="2200"/>
      <c r="AH48" t="b">
        <f t="shared" si="11"/>
        <v>0</v>
      </c>
    </row>
    <row r="49" spans="1:34" ht="13.5" customHeight="1">
      <c r="A49" s="3054"/>
      <c r="B49" s="3043"/>
      <c r="C49" s="3044"/>
      <c r="D49" s="3045"/>
      <c r="E49" s="3046"/>
      <c r="F49" s="2203">
        <f t="shared" si="6"/>
        <v>0</v>
      </c>
      <c r="G49" s="2205"/>
      <c r="H49" s="3047"/>
      <c r="I49" s="3048"/>
      <c r="J49" s="3045"/>
      <c r="K49" s="3046"/>
      <c r="L49" s="2203">
        <f t="shared" si="7"/>
        <v>0</v>
      </c>
      <c r="M49" s="2205"/>
      <c r="N49" s="3047"/>
      <c r="O49" s="3048"/>
      <c r="P49" s="3045"/>
      <c r="Q49" s="3046"/>
      <c r="R49" s="2203">
        <f t="shared" si="8"/>
        <v>0</v>
      </c>
      <c r="S49" s="2205"/>
      <c r="T49" s="3047"/>
      <c r="U49" s="3044"/>
      <c r="V49" s="3045"/>
      <c r="W49" s="3046"/>
      <c r="X49" s="2203">
        <f t="shared" si="9"/>
        <v>0</v>
      </c>
      <c r="Y49" s="2205"/>
      <c r="Z49" s="3047"/>
      <c r="AA49" s="3044"/>
      <c r="AB49" s="3043"/>
      <c r="AC49" s="3046"/>
      <c r="AD49" s="2203">
        <f t="shared" si="10"/>
        <v>0</v>
      </c>
      <c r="AE49" s="2205"/>
      <c r="AF49" s="2"/>
      <c r="AG49" s="2200"/>
      <c r="AH49" t="b">
        <f t="shared" si="11"/>
        <v>0</v>
      </c>
    </row>
    <row r="50" spans="1:34" ht="13.5" customHeight="1">
      <c r="A50" s="3054"/>
      <c r="B50" s="3043"/>
      <c r="C50" s="3044"/>
      <c r="D50" s="3045"/>
      <c r="E50" s="3046"/>
      <c r="F50" s="2203">
        <f t="shared" si="6"/>
        <v>0</v>
      </c>
      <c r="G50" s="2205"/>
      <c r="H50" s="3047"/>
      <c r="I50" s="3048"/>
      <c r="J50" s="3045"/>
      <c r="K50" s="3046"/>
      <c r="L50" s="2203">
        <f t="shared" si="7"/>
        <v>0</v>
      </c>
      <c r="M50" s="2205"/>
      <c r="N50" s="3047"/>
      <c r="O50" s="3048"/>
      <c r="P50" s="3045"/>
      <c r="Q50" s="3046"/>
      <c r="R50" s="2203">
        <f t="shared" si="8"/>
        <v>0</v>
      </c>
      <c r="S50" s="2205"/>
      <c r="T50" s="3047"/>
      <c r="U50" s="3044"/>
      <c r="V50" s="3045"/>
      <c r="W50" s="3046"/>
      <c r="X50" s="2203">
        <f t="shared" si="9"/>
        <v>0</v>
      </c>
      <c r="Y50" s="2205"/>
      <c r="Z50" s="3047"/>
      <c r="AA50" s="3044"/>
      <c r="AB50" s="3043"/>
      <c r="AC50" s="3046"/>
      <c r="AD50" s="2203">
        <f t="shared" si="10"/>
        <v>0</v>
      </c>
      <c r="AE50" s="2205"/>
      <c r="AF50" s="2"/>
      <c r="AG50" s="2200"/>
      <c r="AH50" t="b">
        <f t="shared" si="11"/>
        <v>0</v>
      </c>
    </row>
    <row r="51" spans="1:34" ht="13.5" customHeight="1">
      <c r="A51" s="3054"/>
      <c r="B51" s="3043"/>
      <c r="C51" s="3044"/>
      <c r="D51" s="3045"/>
      <c r="E51" s="3046"/>
      <c r="F51" s="2203">
        <f t="shared" si="6"/>
        <v>0</v>
      </c>
      <c r="G51" s="2205"/>
      <c r="H51" s="3047"/>
      <c r="I51" s="3048"/>
      <c r="J51" s="3045"/>
      <c r="K51" s="3046"/>
      <c r="L51" s="2203">
        <f t="shared" si="7"/>
        <v>0</v>
      </c>
      <c r="M51" s="2205"/>
      <c r="N51" s="3047"/>
      <c r="O51" s="3048"/>
      <c r="P51" s="3045"/>
      <c r="Q51" s="3046"/>
      <c r="R51" s="2203">
        <f t="shared" si="8"/>
        <v>0</v>
      </c>
      <c r="S51" s="2205"/>
      <c r="T51" s="3047"/>
      <c r="U51" s="3044"/>
      <c r="V51" s="3045"/>
      <c r="W51" s="3046"/>
      <c r="X51" s="2203">
        <f t="shared" si="9"/>
        <v>0</v>
      </c>
      <c r="Y51" s="2205"/>
      <c r="Z51" s="3047"/>
      <c r="AA51" s="3044"/>
      <c r="AB51" s="3043"/>
      <c r="AC51" s="3046"/>
      <c r="AD51" s="2203">
        <f t="shared" si="10"/>
        <v>0</v>
      </c>
      <c r="AE51" s="2205"/>
      <c r="AF51" s="2"/>
      <c r="AG51" s="2200"/>
      <c r="AH51" t="b">
        <f t="shared" si="11"/>
        <v>0</v>
      </c>
    </row>
    <row r="52" spans="1:34" ht="13.5" customHeight="1">
      <c r="A52" s="3054"/>
      <c r="B52" s="3043"/>
      <c r="C52" s="3044"/>
      <c r="D52" s="3045"/>
      <c r="E52" s="3046"/>
      <c r="F52" s="2203">
        <f t="shared" si="6"/>
        <v>0</v>
      </c>
      <c r="G52" s="2205"/>
      <c r="H52" s="3047"/>
      <c r="I52" s="3048"/>
      <c r="J52" s="3045"/>
      <c r="K52" s="3046"/>
      <c r="L52" s="2203">
        <f t="shared" si="7"/>
        <v>0</v>
      </c>
      <c r="M52" s="2205"/>
      <c r="N52" s="3047"/>
      <c r="O52" s="3048"/>
      <c r="P52" s="3045"/>
      <c r="Q52" s="3046"/>
      <c r="R52" s="2203">
        <f t="shared" si="8"/>
        <v>0</v>
      </c>
      <c r="S52" s="2205"/>
      <c r="T52" s="3047"/>
      <c r="U52" s="3044"/>
      <c r="V52" s="3045"/>
      <c r="W52" s="3046"/>
      <c r="X52" s="2203">
        <f t="shared" si="9"/>
        <v>0</v>
      </c>
      <c r="Y52" s="2205"/>
      <c r="Z52" s="3047"/>
      <c r="AA52" s="3044"/>
      <c r="AB52" s="3043"/>
      <c r="AC52" s="3046"/>
      <c r="AD52" s="2203">
        <f t="shared" si="10"/>
        <v>0</v>
      </c>
      <c r="AE52" s="2205"/>
      <c r="AF52" s="2"/>
      <c r="AG52" s="2200"/>
      <c r="AH52" t="b">
        <f t="shared" si="11"/>
        <v>0</v>
      </c>
    </row>
    <row r="53" spans="1:34" ht="13.5" customHeight="1">
      <c r="A53" s="3054"/>
      <c r="B53" s="3043"/>
      <c r="C53" s="3044"/>
      <c r="D53" s="3045"/>
      <c r="E53" s="3046"/>
      <c r="F53" s="2203">
        <f t="shared" si="6"/>
        <v>0</v>
      </c>
      <c r="G53" s="2205"/>
      <c r="H53" s="3047"/>
      <c r="I53" s="3048"/>
      <c r="J53" s="3045"/>
      <c r="K53" s="3046"/>
      <c r="L53" s="2203">
        <f t="shared" si="7"/>
        <v>0</v>
      </c>
      <c r="M53" s="2205"/>
      <c r="N53" s="3047"/>
      <c r="O53" s="3048"/>
      <c r="P53" s="3045"/>
      <c r="Q53" s="3046"/>
      <c r="R53" s="2203">
        <f t="shared" si="8"/>
        <v>0</v>
      </c>
      <c r="S53" s="2205"/>
      <c r="T53" s="3047"/>
      <c r="U53" s="3044"/>
      <c r="V53" s="3045"/>
      <c r="W53" s="3046"/>
      <c r="X53" s="2203">
        <f t="shared" si="9"/>
        <v>0</v>
      </c>
      <c r="Y53" s="2205"/>
      <c r="Z53" s="3047"/>
      <c r="AA53" s="3044"/>
      <c r="AB53" s="3043"/>
      <c r="AC53" s="3046"/>
      <c r="AD53" s="2203">
        <f t="shared" si="10"/>
        <v>0</v>
      </c>
      <c r="AE53" s="2205"/>
      <c r="AF53" s="2"/>
      <c r="AG53" s="2200"/>
      <c r="AH53" t="b">
        <f t="shared" si="11"/>
        <v>0</v>
      </c>
    </row>
    <row r="54" spans="1:34" ht="13.5" customHeight="1">
      <c r="A54" s="3054"/>
      <c r="B54" s="3043"/>
      <c r="C54" s="3044"/>
      <c r="D54" s="3045"/>
      <c r="E54" s="3046"/>
      <c r="F54" s="2203">
        <f t="shared" si="6"/>
        <v>0</v>
      </c>
      <c r="G54" s="2205"/>
      <c r="H54" s="3047"/>
      <c r="I54" s="3048"/>
      <c r="J54" s="3045"/>
      <c r="K54" s="3046"/>
      <c r="L54" s="2203">
        <f t="shared" si="7"/>
        <v>0</v>
      </c>
      <c r="M54" s="2205"/>
      <c r="N54" s="3047"/>
      <c r="O54" s="3048"/>
      <c r="P54" s="3045"/>
      <c r="Q54" s="3046"/>
      <c r="R54" s="2203">
        <f t="shared" si="8"/>
        <v>0</v>
      </c>
      <c r="S54" s="2205"/>
      <c r="T54" s="3047"/>
      <c r="U54" s="3044"/>
      <c r="V54" s="3045"/>
      <c r="W54" s="3046"/>
      <c r="X54" s="2203">
        <f t="shared" si="9"/>
        <v>0</v>
      </c>
      <c r="Y54" s="2205"/>
      <c r="Z54" s="3047"/>
      <c r="AA54" s="3044"/>
      <c r="AB54" s="3043"/>
      <c r="AC54" s="3046"/>
      <c r="AD54" s="2203">
        <f t="shared" si="10"/>
        <v>0</v>
      </c>
      <c r="AE54" s="2205"/>
      <c r="AF54" s="2"/>
      <c r="AG54" s="2200"/>
      <c r="AH54" t="b">
        <f t="shared" si="11"/>
        <v>0</v>
      </c>
    </row>
    <row r="55" spans="1:34" ht="13.5" customHeight="1">
      <c r="A55" s="3054"/>
      <c r="B55" s="3043"/>
      <c r="C55" s="3044"/>
      <c r="D55" s="3045"/>
      <c r="E55" s="3046"/>
      <c r="F55" s="2203">
        <f t="shared" si="6"/>
        <v>0</v>
      </c>
      <c r="G55" s="2205"/>
      <c r="H55" s="3047"/>
      <c r="I55" s="3048"/>
      <c r="J55" s="3045"/>
      <c r="K55" s="3046"/>
      <c r="L55" s="2203">
        <f t="shared" si="7"/>
        <v>0</v>
      </c>
      <c r="M55" s="2205"/>
      <c r="N55" s="3047"/>
      <c r="O55" s="3048"/>
      <c r="P55" s="3045"/>
      <c r="Q55" s="3046"/>
      <c r="R55" s="2203">
        <f t="shared" si="8"/>
        <v>0</v>
      </c>
      <c r="S55" s="2205"/>
      <c r="T55" s="3047"/>
      <c r="U55" s="3044"/>
      <c r="V55" s="3045"/>
      <c r="W55" s="3046"/>
      <c r="X55" s="2203">
        <f t="shared" si="9"/>
        <v>0</v>
      </c>
      <c r="Y55" s="2205"/>
      <c r="Z55" s="3047"/>
      <c r="AA55" s="3044"/>
      <c r="AB55" s="3043"/>
      <c r="AC55" s="3046"/>
      <c r="AD55" s="2203">
        <f t="shared" si="10"/>
        <v>0</v>
      </c>
      <c r="AE55" s="2205"/>
      <c r="AF55" s="2"/>
      <c r="AG55" s="2200"/>
      <c r="AH55" t="b">
        <f t="shared" si="11"/>
        <v>0</v>
      </c>
    </row>
    <row r="56" spans="1:34" ht="13.5" customHeight="1">
      <c r="A56" s="3054"/>
      <c r="B56" s="3043"/>
      <c r="C56" s="3044"/>
      <c r="D56" s="3045"/>
      <c r="E56" s="3046"/>
      <c r="F56" s="2203">
        <f t="shared" si="6"/>
        <v>0</v>
      </c>
      <c r="G56" s="2205"/>
      <c r="H56" s="3047"/>
      <c r="I56" s="3048"/>
      <c r="J56" s="3045"/>
      <c r="K56" s="3046"/>
      <c r="L56" s="2203">
        <f t="shared" si="7"/>
        <v>0</v>
      </c>
      <c r="M56" s="2205"/>
      <c r="N56" s="3047"/>
      <c r="O56" s="3048"/>
      <c r="P56" s="3045"/>
      <c r="Q56" s="3046"/>
      <c r="R56" s="2203">
        <f t="shared" si="8"/>
        <v>0</v>
      </c>
      <c r="S56" s="2205"/>
      <c r="T56" s="3047"/>
      <c r="U56" s="3044"/>
      <c r="V56" s="3045"/>
      <c r="W56" s="3046"/>
      <c r="X56" s="2203">
        <f t="shared" si="9"/>
        <v>0</v>
      </c>
      <c r="Y56" s="2205"/>
      <c r="Z56" s="3047"/>
      <c r="AA56" s="3044"/>
      <c r="AB56" s="3043"/>
      <c r="AC56" s="3046"/>
      <c r="AD56" s="2203">
        <f t="shared" si="10"/>
        <v>0</v>
      </c>
      <c r="AE56" s="2205"/>
      <c r="AF56" s="2"/>
      <c r="AG56" s="2200"/>
      <c r="AH56" t="b">
        <f t="shared" si="11"/>
        <v>0</v>
      </c>
    </row>
    <row r="57" spans="1:34" ht="13.5" customHeight="1">
      <c r="A57" s="3054"/>
      <c r="B57" s="3043"/>
      <c r="C57" s="3044"/>
      <c r="D57" s="3045"/>
      <c r="E57" s="3046"/>
      <c r="F57" s="2203">
        <f t="shared" si="6"/>
        <v>0</v>
      </c>
      <c r="G57" s="2205"/>
      <c r="H57" s="3047"/>
      <c r="I57" s="3048"/>
      <c r="J57" s="3045"/>
      <c r="K57" s="3046"/>
      <c r="L57" s="2203">
        <f t="shared" si="7"/>
        <v>0</v>
      </c>
      <c r="M57" s="2205"/>
      <c r="N57" s="3047"/>
      <c r="O57" s="3048"/>
      <c r="P57" s="3045"/>
      <c r="Q57" s="3046"/>
      <c r="R57" s="2203">
        <f t="shared" si="8"/>
        <v>0</v>
      </c>
      <c r="S57" s="2205"/>
      <c r="T57" s="3047"/>
      <c r="U57" s="3044"/>
      <c r="V57" s="3045"/>
      <c r="W57" s="3046"/>
      <c r="X57" s="2203">
        <f t="shared" si="9"/>
        <v>0</v>
      </c>
      <c r="Y57" s="2205"/>
      <c r="Z57" s="3047"/>
      <c r="AA57" s="3044"/>
      <c r="AB57" s="3043"/>
      <c r="AC57" s="3046"/>
      <c r="AD57" s="2203">
        <f t="shared" si="10"/>
        <v>0</v>
      </c>
      <c r="AE57" s="2205"/>
      <c r="AF57" s="2"/>
      <c r="AG57" s="2200"/>
      <c r="AH57" t="b">
        <f t="shared" si="11"/>
        <v>0</v>
      </c>
    </row>
    <row r="58" spans="1:34" ht="13.5" customHeight="1">
      <c r="A58" s="3054"/>
      <c r="B58" s="3043"/>
      <c r="C58" s="3044"/>
      <c r="D58" s="3045"/>
      <c r="E58" s="3046"/>
      <c r="F58" s="2203">
        <f t="shared" si="6"/>
        <v>0</v>
      </c>
      <c r="G58" s="2205"/>
      <c r="H58" s="3047"/>
      <c r="I58" s="3048"/>
      <c r="J58" s="3045"/>
      <c r="K58" s="3046"/>
      <c r="L58" s="2203">
        <f t="shared" si="7"/>
        <v>0</v>
      </c>
      <c r="M58" s="2205"/>
      <c r="N58" s="3047"/>
      <c r="O58" s="3048"/>
      <c r="P58" s="3045"/>
      <c r="Q58" s="3046"/>
      <c r="R58" s="2203">
        <f t="shared" si="8"/>
        <v>0</v>
      </c>
      <c r="S58" s="2205"/>
      <c r="T58" s="3047"/>
      <c r="U58" s="3044"/>
      <c r="V58" s="3045"/>
      <c r="W58" s="3046"/>
      <c r="X58" s="2203">
        <f t="shared" si="9"/>
        <v>0</v>
      </c>
      <c r="Y58" s="2205"/>
      <c r="Z58" s="3047"/>
      <c r="AA58" s="3044"/>
      <c r="AB58" s="3043"/>
      <c r="AC58" s="3046"/>
      <c r="AD58" s="2203">
        <f t="shared" si="10"/>
        <v>0</v>
      </c>
      <c r="AE58" s="2205"/>
      <c r="AF58" s="2"/>
      <c r="AG58" s="2200"/>
      <c r="AH58" t="b">
        <f t="shared" si="11"/>
        <v>0</v>
      </c>
    </row>
    <row r="59" spans="1:34" ht="13.5" customHeight="1">
      <c r="A59" s="3054"/>
      <c r="B59" s="3043"/>
      <c r="C59" s="3044"/>
      <c r="D59" s="3045"/>
      <c r="E59" s="3046"/>
      <c r="F59" s="2203">
        <f t="shared" si="6"/>
        <v>0</v>
      </c>
      <c r="G59" s="2205"/>
      <c r="H59" s="3047"/>
      <c r="I59" s="3048"/>
      <c r="J59" s="3045"/>
      <c r="K59" s="3046"/>
      <c r="L59" s="2203">
        <f t="shared" si="7"/>
        <v>0</v>
      </c>
      <c r="M59" s="2205"/>
      <c r="N59" s="3047"/>
      <c r="O59" s="3048"/>
      <c r="P59" s="3045"/>
      <c r="Q59" s="3046"/>
      <c r="R59" s="2203">
        <f t="shared" si="8"/>
        <v>0</v>
      </c>
      <c r="S59" s="2205"/>
      <c r="T59" s="3047"/>
      <c r="U59" s="3044"/>
      <c r="V59" s="3045"/>
      <c r="W59" s="3046"/>
      <c r="X59" s="2203">
        <f t="shared" si="9"/>
        <v>0</v>
      </c>
      <c r="Y59" s="2205"/>
      <c r="Z59" s="3047"/>
      <c r="AA59" s="3044"/>
      <c r="AB59" s="3043"/>
      <c r="AC59" s="3046"/>
      <c r="AD59" s="2203">
        <f t="shared" si="10"/>
        <v>0</v>
      </c>
      <c r="AE59" s="2205"/>
      <c r="AF59" s="2"/>
      <c r="AG59" s="2200"/>
      <c r="AH59" t="b">
        <f t="shared" si="11"/>
        <v>0</v>
      </c>
    </row>
    <row r="60" spans="1:34" ht="13.5" customHeight="1">
      <c r="A60" s="3055"/>
      <c r="B60" s="3050"/>
      <c r="C60" s="3038"/>
      <c r="D60" s="3039"/>
      <c r="E60" s="3040"/>
      <c r="F60" s="2359">
        <f t="shared" si="6"/>
        <v>0</v>
      </c>
      <c r="G60" s="2940"/>
      <c r="H60" s="3037"/>
      <c r="I60" s="3049"/>
      <c r="J60" s="3039"/>
      <c r="K60" s="3040"/>
      <c r="L60" s="2359">
        <f t="shared" si="7"/>
        <v>0</v>
      </c>
      <c r="M60" s="2940"/>
      <c r="N60" s="3037"/>
      <c r="O60" s="3049"/>
      <c r="P60" s="3039"/>
      <c r="Q60" s="3040"/>
      <c r="R60" s="2359">
        <f t="shared" si="8"/>
        <v>0</v>
      </c>
      <c r="S60" s="2940"/>
      <c r="T60" s="3037"/>
      <c r="U60" s="3038"/>
      <c r="V60" s="3039"/>
      <c r="W60" s="3040"/>
      <c r="X60" s="2359">
        <f t="shared" si="9"/>
        <v>0</v>
      </c>
      <c r="Y60" s="2940"/>
      <c r="Z60" s="3051"/>
      <c r="AA60" s="3052"/>
      <c r="AB60" s="3041"/>
      <c r="AC60" s="3042"/>
      <c r="AD60" s="2359">
        <f t="shared" si="10"/>
        <v>0</v>
      </c>
      <c r="AE60" s="2940"/>
      <c r="AF60" s="2"/>
      <c r="AG60" s="2200"/>
      <c r="AH60" t="b">
        <f t="shared" si="11"/>
        <v>0</v>
      </c>
    </row>
    <row r="61" spans="1:34" ht="13.5" customHeight="1">
      <c r="A61" s="1733" t="s">
        <v>924</v>
      </c>
      <c r="B61" s="3034"/>
      <c r="C61" s="3035"/>
      <c r="D61" s="3035"/>
      <c r="E61" s="3035"/>
      <c r="F61" s="3035"/>
      <c r="G61" s="3036"/>
      <c r="H61" s="3034"/>
      <c r="I61" s="3035"/>
      <c r="J61" s="3035"/>
      <c r="K61" s="3035"/>
      <c r="L61" s="3035"/>
      <c r="M61" s="3036"/>
      <c r="N61" s="3034"/>
      <c r="O61" s="3035"/>
      <c r="P61" s="3035"/>
      <c r="Q61" s="3035"/>
      <c r="R61" s="3035"/>
      <c r="S61" s="3036"/>
      <c r="T61" s="3034"/>
      <c r="U61" s="3035"/>
      <c r="V61" s="3035"/>
      <c r="W61" s="3035"/>
      <c r="X61" s="3035"/>
      <c r="Y61" s="3036"/>
      <c r="Z61" s="3034"/>
      <c r="AA61" s="3035"/>
      <c r="AB61" s="3035"/>
      <c r="AC61" s="3035"/>
      <c r="AD61" s="3035"/>
      <c r="AE61" s="3036"/>
      <c r="AF61" s="2"/>
      <c r="AG61" s="2200"/>
      <c r="AH61" t="b">
        <f>AH65</f>
        <v>0</v>
      </c>
    </row>
    <row r="62" spans="1:34" ht="13.5" customHeight="1">
      <c r="A62" s="1733" t="s">
        <v>925</v>
      </c>
      <c r="B62" s="3028">
        <f>SUM(F45:F60)</f>
        <v>0</v>
      </c>
      <c r="C62" s="3029"/>
      <c r="D62" s="3029"/>
      <c r="E62" s="3029"/>
      <c r="F62" s="3029"/>
      <c r="G62" s="3030"/>
      <c r="H62" s="3028">
        <f>SUM(L45:L60)</f>
        <v>0</v>
      </c>
      <c r="I62" s="3029"/>
      <c r="J62" s="3029"/>
      <c r="K62" s="3029"/>
      <c r="L62" s="3029"/>
      <c r="M62" s="3030"/>
      <c r="N62" s="3028">
        <f>SUM(R45:R60)</f>
        <v>0</v>
      </c>
      <c r="O62" s="3029"/>
      <c r="P62" s="3029"/>
      <c r="Q62" s="3029"/>
      <c r="R62" s="3029"/>
      <c r="S62" s="3030"/>
      <c r="T62" s="3028">
        <f>SUM(X45:X60)</f>
        <v>0</v>
      </c>
      <c r="U62" s="3029"/>
      <c r="V62" s="3029"/>
      <c r="W62" s="3029"/>
      <c r="X62" s="3029"/>
      <c r="Y62" s="3030"/>
      <c r="Z62" s="3028">
        <f>SUM(AD45:AD60)</f>
        <v>0</v>
      </c>
      <c r="AA62" s="3029"/>
      <c r="AB62" s="3029"/>
      <c r="AC62" s="3029"/>
      <c r="AD62" s="3029"/>
      <c r="AE62" s="3030"/>
      <c r="AF62" s="2"/>
      <c r="AG62" s="2200"/>
      <c r="AH62" t="b">
        <f>AH65</f>
        <v>0</v>
      </c>
    </row>
    <row r="63" spans="1:34" ht="14.25" customHeight="1">
      <c r="A63" s="1734" t="s">
        <v>1508</v>
      </c>
      <c r="B63" s="3025"/>
      <c r="C63" s="3026"/>
      <c r="D63" s="3026"/>
      <c r="E63" s="776" t="s">
        <v>1509</v>
      </c>
      <c r="F63" s="3023"/>
      <c r="G63" s="3024"/>
      <c r="H63" s="3025"/>
      <c r="I63" s="3026"/>
      <c r="J63" s="3026"/>
      <c r="K63" s="776" t="s">
        <v>1509</v>
      </c>
      <c r="L63" s="3023"/>
      <c r="M63" s="3024"/>
      <c r="N63" s="3025"/>
      <c r="O63" s="3026"/>
      <c r="P63" s="3026"/>
      <c r="Q63" s="776" t="s">
        <v>1509</v>
      </c>
      <c r="R63" s="3023"/>
      <c r="S63" s="3024"/>
      <c r="T63" s="3025"/>
      <c r="U63" s="3026"/>
      <c r="V63" s="3026"/>
      <c r="W63" s="776" t="s">
        <v>1509</v>
      </c>
      <c r="X63" s="3023"/>
      <c r="Y63" s="3024"/>
      <c r="Z63" s="3025"/>
      <c r="AA63" s="3026"/>
      <c r="AB63" s="3026"/>
      <c r="AC63" s="776" t="s">
        <v>1509</v>
      </c>
      <c r="AD63" s="3023"/>
      <c r="AE63" s="3024"/>
      <c r="AF63" s="2"/>
      <c r="AG63" s="2200"/>
      <c r="AH63" t="b">
        <f>+AH65</f>
        <v>0</v>
      </c>
    </row>
    <row r="64" spans="1:34" ht="13.5" customHeight="1">
      <c r="A64" s="1733" t="s">
        <v>926</v>
      </c>
      <c r="B64" s="3031"/>
      <c r="C64" s="3032"/>
      <c r="D64" s="3032"/>
      <c r="E64" s="3032"/>
      <c r="F64" s="3032"/>
      <c r="G64" s="3033"/>
      <c r="H64" s="3031"/>
      <c r="I64" s="3032"/>
      <c r="J64" s="3032"/>
      <c r="K64" s="3032"/>
      <c r="L64" s="3032"/>
      <c r="M64" s="3033"/>
      <c r="N64" s="3031"/>
      <c r="O64" s="3032"/>
      <c r="P64" s="3032"/>
      <c r="Q64" s="3032"/>
      <c r="R64" s="3032"/>
      <c r="S64" s="3033"/>
      <c r="T64" s="3031"/>
      <c r="U64" s="3032"/>
      <c r="V64" s="3032"/>
      <c r="W64" s="3032"/>
      <c r="X64" s="3032"/>
      <c r="Y64" s="3033"/>
      <c r="Z64" s="3031"/>
      <c r="AA64" s="3032"/>
      <c r="AB64" s="3032"/>
      <c r="AC64" s="3032"/>
      <c r="AD64" s="3032"/>
      <c r="AE64" s="3033"/>
      <c r="AF64" s="2"/>
      <c r="AG64" s="2200"/>
      <c r="AH64" t="b">
        <f>AH65</f>
        <v>0</v>
      </c>
    </row>
    <row r="65" spans="1:34" ht="13.5" customHeight="1">
      <c r="A65" s="1733" t="s">
        <v>928</v>
      </c>
      <c r="B65" s="2543">
        <f>ROUNDDOWN(B62*IF(F63&lt;&gt;0,SQRT(B63^2+F63^2)/F63,1)-B64,2)</f>
        <v>0</v>
      </c>
      <c r="C65" s="2544"/>
      <c r="D65" s="2544"/>
      <c r="E65" s="2544"/>
      <c r="F65" s="2544"/>
      <c r="G65" s="3027"/>
      <c r="H65" s="2543">
        <f>ROUNDDOWN(H62*IF(L63&lt;&gt;0,SQRT(H63^2+L63^2)/L63,1)-H64,2)</f>
        <v>0</v>
      </c>
      <c r="I65" s="2544"/>
      <c r="J65" s="2544"/>
      <c r="K65" s="2544"/>
      <c r="L65" s="2544"/>
      <c r="M65" s="3027"/>
      <c r="N65" s="2543">
        <f>ROUNDDOWN(N62*IF(R63&lt;&gt;0,SQRT(N63^2+R63^2)/R63,1)-N64,2)</f>
        <v>0</v>
      </c>
      <c r="O65" s="2544"/>
      <c r="P65" s="2544"/>
      <c r="Q65" s="2544"/>
      <c r="R65" s="2544"/>
      <c r="S65" s="3027"/>
      <c r="T65" s="2543">
        <f>ROUNDDOWN(T62*IF(X63&lt;&gt;0,SQRT(T63^2+X63^2)/X63,1)-T64,2)</f>
        <v>0</v>
      </c>
      <c r="U65" s="2544"/>
      <c r="V65" s="2544"/>
      <c r="W65" s="2544"/>
      <c r="X65" s="2544"/>
      <c r="Y65" s="3027"/>
      <c r="Z65" s="2543">
        <f>ROUNDDOWN(Z62*IF(AD63&lt;&gt;0,SQRT(Z63^2+AD63^2)/AD63,1)-Z64,2)</f>
        <v>0</v>
      </c>
      <c r="AA65" s="2544"/>
      <c r="AB65" s="2544"/>
      <c r="AC65" s="2544"/>
      <c r="AD65" s="2544"/>
      <c r="AE65" s="3027"/>
      <c r="AF65" s="2"/>
      <c r="AG65" s="2200"/>
      <c r="AH65" t="b">
        <f>AF65&lt;&gt;0</f>
        <v>0</v>
      </c>
    </row>
    <row r="66" spans="1:34" ht="13.5" customHeight="1">
      <c r="AF66" s="2"/>
      <c r="AG66" s="2200"/>
      <c r="AH66" t="b">
        <f>AH91</f>
        <v>0</v>
      </c>
    </row>
    <row r="67" spans="1:34" ht="13.5" customHeight="1">
      <c r="A67" s="3067" t="s">
        <v>930</v>
      </c>
      <c r="B67" s="3056" t="s">
        <v>920</v>
      </c>
      <c r="C67" s="3057"/>
      <c r="D67" s="3057"/>
      <c r="E67" s="3057"/>
      <c r="F67" s="3057"/>
      <c r="G67" s="3058"/>
      <c r="H67" s="3056" t="s">
        <v>920</v>
      </c>
      <c r="I67" s="3057"/>
      <c r="J67" s="3057"/>
      <c r="K67" s="3057"/>
      <c r="L67" s="3057"/>
      <c r="M67" s="3058"/>
      <c r="N67" s="3056" t="s">
        <v>920</v>
      </c>
      <c r="O67" s="3057"/>
      <c r="P67" s="3057"/>
      <c r="Q67" s="3057"/>
      <c r="R67" s="3057"/>
      <c r="S67" s="3058"/>
      <c r="T67" s="3056" t="s">
        <v>920</v>
      </c>
      <c r="U67" s="3057"/>
      <c r="V67" s="3057"/>
      <c r="W67" s="3057"/>
      <c r="X67" s="3057"/>
      <c r="Y67" s="3058"/>
      <c r="Z67" s="3056" t="s">
        <v>920</v>
      </c>
      <c r="AA67" s="3057"/>
      <c r="AB67" s="3057"/>
      <c r="AC67" s="3057"/>
      <c r="AD67" s="3057"/>
      <c r="AE67" s="3058"/>
      <c r="AG67" s="2200"/>
      <c r="AH67" t="b">
        <f>AH91</f>
        <v>0</v>
      </c>
    </row>
    <row r="68" spans="1:34" ht="13.5" customHeight="1">
      <c r="A68" s="3054"/>
      <c r="B68" s="1728" t="s">
        <v>921</v>
      </c>
      <c r="C68" s="1728"/>
      <c r="D68" s="1729" t="s">
        <v>922</v>
      </c>
      <c r="E68" s="1730"/>
      <c r="F68" s="1731" t="s">
        <v>923</v>
      </c>
      <c r="G68" s="1728"/>
      <c r="H68" s="1731" t="s">
        <v>921</v>
      </c>
      <c r="I68" s="1728"/>
      <c r="J68" s="1729" t="s">
        <v>922</v>
      </c>
      <c r="K68" s="1730"/>
      <c r="L68" s="1731" t="s">
        <v>923</v>
      </c>
      <c r="M68" s="1728"/>
      <c r="N68" s="1731" t="s">
        <v>921</v>
      </c>
      <c r="O68" s="1728"/>
      <c r="P68" s="1729" t="s">
        <v>922</v>
      </c>
      <c r="Q68" s="1730"/>
      <c r="R68" s="1731" t="s">
        <v>923</v>
      </c>
      <c r="S68" s="1728"/>
      <c r="T68" s="1731" t="s">
        <v>921</v>
      </c>
      <c r="U68" s="1728"/>
      <c r="V68" s="1729" t="s">
        <v>922</v>
      </c>
      <c r="W68" s="1730"/>
      <c r="X68" s="1731" t="s">
        <v>923</v>
      </c>
      <c r="Y68" s="1728"/>
      <c r="Z68" s="1731" t="s">
        <v>921</v>
      </c>
      <c r="AA68" s="1728"/>
      <c r="AB68" s="1729" t="s">
        <v>922</v>
      </c>
      <c r="AC68" s="1730"/>
      <c r="AD68" s="1731" t="s">
        <v>923</v>
      </c>
      <c r="AE68" s="1730"/>
      <c r="AF68" s="195"/>
      <c r="AG68" s="2200"/>
      <c r="AH68" t="b">
        <f>AH91</f>
        <v>0</v>
      </c>
    </row>
    <row r="69" spans="1:34" ht="13.5" customHeight="1">
      <c r="A69" s="3054"/>
      <c r="B69" s="3059"/>
      <c r="C69" s="3060"/>
      <c r="D69" s="3061"/>
      <c r="E69" s="3062"/>
      <c r="F69" s="2243">
        <f t="shared" ref="F69:F84" si="12">ROUNDDOWN(B69*D69,2)</f>
        <v>0</v>
      </c>
      <c r="G69" s="2245"/>
      <c r="H69" s="3065"/>
      <c r="I69" s="3066"/>
      <c r="J69" s="3061"/>
      <c r="K69" s="3062"/>
      <c r="L69" s="2243">
        <f t="shared" ref="L69:L84" si="13">ROUNDDOWN(H69*J69,2)</f>
        <v>0</v>
      </c>
      <c r="M69" s="2245"/>
      <c r="N69" s="3065"/>
      <c r="O69" s="3066"/>
      <c r="P69" s="3061"/>
      <c r="Q69" s="3062"/>
      <c r="R69" s="2243">
        <f t="shared" ref="R69:R84" si="14">ROUNDDOWN(N69*P69,2)</f>
        <v>0</v>
      </c>
      <c r="S69" s="2245"/>
      <c r="T69" s="3065"/>
      <c r="U69" s="3060"/>
      <c r="V69" s="3061"/>
      <c r="W69" s="3062"/>
      <c r="X69" s="2243">
        <f t="shared" ref="X69:X84" si="15">ROUNDDOWN(T69*V69,2)</f>
        <v>0</v>
      </c>
      <c r="Y69" s="2245"/>
      <c r="Z69" s="3065"/>
      <c r="AA69" s="3060"/>
      <c r="AB69" s="3059"/>
      <c r="AC69" s="3062"/>
      <c r="AD69" s="3063">
        <f t="shared" ref="AD69:AD84" si="16">ROUNDDOWN(Z69*AB69,2)</f>
        <v>0</v>
      </c>
      <c r="AE69" s="3064"/>
      <c r="AF69" s="2"/>
      <c r="AG69" s="2200"/>
      <c r="AH69" t="b">
        <f t="shared" ref="AH69:AH84" si="17">SUM(B69:AE69)&lt;&gt;0</f>
        <v>0</v>
      </c>
    </row>
    <row r="70" spans="1:34" ht="13.5" customHeight="1">
      <c r="A70" s="3054"/>
      <c r="B70" s="3043"/>
      <c r="C70" s="3044"/>
      <c r="D70" s="3045"/>
      <c r="E70" s="3046"/>
      <c r="F70" s="2203">
        <f t="shared" si="12"/>
        <v>0</v>
      </c>
      <c r="G70" s="2205"/>
      <c r="H70" s="3047"/>
      <c r="I70" s="3048"/>
      <c r="J70" s="3045"/>
      <c r="K70" s="3046"/>
      <c r="L70" s="2203">
        <f t="shared" si="13"/>
        <v>0</v>
      </c>
      <c r="M70" s="2205"/>
      <c r="N70" s="3047"/>
      <c r="O70" s="3048"/>
      <c r="P70" s="3045"/>
      <c r="Q70" s="3046"/>
      <c r="R70" s="2203">
        <f t="shared" si="14"/>
        <v>0</v>
      </c>
      <c r="S70" s="2205"/>
      <c r="T70" s="3047"/>
      <c r="U70" s="3044"/>
      <c r="V70" s="3045"/>
      <c r="W70" s="3046"/>
      <c r="X70" s="2203">
        <f t="shared" si="15"/>
        <v>0</v>
      </c>
      <c r="Y70" s="2205"/>
      <c r="Z70" s="3047"/>
      <c r="AA70" s="3044"/>
      <c r="AB70" s="3043"/>
      <c r="AC70" s="3046"/>
      <c r="AD70" s="2203">
        <f t="shared" si="16"/>
        <v>0</v>
      </c>
      <c r="AE70" s="2205"/>
      <c r="AF70" s="2"/>
      <c r="AG70" s="2200"/>
      <c r="AH70" t="b">
        <f t="shared" si="17"/>
        <v>0</v>
      </c>
    </row>
    <row r="71" spans="1:34" ht="13.5" customHeight="1">
      <c r="A71" s="3054"/>
      <c r="B71" s="3043"/>
      <c r="C71" s="3044"/>
      <c r="D71" s="3045"/>
      <c r="E71" s="3046"/>
      <c r="F71" s="2203">
        <f t="shared" si="12"/>
        <v>0</v>
      </c>
      <c r="G71" s="2205"/>
      <c r="H71" s="3047"/>
      <c r="I71" s="3048"/>
      <c r="J71" s="3045"/>
      <c r="K71" s="3046"/>
      <c r="L71" s="2203">
        <f t="shared" si="13"/>
        <v>0</v>
      </c>
      <c r="M71" s="2205"/>
      <c r="N71" s="3047"/>
      <c r="O71" s="3048"/>
      <c r="P71" s="3045"/>
      <c r="Q71" s="3046"/>
      <c r="R71" s="2203">
        <f t="shared" si="14"/>
        <v>0</v>
      </c>
      <c r="S71" s="2205"/>
      <c r="T71" s="3047"/>
      <c r="U71" s="3044"/>
      <c r="V71" s="3045"/>
      <c r="W71" s="3046"/>
      <c r="X71" s="2203">
        <f t="shared" si="15"/>
        <v>0</v>
      </c>
      <c r="Y71" s="2205"/>
      <c r="Z71" s="3047"/>
      <c r="AA71" s="3044"/>
      <c r="AB71" s="3043"/>
      <c r="AC71" s="3046"/>
      <c r="AD71" s="2203">
        <f t="shared" si="16"/>
        <v>0</v>
      </c>
      <c r="AE71" s="2205"/>
      <c r="AF71" s="2"/>
      <c r="AG71" s="2200"/>
      <c r="AH71" t="b">
        <f t="shared" si="17"/>
        <v>0</v>
      </c>
    </row>
    <row r="72" spans="1:34" ht="13.5" customHeight="1">
      <c r="A72" s="3054"/>
      <c r="B72" s="3043"/>
      <c r="C72" s="3044"/>
      <c r="D72" s="3045"/>
      <c r="E72" s="3046"/>
      <c r="F72" s="2203">
        <f t="shared" si="12"/>
        <v>0</v>
      </c>
      <c r="G72" s="2205"/>
      <c r="H72" s="3047"/>
      <c r="I72" s="3048"/>
      <c r="J72" s="3045"/>
      <c r="K72" s="3046"/>
      <c r="L72" s="2203">
        <f t="shared" si="13"/>
        <v>0</v>
      </c>
      <c r="M72" s="2205"/>
      <c r="N72" s="3047"/>
      <c r="O72" s="3048"/>
      <c r="P72" s="3045"/>
      <c r="Q72" s="3046"/>
      <c r="R72" s="2203">
        <f t="shared" si="14"/>
        <v>0</v>
      </c>
      <c r="S72" s="2205"/>
      <c r="T72" s="3047"/>
      <c r="U72" s="3044"/>
      <c r="V72" s="3045"/>
      <c r="W72" s="3046"/>
      <c r="X72" s="2203">
        <f t="shared" si="15"/>
        <v>0</v>
      </c>
      <c r="Y72" s="2205"/>
      <c r="Z72" s="3047"/>
      <c r="AA72" s="3044"/>
      <c r="AB72" s="3043"/>
      <c r="AC72" s="3046"/>
      <c r="AD72" s="2203">
        <f t="shared" si="16"/>
        <v>0</v>
      </c>
      <c r="AE72" s="2205"/>
      <c r="AF72" s="2"/>
      <c r="AG72" s="2200"/>
      <c r="AH72" t="b">
        <f t="shared" si="17"/>
        <v>0</v>
      </c>
    </row>
    <row r="73" spans="1:34" ht="13.5" customHeight="1">
      <c r="A73" s="3054"/>
      <c r="B73" s="3043"/>
      <c r="C73" s="3044"/>
      <c r="D73" s="3045"/>
      <c r="E73" s="3046"/>
      <c r="F73" s="2203">
        <f t="shared" si="12"/>
        <v>0</v>
      </c>
      <c r="G73" s="2205"/>
      <c r="H73" s="3047"/>
      <c r="I73" s="3048"/>
      <c r="J73" s="3045"/>
      <c r="K73" s="3046"/>
      <c r="L73" s="2203">
        <f t="shared" si="13"/>
        <v>0</v>
      </c>
      <c r="M73" s="2205"/>
      <c r="N73" s="3047"/>
      <c r="O73" s="3048"/>
      <c r="P73" s="3045"/>
      <c r="Q73" s="3046"/>
      <c r="R73" s="2203">
        <f t="shared" si="14"/>
        <v>0</v>
      </c>
      <c r="S73" s="2205"/>
      <c r="T73" s="3047"/>
      <c r="U73" s="3044"/>
      <c r="V73" s="3045"/>
      <c r="W73" s="3046"/>
      <c r="X73" s="2203">
        <f t="shared" si="15"/>
        <v>0</v>
      </c>
      <c r="Y73" s="2205"/>
      <c r="Z73" s="3047"/>
      <c r="AA73" s="3044"/>
      <c r="AB73" s="3043"/>
      <c r="AC73" s="3046"/>
      <c r="AD73" s="2203">
        <f t="shared" si="16"/>
        <v>0</v>
      </c>
      <c r="AE73" s="2205"/>
      <c r="AF73" s="2"/>
      <c r="AG73" s="2200"/>
      <c r="AH73" t="b">
        <f t="shared" si="17"/>
        <v>0</v>
      </c>
    </row>
    <row r="74" spans="1:34" ht="13.5" customHeight="1">
      <c r="A74" s="3054"/>
      <c r="B74" s="3043"/>
      <c r="C74" s="3044"/>
      <c r="D74" s="3045"/>
      <c r="E74" s="3046"/>
      <c r="F74" s="2203">
        <f t="shared" si="12"/>
        <v>0</v>
      </c>
      <c r="G74" s="2205"/>
      <c r="H74" s="3047"/>
      <c r="I74" s="3048"/>
      <c r="J74" s="3045"/>
      <c r="K74" s="3046"/>
      <c r="L74" s="2203">
        <f t="shared" si="13"/>
        <v>0</v>
      </c>
      <c r="M74" s="2205"/>
      <c r="N74" s="3047"/>
      <c r="O74" s="3048"/>
      <c r="P74" s="3045"/>
      <c r="Q74" s="3046"/>
      <c r="R74" s="2203">
        <f t="shared" si="14"/>
        <v>0</v>
      </c>
      <c r="S74" s="2205"/>
      <c r="T74" s="3047"/>
      <c r="U74" s="3044"/>
      <c r="V74" s="3045"/>
      <c r="W74" s="3046"/>
      <c r="X74" s="2203">
        <f t="shared" si="15"/>
        <v>0</v>
      </c>
      <c r="Y74" s="2205"/>
      <c r="Z74" s="3047"/>
      <c r="AA74" s="3044"/>
      <c r="AB74" s="3043"/>
      <c r="AC74" s="3046"/>
      <c r="AD74" s="2203">
        <f t="shared" si="16"/>
        <v>0</v>
      </c>
      <c r="AE74" s="2205"/>
      <c r="AF74" s="2"/>
      <c r="AG74" s="2200"/>
      <c r="AH74" t="b">
        <f t="shared" si="17"/>
        <v>0</v>
      </c>
    </row>
    <row r="75" spans="1:34" ht="13.5" customHeight="1">
      <c r="A75" s="3054"/>
      <c r="B75" s="3043"/>
      <c r="C75" s="3044"/>
      <c r="D75" s="3045"/>
      <c r="E75" s="3046"/>
      <c r="F75" s="2203">
        <f t="shared" si="12"/>
        <v>0</v>
      </c>
      <c r="G75" s="2205"/>
      <c r="H75" s="3047"/>
      <c r="I75" s="3048"/>
      <c r="J75" s="3045"/>
      <c r="K75" s="3046"/>
      <c r="L75" s="2203">
        <f t="shared" si="13"/>
        <v>0</v>
      </c>
      <c r="M75" s="2205"/>
      <c r="N75" s="3047"/>
      <c r="O75" s="3048"/>
      <c r="P75" s="3045"/>
      <c r="Q75" s="3046"/>
      <c r="R75" s="2203">
        <f t="shared" si="14"/>
        <v>0</v>
      </c>
      <c r="S75" s="2205"/>
      <c r="T75" s="3047"/>
      <c r="U75" s="3044"/>
      <c r="V75" s="3045"/>
      <c r="W75" s="3046"/>
      <c r="X75" s="2203">
        <f t="shared" si="15"/>
        <v>0</v>
      </c>
      <c r="Y75" s="2205"/>
      <c r="Z75" s="3047"/>
      <c r="AA75" s="3044"/>
      <c r="AB75" s="3043"/>
      <c r="AC75" s="3046"/>
      <c r="AD75" s="2203">
        <f t="shared" si="16"/>
        <v>0</v>
      </c>
      <c r="AE75" s="2205"/>
      <c r="AF75" s="2"/>
      <c r="AG75" s="2200"/>
      <c r="AH75" t="b">
        <f t="shared" si="17"/>
        <v>0</v>
      </c>
    </row>
    <row r="76" spans="1:34" ht="13.5" customHeight="1">
      <c r="A76" s="3054"/>
      <c r="B76" s="3043"/>
      <c r="C76" s="3044"/>
      <c r="D76" s="3045"/>
      <c r="E76" s="3046"/>
      <c r="F76" s="2203">
        <f t="shared" si="12"/>
        <v>0</v>
      </c>
      <c r="G76" s="2205"/>
      <c r="H76" s="3047"/>
      <c r="I76" s="3048"/>
      <c r="J76" s="3045"/>
      <c r="K76" s="3046"/>
      <c r="L76" s="2203">
        <f t="shared" si="13"/>
        <v>0</v>
      </c>
      <c r="M76" s="2205"/>
      <c r="N76" s="3047"/>
      <c r="O76" s="3048"/>
      <c r="P76" s="3045"/>
      <c r="Q76" s="3046"/>
      <c r="R76" s="2203">
        <f t="shared" si="14"/>
        <v>0</v>
      </c>
      <c r="S76" s="2205"/>
      <c r="T76" s="3047"/>
      <c r="U76" s="3044"/>
      <c r="V76" s="3045"/>
      <c r="W76" s="3046"/>
      <c r="X76" s="2203">
        <f t="shared" si="15"/>
        <v>0</v>
      </c>
      <c r="Y76" s="2205"/>
      <c r="Z76" s="3047"/>
      <c r="AA76" s="3044"/>
      <c r="AB76" s="3043"/>
      <c r="AC76" s="3046"/>
      <c r="AD76" s="2203">
        <f t="shared" si="16"/>
        <v>0</v>
      </c>
      <c r="AE76" s="2205"/>
      <c r="AF76" s="2"/>
      <c r="AG76" s="2200"/>
      <c r="AH76" t="b">
        <f t="shared" si="17"/>
        <v>0</v>
      </c>
    </row>
    <row r="77" spans="1:34" ht="13.5" customHeight="1">
      <c r="A77" s="3054"/>
      <c r="B77" s="3043"/>
      <c r="C77" s="3044"/>
      <c r="D77" s="3045"/>
      <c r="E77" s="3046"/>
      <c r="F77" s="2203">
        <f t="shared" si="12"/>
        <v>0</v>
      </c>
      <c r="G77" s="2205"/>
      <c r="H77" s="3047"/>
      <c r="I77" s="3048"/>
      <c r="J77" s="3045"/>
      <c r="K77" s="3046"/>
      <c r="L77" s="2203">
        <f t="shared" si="13"/>
        <v>0</v>
      </c>
      <c r="M77" s="2205"/>
      <c r="N77" s="3047"/>
      <c r="O77" s="3048"/>
      <c r="P77" s="3045"/>
      <c r="Q77" s="3046"/>
      <c r="R77" s="2203">
        <f t="shared" si="14"/>
        <v>0</v>
      </c>
      <c r="S77" s="2205"/>
      <c r="T77" s="3047"/>
      <c r="U77" s="3044"/>
      <c r="V77" s="3045"/>
      <c r="W77" s="3046"/>
      <c r="X77" s="2203">
        <f t="shared" si="15"/>
        <v>0</v>
      </c>
      <c r="Y77" s="2205"/>
      <c r="Z77" s="3047"/>
      <c r="AA77" s="3044"/>
      <c r="AB77" s="3043"/>
      <c r="AC77" s="3046"/>
      <c r="AD77" s="2203">
        <f t="shared" si="16"/>
        <v>0</v>
      </c>
      <c r="AE77" s="2205"/>
      <c r="AF77" s="2"/>
      <c r="AG77" s="2200"/>
      <c r="AH77" t="b">
        <f t="shared" si="17"/>
        <v>0</v>
      </c>
    </row>
    <row r="78" spans="1:34" ht="13.5" customHeight="1">
      <c r="A78" s="3054"/>
      <c r="B78" s="3043"/>
      <c r="C78" s="3044"/>
      <c r="D78" s="3045"/>
      <c r="E78" s="3046"/>
      <c r="F78" s="2203">
        <f t="shared" si="12"/>
        <v>0</v>
      </c>
      <c r="G78" s="2205"/>
      <c r="H78" s="3047"/>
      <c r="I78" s="3048"/>
      <c r="J78" s="3045"/>
      <c r="K78" s="3046"/>
      <c r="L78" s="2203">
        <f t="shared" si="13"/>
        <v>0</v>
      </c>
      <c r="M78" s="2205"/>
      <c r="N78" s="3047"/>
      <c r="O78" s="3048"/>
      <c r="P78" s="3045"/>
      <c r="Q78" s="3046"/>
      <c r="R78" s="2203">
        <f t="shared" si="14"/>
        <v>0</v>
      </c>
      <c r="S78" s="2205"/>
      <c r="T78" s="3047"/>
      <c r="U78" s="3044"/>
      <c r="V78" s="3045"/>
      <c r="W78" s="3046"/>
      <c r="X78" s="2203">
        <f t="shared" si="15"/>
        <v>0</v>
      </c>
      <c r="Y78" s="2205"/>
      <c r="Z78" s="3047"/>
      <c r="AA78" s="3044"/>
      <c r="AB78" s="3043"/>
      <c r="AC78" s="3046"/>
      <c r="AD78" s="2203">
        <f t="shared" si="16"/>
        <v>0</v>
      </c>
      <c r="AE78" s="2205"/>
      <c r="AF78" s="2"/>
      <c r="AG78" s="2200"/>
      <c r="AH78" t="b">
        <f t="shared" si="17"/>
        <v>0</v>
      </c>
    </row>
    <row r="79" spans="1:34" ht="13.5" customHeight="1">
      <c r="A79" s="3054"/>
      <c r="B79" s="3043"/>
      <c r="C79" s="3044"/>
      <c r="D79" s="3045"/>
      <c r="E79" s="3046"/>
      <c r="F79" s="2203">
        <f t="shared" si="12"/>
        <v>0</v>
      </c>
      <c r="G79" s="2205"/>
      <c r="H79" s="3047"/>
      <c r="I79" s="3048"/>
      <c r="J79" s="3045"/>
      <c r="K79" s="3046"/>
      <c r="L79" s="2203">
        <f t="shared" si="13"/>
        <v>0</v>
      </c>
      <c r="M79" s="2205"/>
      <c r="N79" s="3047"/>
      <c r="O79" s="3048"/>
      <c r="P79" s="3045"/>
      <c r="Q79" s="3046"/>
      <c r="R79" s="2203">
        <f t="shared" si="14"/>
        <v>0</v>
      </c>
      <c r="S79" s="2205"/>
      <c r="T79" s="3047"/>
      <c r="U79" s="3044"/>
      <c r="V79" s="3045"/>
      <c r="W79" s="3046"/>
      <c r="X79" s="2203">
        <f t="shared" si="15"/>
        <v>0</v>
      </c>
      <c r="Y79" s="2205"/>
      <c r="Z79" s="3047"/>
      <c r="AA79" s="3044"/>
      <c r="AB79" s="3043"/>
      <c r="AC79" s="3046"/>
      <c r="AD79" s="2203">
        <f t="shared" si="16"/>
        <v>0</v>
      </c>
      <c r="AE79" s="2205"/>
      <c r="AF79" s="2"/>
      <c r="AG79" s="2200"/>
      <c r="AH79" t="b">
        <f t="shared" si="17"/>
        <v>0</v>
      </c>
    </row>
    <row r="80" spans="1:34" ht="13.5" customHeight="1">
      <c r="A80" s="3054"/>
      <c r="B80" s="3043"/>
      <c r="C80" s="3044"/>
      <c r="D80" s="3045"/>
      <c r="E80" s="3046"/>
      <c r="F80" s="2203">
        <f t="shared" si="12"/>
        <v>0</v>
      </c>
      <c r="G80" s="2205"/>
      <c r="H80" s="3047"/>
      <c r="I80" s="3048"/>
      <c r="J80" s="3045"/>
      <c r="K80" s="3046"/>
      <c r="L80" s="2203">
        <f t="shared" si="13"/>
        <v>0</v>
      </c>
      <c r="M80" s="2205"/>
      <c r="N80" s="3047"/>
      <c r="O80" s="3048"/>
      <c r="P80" s="3045"/>
      <c r="Q80" s="3046"/>
      <c r="R80" s="2203">
        <f t="shared" si="14"/>
        <v>0</v>
      </c>
      <c r="S80" s="2205"/>
      <c r="T80" s="3047"/>
      <c r="U80" s="3044"/>
      <c r="V80" s="3045"/>
      <c r="W80" s="3046"/>
      <c r="X80" s="2203">
        <f t="shared" si="15"/>
        <v>0</v>
      </c>
      <c r="Y80" s="2205"/>
      <c r="Z80" s="3047"/>
      <c r="AA80" s="3044"/>
      <c r="AB80" s="3043"/>
      <c r="AC80" s="3046"/>
      <c r="AD80" s="2203">
        <f t="shared" si="16"/>
        <v>0</v>
      </c>
      <c r="AE80" s="2205"/>
      <c r="AF80" s="2"/>
      <c r="AG80" s="2200"/>
      <c r="AH80" t="b">
        <f t="shared" si="17"/>
        <v>0</v>
      </c>
    </row>
    <row r="81" spans="1:34" ht="13.5" customHeight="1">
      <c r="A81" s="3054"/>
      <c r="B81" s="3043"/>
      <c r="C81" s="3044"/>
      <c r="D81" s="3045"/>
      <c r="E81" s="3046"/>
      <c r="F81" s="2203">
        <f t="shared" si="12"/>
        <v>0</v>
      </c>
      <c r="G81" s="2205"/>
      <c r="H81" s="3047"/>
      <c r="I81" s="3048"/>
      <c r="J81" s="3045"/>
      <c r="K81" s="3046"/>
      <c r="L81" s="2203">
        <f t="shared" si="13"/>
        <v>0</v>
      </c>
      <c r="M81" s="2205"/>
      <c r="N81" s="3047"/>
      <c r="O81" s="3048"/>
      <c r="P81" s="3045"/>
      <c r="Q81" s="3046"/>
      <c r="R81" s="2203">
        <f t="shared" si="14"/>
        <v>0</v>
      </c>
      <c r="S81" s="2205"/>
      <c r="T81" s="3047"/>
      <c r="U81" s="3044"/>
      <c r="V81" s="3045"/>
      <c r="W81" s="3046"/>
      <c r="X81" s="2203">
        <f t="shared" si="15"/>
        <v>0</v>
      </c>
      <c r="Y81" s="2205"/>
      <c r="Z81" s="3047"/>
      <c r="AA81" s="3044"/>
      <c r="AB81" s="3043"/>
      <c r="AC81" s="3046"/>
      <c r="AD81" s="2203">
        <f t="shared" si="16"/>
        <v>0</v>
      </c>
      <c r="AE81" s="2205"/>
      <c r="AF81" s="2"/>
      <c r="AG81" s="2200"/>
      <c r="AH81" t="b">
        <f t="shared" si="17"/>
        <v>0</v>
      </c>
    </row>
    <row r="82" spans="1:34" ht="13.5" customHeight="1">
      <c r="A82" s="3054"/>
      <c r="B82" s="3043"/>
      <c r="C82" s="3044"/>
      <c r="D82" s="3045"/>
      <c r="E82" s="3046"/>
      <c r="F82" s="2203">
        <f t="shared" si="12"/>
        <v>0</v>
      </c>
      <c r="G82" s="2205"/>
      <c r="H82" s="3047"/>
      <c r="I82" s="3048"/>
      <c r="J82" s="3045"/>
      <c r="K82" s="3046"/>
      <c r="L82" s="2203">
        <f t="shared" si="13"/>
        <v>0</v>
      </c>
      <c r="M82" s="2205"/>
      <c r="N82" s="3047"/>
      <c r="O82" s="3048"/>
      <c r="P82" s="3045"/>
      <c r="Q82" s="3046"/>
      <c r="R82" s="2203">
        <f t="shared" si="14"/>
        <v>0</v>
      </c>
      <c r="S82" s="2205"/>
      <c r="T82" s="3047"/>
      <c r="U82" s="3044"/>
      <c r="V82" s="3045"/>
      <c r="W82" s="3046"/>
      <c r="X82" s="2203">
        <f t="shared" si="15"/>
        <v>0</v>
      </c>
      <c r="Y82" s="2205"/>
      <c r="Z82" s="3047"/>
      <c r="AA82" s="3044"/>
      <c r="AB82" s="3043"/>
      <c r="AC82" s="3046"/>
      <c r="AD82" s="2203">
        <f t="shared" si="16"/>
        <v>0</v>
      </c>
      <c r="AE82" s="2205"/>
      <c r="AF82" s="2"/>
      <c r="AG82" s="2200"/>
      <c r="AH82" t="b">
        <f t="shared" si="17"/>
        <v>0</v>
      </c>
    </row>
    <row r="83" spans="1:34" ht="13.5" customHeight="1">
      <c r="A83" s="3054"/>
      <c r="B83" s="3043"/>
      <c r="C83" s="3044"/>
      <c r="D83" s="3045"/>
      <c r="E83" s="3046"/>
      <c r="F83" s="2203">
        <f t="shared" si="12"/>
        <v>0</v>
      </c>
      <c r="G83" s="2205"/>
      <c r="H83" s="3047"/>
      <c r="I83" s="3048"/>
      <c r="J83" s="3045"/>
      <c r="K83" s="3046"/>
      <c r="L83" s="2203">
        <f t="shared" si="13"/>
        <v>0</v>
      </c>
      <c r="M83" s="2205"/>
      <c r="N83" s="3047"/>
      <c r="O83" s="3048"/>
      <c r="P83" s="3045"/>
      <c r="Q83" s="3046"/>
      <c r="R83" s="2203">
        <f t="shared" si="14"/>
        <v>0</v>
      </c>
      <c r="S83" s="2205"/>
      <c r="T83" s="3047"/>
      <c r="U83" s="3044"/>
      <c r="V83" s="3045"/>
      <c r="W83" s="3046"/>
      <c r="X83" s="2203">
        <f t="shared" si="15"/>
        <v>0</v>
      </c>
      <c r="Y83" s="2205"/>
      <c r="Z83" s="3047"/>
      <c r="AA83" s="3044"/>
      <c r="AB83" s="3043"/>
      <c r="AC83" s="3046"/>
      <c r="AD83" s="2203">
        <f t="shared" si="16"/>
        <v>0</v>
      </c>
      <c r="AE83" s="2205"/>
      <c r="AF83" s="2"/>
      <c r="AG83" s="2200"/>
      <c r="AH83" t="b">
        <f t="shared" si="17"/>
        <v>0</v>
      </c>
    </row>
    <row r="84" spans="1:34" ht="13.5" customHeight="1">
      <c r="A84" s="3055"/>
      <c r="B84" s="3050"/>
      <c r="C84" s="3038"/>
      <c r="D84" s="3039"/>
      <c r="E84" s="3040"/>
      <c r="F84" s="2359">
        <f t="shared" si="12"/>
        <v>0</v>
      </c>
      <c r="G84" s="2940"/>
      <c r="H84" s="3037"/>
      <c r="I84" s="3049"/>
      <c r="J84" s="3039"/>
      <c r="K84" s="3040"/>
      <c r="L84" s="2359">
        <f t="shared" si="13"/>
        <v>0</v>
      </c>
      <c r="M84" s="2940"/>
      <c r="N84" s="3037"/>
      <c r="O84" s="3049"/>
      <c r="P84" s="3039"/>
      <c r="Q84" s="3040"/>
      <c r="R84" s="2359">
        <f t="shared" si="14"/>
        <v>0</v>
      </c>
      <c r="S84" s="2940"/>
      <c r="T84" s="3037"/>
      <c r="U84" s="3038"/>
      <c r="V84" s="3039"/>
      <c r="W84" s="3040"/>
      <c r="X84" s="2359">
        <f t="shared" si="15"/>
        <v>0</v>
      </c>
      <c r="Y84" s="2940"/>
      <c r="Z84" s="3051"/>
      <c r="AA84" s="3052"/>
      <c r="AB84" s="3041"/>
      <c r="AC84" s="3042"/>
      <c r="AD84" s="2359">
        <f t="shared" si="16"/>
        <v>0</v>
      </c>
      <c r="AE84" s="2940"/>
      <c r="AF84" s="2"/>
      <c r="AG84" s="2200"/>
      <c r="AH84" t="b">
        <f t="shared" si="17"/>
        <v>0</v>
      </c>
    </row>
    <row r="85" spans="1:34" ht="13.5" customHeight="1">
      <c r="A85" s="1733" t="s">
        <v>931</v>
      </c>
      <c r="B85" s="3034"/>
      <c r="C85" s="3035"/>
      <c r="D85" s="3035"/>
      <c r="E85" s="3035"/>
      <c r="F85" s="3035"/>
      <c r="G85" s="3036"/>
      <c r="H85" s="3034"/>
      <c r="I85" s="3035"/>
      <c r="J85" s="3035"/>
      <c r="K85" s="3035"/>
      <c r="L85" s="3035"/>
      <c r="M85" s="3036"/>
      <c r="N85" s="3034"/>
      <c r="O85" s="3035"/>
      <c r="P85" s="3035"/>
      <c r="Q85" s="3035"/>
      <c r="R85" s="3035"/>
      <c r="S85" s="3036"/>
      <c r="T85" s="3034"/>
      <c r="U85" s="3035"/>
      <c r="V85" s="3035"/>
      <c r="W85" s="3035"/>
      <c r="X85" s="3035"/>
      <c r="Y85" s="3036"/>
      <c r="Z85" s="3034"/>
      <c r="AA85" s="3035"/>
      <c r="AB85" s="3035"/>
      <c r="AC85" s="3035"/>
      <c r="AD85" s="3035"/>
      <c r="AE85" s="3036"/>
      <c r="AF85" s="195"/>
      <c r="AG85" s="2200"/>
      <c r="AH85" t="b">
        <f>AH91</f>
        <v>0</v>
      </c>
    </row>
    <row r="86" spans="1:34" ht="13.5" customHeight="1">
      <c r="A86" s="1735" t="s">
        <v>1511</v>
      </c>
      <c r="B86" s="3020"/>
      <c r="C86" s="3021"/>
      <c r="D86" s="3021"/>
      <c r="E86" s="3021"/>
      <c r="F86" s="3021"/>
      <c r="G86" s="3022"/>
      <c r="H86" s="3020"/>
      <c r="I86" s="3021"/>
      <c r="J86" s="3021"/>
      <c r="K86" s="3021"/>
      <c r="L86" s="3021"/>
      <c r="M86" s="3022"/>
      <c r="N86" s="3020"/>
      <c r="O86" s="3021"/>
      <c r="P86" s="3021"/>
      <c r="Q86" s="3021"/>
      <c r="R86" s="3021"/>
      <c r="S86" s="3022"/>
      <c r="T86" s="3020"/>
      <c r="U86" s="3021"/>
      <c r="V86" s="3021"/>
      <c r="W86" s="3021"/>
      <c r="X86" s="3021"/>
      <c r="Y86" s="3022"/>
      <c r="Z86" s="3020"/>
      <c r="AA86" s="3021"/>
      <c r="AB86" s="3021"/>
      <c r="AC86" s="3021"/>
      <c r="AD86" s="3021"/>
      <c r="AE86" s="3022"/>
      <c r="AF86" s="195"/>
      <c r="AG86" s="2200"/>
      <c r="AH86" t="b">
        <f>AH91</f>
        <v>0</v>
      </c>
    </row>
    <row r="87" spans="1:34" ht="13.5" customHeight="1">
      <c r="A87" s="1736" t="s">
        <v>1512</v>
      </c>
      <c r="B87" s="3017"/>
      <c r="C87" s="3018"/>
      <c r="D87" s="3018"/>
      <c r="E87" s="3018"/>
      <c r="F87" s="3018"/>
      <c r="G87" s="3019"/>
      <c r="H87" s="3017"/>
      <c r="I87" s="3018"/>
      <c r="J87" s="3018"/>
      <c r="K87" s="3018"/>
      <c r="L87" s="3018"/>
      <c r="M87" s="3019"/>
      <c r="N87" s="3017"/>
      <c r="O87" s="3018"/>
      <c r="P87" s="3018"/>
      <c r="Q87" s="3018"/>
      <c r="R87" s="3018"/>
      <c r="S87" s="3019"/>
      <c r="T87" s="3017"/>
      <c r="U87" s="3018"/>
      <c r="V87" s="3018"/>
      <c r="W87" s="3018"/>
      <c r="X87" s="3018"/>
      <c r="Y87" s="3019"/>
      <c r="Z87" s="3017"/>
      <c r="AA87" s="3018"/>
      <c r="AB87" s="3018"/>
      <c r="AC87" s="3018"/>
      <c r="AD87" s="3018"/>
      <c r="AE87" s="3019"/>
      <c r="AF87" s="195"/>
      <c r="AG87" s="2200"/>
      <c r="AH87" t="b">
        <f>AH91</f>
        <v>0</v>
      </c>
    </row>
    <row r="88" spans="1:34" ht="13.5" customHeight="1">
      <c r="A88" s="1733" t="s">
        <v>925</v>
      </c>
      <c r="B88" s="3028">
        <f>SUM(F69:F84)</f>
        <v>0</v>
      </c>
      <c r="C88" s="3029"/>
      <c r="D88" s="3029"/>
      <c r="E88" s="3029"/>
      <c r="F88" s="3029"/>
      <c r="G88" s="3030"/>
      <c r="H88" s="3028">
        <f>SUM(L69:L84)</f>
        <v>0</v>
      </c>
      <c r="I88" s="3029"/>
      <c r="J88" s="3029"/>
      <c r="K88" s="3029"/>
      <c r="L88" s="3029"/>
      <c r="M88" s="3030"/>
      <c r="N88" s="3028">
        <f>SUM(R69:R84)</f>
        <v>0</v>
      </c>
      <c r="O88" s="3029"/>
      <c r="P88" s="3029"/>
      <c r="Q88" s="3029"/>
      <c r="R88" s="3029"/>
      <c r="S88" s="3030"/>
      <c r="T88" s="3028">
        <f>SUM(X69:X84)</f>
        <v>0</v>
      </c>
      <c r="U88" s="3029"/>
      <c r="V88" s="3029"/>
      <c r="W88" s="3029"/>
      <c r="X88" s="3029"/>
      <c r="Y88" s="3030"/>
      <c r="Z88" s="3028">
        <f>SUM(AD69:AD84)</f>
        <v>0</v>
      </c>
      <c r="AA88" s="3029"/>
      <c r="AB88" s="3029"/>
      <c r="AC88" s="3029"/>
      <c r="AD88" s="3029"/>
      <c r="AE88" s="3030"/>
      <c r="AF88" s="2"/>
      <c r="AG88" s="2200"/>
      <c r="AH88" t="b">
        <f>AH91</f>
        <v>0</v>
      </c>
    </row>
    <row r="89" spans="1:34" ht="14.25" customHeight="1" thickBot="1">
      <c r="A89" s="1734" t="s">
        <v>1508</v>
      </c>
      <c r="B89" s="3025"/>
      <c r="C89" s="3026"/>
      <c r="D89" s="3026"/>
      <c r="E89" s="776" t="s">
        <v>1509</v>
      </c>
      <c r="F89" s="3023"/>
      <c r="G89" s="3024"/>
      <c r="H89" s="3025"/>
      <c r="I89" s="3026"/>
      <c r="J89" s="3026"/>
      <c r="K89" s="776" t="s">
        <v>1509</v>
      </c>
      <c r="L89" s="3023"/>
      <c r="M89" s="3024"/>
      <c r="N89" s="3025"/>
      <c r="O89" s="3026"/>
      <c r="P89" s="3026"/>
      <c r="Q89" s="776" t="s">
        <v>1509</v>
      </c>
      <c r="R89" s="3023"/>
      <c r="S89" s="3024"/>
      <c r="T89" s="3025"/>
      <c r="U89" s="3026"/>
      <c r="V89" s="3026"/>
      <c r="W89" s="776" t="s">
        <v>1509</v>
      </c>
      <c r="X89" s="3023"/>
      <c r="Y89" s="3024"/>
      <c r="Z89" s="3025"/>
      <c r="AA89" s="3026"/>
      <c r="AB89" s="3026"/>
      <c r="AC89" s="776" t="s">
        <v>1509</v>
      </c>
      <c r="AD89" s="3023"/>
      <c r="AE89" s="3024"/>
      <c r="AF89" s="2"/>
      <c r="AG89" s="2200"/>
      <c r="AH89" t="b">
        <f>+AH91</f>
        <v>0</v>
      </c>
    </row>
    <row r="90" spans="1:34" ht="13.5" customHeight="1">
      <c r="A90" s="1733" t="s">
        <v>926</v>
      </c>
      <c r="B90" s="3031"/>
      <c r="C90" s="3032"/>
      <c r="D90" s="3032"/>
      <c r="E90" s="3032"/>
      <c r="F90" s="3032"/>
      <c r="G90" s="3033"/>
      <c r="H90" s="3031"/>
      <c r="I90" s="3032"/>
      <c r="J90" s="3032"/>
      <c r="K90" s="3032"/>
      <c r="L90" s="3032"/>
      <c r="M90" s="3033"/>
      <c r="N90" s="3031"/>
      <c r="O90" s="3032"/>
      <c r="P90" s="3032"/>
      <c r="Q90" s="3032"/>
      <c r="R90" s="3032"/>
      <c r="S90" s="3033"/>
      <c r="T90" s="3031"/>
      <c r="U90" s="3032"/>
      <c r="V90" s="3032"/>
      <c r="W90" s="3032"/>
      <c r="X90" s="3032"/>
      <c r="Y90" s="3033"/>
      <c r="Z90" s="3031"/>
      <c r="AA90" s="3032"/>
      <c r="AB90" s="3032"/>
      <c r="AC90" s="3032"/>
      <c r="AD90" s="3032"/>
      <c r="AE90" s="3032"/>
      <c r="AF90" s="1732" t="s">
        <v>932</v>
      </c>
      <c r="AG90" s="2200"/>
      <c r="AH90" t="b">
        <f>AH91</f>
        <v>0</v>
      </c>
    </row>
    <row r="91" spans="1:34" ht="13.5" customHeight="1" thickBot="1">
      <c r="A91" s="1733" t="s">
        <v>933</v>
      </c>
      <c r="B91" s="2543">
        <f>ROUNDDOWN(B88*IF(F89&lt;&gt;0,SQRT(B89^2+F89^2)/F89,1)-B90,2)</f>
        <v>0</v>
      </c>
      <c r="C91" s="2544"/>
      <c r="D91" s="2544"/>
      <c r="E91" s="2544"/>
      <c r="F91" s="2544"/>
      <c r="G91" s="3027"/>
      <c r="H91" s="2543">
        <f>ROUNDDOWN(H88*IF(L89&lt;&gt;0,SQRT(H89^2+L89^2)/L89,1)-H90,2)</f>
        <v>0</v>
      </c>
      <c r="I91" s="2544"/>
      <c r="J91" s="2544"/>
      <c r="K91" s="2544"/>
      <c r="L91" s="2544"/>
      <c r="M91" s="3027"/>
      <c r="N91" s="2543">
        <f>ROUNDDOWN(N88*IF(R89&lt;&gt;0,SQRT(N89^2+R89^2)/R89,1)-N90,2)</f>
        <v>0</v>
      </c>
      <c r="O91" s="2544"/>
      <c r="P91" s="2544"/>
      <c r="Q91" s="2544"/>
      <c r="R91" s="2544"/>
      <c r="S91" s="3027"/>
      <c r="T91" s="2543">
        <f>ROUNDDOWN(T88*IF(X89&lt;&gt;0,SQRT(T89^2+X89^2)/X89,1)-T90,2)</f>
        <v>0</v>
      </c>
      <c r="U91" s="2544"/>
      <c r="V91" s="2544"/>
      <c r="W91" s="2544"/>
      <c r="X91" s="2544"/>
      <c r="Y91" s="3027"/>
      <c r="Z91" s="2543">
        <f>ROUNDDOWN(Z88*IF(AD89&lt;&gt;0,SQRT(Z89^2+AD89^2)/AD89,1)-Z90,2)</f>
        <v>0</v>
      </c>
      <c r="AA91" s="2544"/>
      <c r="AB91" s="2544"/>
      <c r="AC91" s="2544"/>
      <c r="AD91" s="2544"/>
      <c r="AE91" s="3027"/>
      <c r="AF91" s="196">
        <f>SUMIF(B85:AE85,"*",B91:AE91)-SUMIF(B85:AE85,"無し",B91:AE91)+SUMIF(B111:AE111,"*",B117:AE117)-SUMIF(B111:AE111,"無し",B117:AE117)</f>
        <v>0</v>
      </c>
      <c r="AG91" s="2200"/>
      <c r="AH91" t="b">
        <f>SUM(A91:AF91)&lt;&gt;0</f>
        <v>0</v>
      </c>
    </row>
    <row r="92" spans="1:34" ht="13.5" customHeight="1">
      <c r="AG92" s="2200"/>
      <c r="AH92" t="b">
        <f>AH117</f>
        <v>0</v>
      </c>
    </row>
    <row r="93" spans="1:34" ht="13.5" customHeight="1">
      <c r="A93" s="3053" t="s">
        <v>934</v>
      </c>
      <c r="B93" s="3056" t="s">
        <v>920</v>
      </c>
      <c r="C93" s="3057"/>
      <c r="D93" s="3057"/>
      <c r="E93" s="3057"/>
      <c r="F93" s="3057"/>
      <c r="G93" s="3058"/>
      <c r="H93" s="3056" t="s">
        <v>920</v>
      </c>
      <c r="I93" s="3057"/>
      <c r="J93" s="3057"/>
      <c r="K93" s="3057"/>
      <c r="L93" s="3057"/>
      <c r="M93" s="3058"/>
      <c r="N93" s="3056" t="s">
        <v>920</v>
      </c>
      <c r="O93" s="3057"/>
      <c r="P93" s="3057"/>
      <c r="Q93" s="3057"/>
      <c r="R93" s="3057"/>
      <c r="S93" s="3058"/>
      <c r="T93" s="3056" t="s">
        <v>920</v>
      </c>
      <c r="U93" s="3057"/>
      <c r="V93" s="3057"/>
      <c r="W93" s="3057"/>
      <c r="X93" s="3057"/>
      <c r="Y93" s="3058"/>
      <c r="Z93" s="3056" t="s">
        <v>920</v>
      </c>
      <c r="AA93" s="3057"/>
      <c r="AB93" s="3057"/>
      <c r="AC93" s="3057"/>
      <c r="AD93" s="3057"/>
      <c r="AE93" s="3058"/>
      <c r="AG93" s="2200"/>
      <c r="AH93" t="b">
        <f>AH117</f>
        <v>0</v>
      </c>
    </row>
    <row r="94" spans="1:34" ht="13.5" customHeight="1">
      <c r="A94" s="3054"/>
      <c r="B94" s="1728" t="s">
        <v>921</v>
      </c>
      <c r="C94" s="1728"/>
      <c r="D94" s="1729" t="s">
        <v>922</v>
      </c>
      <c r="E94" s="1730"/>
      <c r="F94" s="1731" t="s">
        <v>923</v>
      </c>
      <c r="G94" s="1728"/>
      <c r="H94" s="1731" t="s">
        <v>921</v>
      </c>
      <c r="I94" s="1728"/>
      <c r="J94" s="1729" t="s">
        <v>922</v>
      </c>
      <c r="K94" s="1730"/>
      <c r="L94" s="1731" t="s">
        <v>923</v>
      </c>
      <c r="M94" s="1728"/>
      <c r="N94" s="1731" t="s">
        <v>921</v>
      </c>
      <c r="O94" s="1728"/>
      <c r="P94" s="1729" t="s">
        <v>922</v>
      </c>
      <c r="Q94" s="1730"/>
      <c r="R94" s="1731" t="s">
        <v>923</v>
      </c>
      <c r="S94" s="1728"/>
      <c r="T94" s="1731" t="s">
        <v>921</v>
      </c>
      <c r="U94" s="1728"/>
      <c r="V94" s="1729" t="s">
        <v>922</v>
      </c>
      <c r="W94" s="1730"/>
      <c r="X94" s="1731" t="s">
        <v>923</v>
      </c>
      <c r="Y94" s="1728"/>
      <c r="Z94" s="1731" t="s">
        <v>921</v>
      </c>
      <c r="AA94" s="1728"/>
      <c r="AB94" s="1729" t="s">
        <v>922</v>
      </c>
      <c r="AC94" s="1730"/>
      <c r="AD94" s="1731" t="s">
        <v>923</v>
      </c>
      <c r="AE94" s="1730"/>
      <c r="AF94" s="195"/>
      <c r="AG94" s="2200"/>
      <c r="AH94" t="b">
        <f>AH117</f>
        <v>0</v>
      </c>
    </row>
    <row r="95" spans="1:34" ht="13.5" customHeight="1">
      <c r="A95" s="3054"/>
      <c r="B95" s="3059"/>
      <c r="C95" s="3060"/>
      <c r="D95" s="3061"/>
      <c r="E95" s="3062"/>
      <c r="F95" s="2243">
        <f t="shared" ref="F95:F110" si="18">ROUNDDOWN(B95*D95,2)</f>
        <v>0</v>
      </c>
      <c r="G95" s="2245"/>
      <c r="H95" s="3065"/>
      <c r="I95" s="3066"/>
      <c r="J95" s="3061"/>
      <c r="K95" s="3062"/>
      <c r="L95" s="2243">
        <f t="shared" ref="L95:L110" si="19">ROUNDDOWN(H95*J95,2)</f>
        <v>0</v>
      </c>
      <c r="M95" s="2245"/>
      <c r="N95" s="3065"/>
      <c r="O95" s="3066"/>
      <c r="P95" s="3061"/>
      <c r="Q95" s="3062"/>
      <c r="R95" s="2243">
        <f t="shared" ref="R95:R110" si="20">ROUNDDOWN(N95*P95,2)</f>
        <v>0</v>
      </c>
      <c r="S95" s="2245"/>
      <c r="T95" s="3065"/>
      <c r="U95" s="3060"/>
      <c r="V95" s="3061"/>
      <c r="W95" s="3062"/>
      <c r="X95" s="2243">
        <f t="shared" ref="X95:X110" si="21">ROUNDDOWN(T95*V95,2)</f>
        <v>0</v>
      </c>
      <c r="Y95" s="2245"/>
      <c r="Z95" s="3065"/>
      <c r="AA95" s="3060"/>
      <c r="AB95" s="3059"/>
      <c r="AC95" s="3062"/>
      <c r="AD95" s="3063">
        <f t="shared" ref="AD95:AD110" si="22">ROUNDDOWN(Z95*AB95,2)</f>
        <v>0</v>
      </c>
      <c r="AE95" s="3064"/>
      <c r="AF95" s="2"/>
      <c r="AG95" s="2200"/>
      <c r="AH95" t="b">
        <f t="shared" ref="AH95:AH110" si="23">SUM(B95:AE95)&lt;&gt;0</f>
        <v>0</v>
      </c>
    </row>
    <row r="96" spans="1:34" ht="13.5" customHeight="1">
      <c r="A96" s="3054"/>
      <c r="B96" s="3043"/>
      <c r="C96" s="3044"/>
      <c r="D96" s="3045"/>
      <c r="E96" s="3046"/>
      <c r="F96" s="2203">
        <f t="shared" si="18"/>
        <v>0</v>
      </c>
      <c r="G96" s="2205"/>
      <c r="H96" s="3047"/>
      <c r="I96" s="3048"/>
      <c r="J96" s="3045"/>
      <c r="K96" s="3046"/>
      <c r="L96" s="2203">
        <f t="shared" si="19"/>
        <v>0</v>
      </c>
      <c r="M96" s="2205"/>
      <c r="N96" s="3047"/>
      <c r="O96" s="3048"/>
      <c r="P96" s="3045"/>
      <c r="Q96" s="3046"/>
      <c r="R96" s="2203">
        <f t="shared" si="20"/>
        <v>0</v>
      </c>
      <c r="S96" s="2205"/>
      <c r="T96" s="3047"/>
      <c r="U96" s="3044"/>
      <c r="V96" s="3045"/>
      <c r="W96" s="3046"/>
      <c r="X96" s="2203">
        <f t="shared" si="21"/>
        <v>0</v>
      </c>
      <c r="Y96" s="2205"/>
      <c r="Z96" s="3047"/>
      <c r="AA96" s="3044"/>
      <c r="AB96" s="3043"/>
      <c r="AC96" s="3046"/>
      <c r="AD96" s="2203">
        <f t="shared" si="22"/>
        <v>0</v>
      </c>
      <c r="AE96" s="2205"/>
      <c r="AF96" s="2"/>
      <c r="AG96" s="2200"/>
      <c r="AH96" t="b">
        <f t="shared" si="23"/>
        <v>0</v>
      </c>
    </row>
    <row r="97" spans="1:34" ht="13.5" customHeight="1">
      <c r="A97" s="3054"/>
      <c r="B97" s="3043"/>
      <c r="C97" s="3044"/>
      <c r="D97" s="3045"/>
      <c r="E97" s="3046"/>
      <c r="F97" s="2203">
        <f t="shared" si="18"/>
        <v>0</v>
      </c>
      <c r="G97" s="2205"/>
      <c r="H97" s="3047"/>
      <c r="I97" s="3048"/>
      <c r="J97" s="3045"/>
      <c r="K97" s="3046"/>
      <c r="L97" s="2203">
        <f t="shared" si="19"/>
        <v>0</v>
      </c>
      <c r="M97" s="2205"/>
      <c r="N97" s="3047"/>
      <c r="O97" s="3048"/>
      <c r="P97" s="3045"/>
      <c r="Q97" s="3046"/>
      <c r="R97" s="2203">
        <f t="shared" si="20"/>
        <v>0</v>
      </c>
      <c r="S97" s="2205"/>
      <c r="T97" s="3047"/>
      <c r="U97" s="3044"/>
      <c r="V97" s="3045"/>
      <c r="W97" s="3046"/>
      <c r="X97" s="2203">
        <f t="shared" si="21"/>
        <v>0</v>
      </c>
      <c r="Y97" s="2205"/>
      <c r="Z97" s="3047"/>
      <c r="AA97" s="3044"/>
      <c r="AB97" s="3043"/>
      <c r="AC97" s="3046"/>
      <c r="AD97" s="2203">
        <f t="shared" si="22"/>
        <v>0</v>
      </c>
      <c r="AE97" s="2205"/>
      <c r="AF97" s="2"/>
      <c r="AG97" s="2200"/>
      <c r="AH97" t="b">
        <f t="shared" si="23"/>
        <v>0</v>
      </c>
    </row>
    <row r="98" spans="1:34" ht="13.5" customHeight="1">
      <c r="A98" s="3054"/>
      <c r="B98" s="3043"/>
      <c r="C98" s="3044"/>
      <c r="D98" s="3045"/>
      <c r="E98" s="3046"/>
      <c r="F98" s="2203">
        <f t="shared" si="18"/>
        <v>0</v>
      </c>
      <c r="G98" s="2205"/>
      <c r="H98" s="3047"/>
      <c r="I98" s="3048"/>
      <c r="J98" s="3045"/>
      <c r="K98" s="3046"/>
      <c r="L98" s="2203">
        <f t="shared" si="19"/>
        <v>0</v>
      </c>
      <c r="M98" s="2205"/>
      <c r="N98" s="3047"/>
      <c r="O98" s="3048"/>
      <c r="P98" s="3045"/>
      <c r="Q98" s="3046"/>
      <c r="R98" s="2203">
        <f t="shared" si="20"/>
        <v>0</v>
      </c>
      <c r="S98" s="2205"/>
      <c r="T98" s="3047"/>
      <c r="U98" s="3044"/>
      <c r="V98" s="3045"/>
      <c r="W98" s="3046"/>
      <c r="X98" s="2203">
        <f t="shared" si="21"/>
        <v>0</v>
      </c>
      <c r="Y98" s="2205"/>
      <c r="Z98" s="3047"/>
      <c r="AA98" s="3044"/>
      <c r="AB98" s="3043"/>
      <c r="AC98" s="3046"/>
      <c r="AD98" s="2203">
        <f t="shared" si="22"/>
        <v>0</v>
      </c>
      <c r="AE98" s="2205"/>
      <c r="AF98" s="2"/>
      <c r="AG98" s="2200"/>
      <c r="AH98" t="b">
        <f t="shared" si="23"/>
        <v>0</v>
      </c>
    </row>
    <row r="99" spans="1:34" ht="13.5" customHeight="1">
      <c r="A99" s="3054"/>
      <c r="B99" s="3043"/>
      <c r="C99" s="3044"/>
      <c r="D99" s="3045"/>
      <c r="E99" s="3046"/>
      <c r="F99" s="2203">
        <f t="shared" si="18"/>
        <v>0</v>
      </c>
      <c r="G99" s="2205"/>
      <c r="H99" s="3047"/>
      <c r="I99" s="3048"/>
      <c r="J99" s="3045"/>
      <c r="K99" s="3046"/>
      <c r="L99" s="2203">
        <f t="shared" si="19"/>
        <v>0</v>
      </c>
      <c r="M99" s="2205"/>
      <c r="N99" s="3047"/>
      <c r="O99" s="3048"/>
      <c r="P99" s="3045"/>
      <c r="Q99" s="3046"/>
      <c r="R99" s="2203">
        <f t="shared" si="20"/>
        <v>0</v>
      </c>
      <c r="S99" s="2205"/>
      <c r="T99" s="3047"/>
      <c r="U99" s="3044"/>
      <c r="V99" s="3045"/>
      <c r="W99" s="3046"/>
      <c r="X99" s="2203">
        <f t="shared" si="21"/>
        <v>0</v>
      </c>
      <c r="Y99" s="2205"/>
      <c r="Z99" s="3047"/>
      <c r="AA99" s="3044"/>
      <c r="AB99" s="3043"/>
      <c r="AC99" s="3046"/>
      <c r="AD99" s="2203">
        <f t="shared" si="22"/>
        <v>0</v>
      </c>
      <c r="AE99" s="2205"/>
      <c r="AF99" s="2"/>
      <c r="AG99" s="2200"/>
      <c r="AH99" t="b">
        <f t="shared" si="23"/>
        <v>0</v>
      </c>
    </row>
    <row r="100" spans="1:34" ht="13.5" customHeight="1">
      <c r="A100" s="3054"/>
      <c r="B100" s="3043"/>
      <c r="C100" s="3044"/>
      <c r="D100" s="3045"/>
      <c r="E100" s="3046"/>
      <c r="F100" s="2203">
        <f t="shared" si="18"/>
        <v>0</v>
      </c>
      <c r="G100" s="2205"/>
      <c r="H100" s="3047"/>
      <c r="I100" s="3048"/>
      <c r="J100" s="3045"/>
      <c r="K100" s="3046"/>
      <c r="L100" s="2203">
        <f t="shared" si="19"/>
        <v>0</v>
      </c>
      <c r="M100" s="2205"/>
      <c r="N100" s="3047"/>
      <c r="O100" s="3048"/>
      <c r="P100" s="3045"/>
      <c r="Q100" s="3046"/>
      <c r="R100" s="2203">
        <f t="shared" si="20"/>
        <v>0</v>
      </c>
      <c r="S100" s="2205"/>
      <c r="T100" s="3047"/>
      <c r="U100" s="3044"/>
      <c r="V100" s="3045"/>
      <c r="W100" s="3046"/>
      <c r="X100" s="2203">
        <f t="shared" si="21"/>
        <v>0</v>
      </c>
      <c r="Y100" s="2205"/>
      <c r="Z100" s="3047"/>
      <c r="AA100" s="3044"/>
      <c r="AB100" s="3043"/>
      <c r="AC100" s="3046"/>
      <c r="AD100" s="2203">
        <f t="shared" si="22"/>
        <v>0</v>
      </c>
      <c r="AE100" s="2205"/>
      <c r="AF100" s="2"/>
      <c r="AG100" s="2200"/>
      <c r="AH100" t="b">
        <f t="shared" si="23"/>
        <v>0</v>
      </c>
    </row>
    <row r="101" spans="1:34" ht="13.5" customHeight="1">
      <c r="A101" s="3054"/>
      <c r="B101" s="3043"/>
      <c r="C101" s="3044"/>
      <c r="D101" s="3045"/>
      <c r="E101" s="3046"/>
      <c r="F101" s="2203">
        <f t="shared" si="18"/>
        <v>0</v>
      </c>
      <c r="G101" s="2205"/>
      <c r="H101" s="3047"/>
      <c r="I101" s="3048"/>
      <c r="J101" s="3045"/>
      <c r="K101" s="3046"/>
      <c r="L101" s="2203">
        <f t="shared" si="19"/>
        <v>0</v>
      </c>
      <c r="M101" s="2205"/>
      <c r="N101" s="3047"/>
      <c r="O101" s="3048"/>
      <c r="P101" s="3045"/>
      <c r="Q101" s="3046"/>
      <c r="R101" s="2203">
        <f t="shared" si="20"/>
        <v>0</v>
      </c>
      <c r="S101" s="2205"/>
      <c r="T101" s="3047"/>
      <c r="U101" s="3044"/>
      <c r="V101" s="3045"/>
      <c r="W101" s="3046"/>
      <c r="X101" s="2203">
        <f t="shared" si="21"/>
        <v>0</v>
      </c>
      <c r="Y101" s="2205"/>
      <c r="Z101" s="3047"/>
      <c r="AA101" s="3044"/>
      <c r="AB101" s="3043"/>
      <c r="AC101" s="3046"/>
      <c r="AD101" s="2203">
        <f t="shared" si="22"/>
        <v>0</v>
      </c>
      <c r="AE101" s="2205"/>
      <c r="AF101" s="2"/>
      <c r="AG101" s="2200"/>
      <c r="AH101" t="b">
        <f t="shared" si="23"/>
        <v>0</v>
      </c>
    </row>
    <row r="102" spans="1:34" ht="13.5" customHeight="1">
      <c r="A102" s="3054"/>
      <c r="B102" s="3043"/>
      <c r="C102" s="3044"/>
      <c r="D102" s="3045"/>
      <c r="E102" s="3046"/>
      <c r="F102" s="2203">
        <f t="shared" si="18"/>
        <v>0</v>
      </c>
      <c r="G102" s="2205"/>
      <c r="H102" s="3047"/>
      <c r="I102" s="3048"/>
      <c r="J102" s="3045"/>
      <c r="K102" s="3046"/>
      <c r="L102" s="2203">
        <f t="shared" si="19"/>
        <v>0</v>
      </c>
      <c r="M102" s="2205"/>
      <c r="N102" s="3047"/>
      <c r="O102" s="3048"/>
      <c r="P102" s="3045"/>
      <c r="Q102" s="3046"/>
      <c r="R102" s="2203">
        <f t="shared" si="20"/>
        <v>0</v>
      </c>
      <c r="S102" s="2205"/>
      <c r="T102" s="3047"/>
      <c r="U102" s="3044"/>
      <c r="V102" s="3045"/>
      <c r="W102" s="3046"/>
      <c r="X102" s="2203">
        <f t="shared" si="21"/>
        <v>0</v>
      </c>
      <c r="Y102" s="2205"/>
      <c r="Z102" s="3047"/>
      <c r="AA102" s="3044"/>
      <c r="AB102" s="3043"/>
      <c r="AC102" s="3046"/>
      <c r="AD102" s="2203">
        <f t="shared" si="22"/>
        <v>0</v>
      </c>
      <c r="AE102" s="2205"/>
      <c r="AF102" s="2"/>
      <c r="AG102" s="2200"/>
      <c r="AH102" t="b">
        <f t="shared" si="23"/>
        <v>0</v>
      </c>
    </row>
    <row r="103" spans="1:34" ht="13.5" customHeight="1">
      <c r="A103" s="3054"/>
      <c r="B103" s="3043"/>
      <c r="C103" s="3044"/>
      <c r="D103" s="3045"/>
      <c r="E103" s="3046"/>
      <c r="F103" s="2203">
        <f t="shared" si="18"/>
        <v>0</v>
      </c>
      <c r="G103" s="2205"/>
      <c r="H103" s="3047"/>
      <c r="I103" s="3048"/>
      <c r="J103" s="3045"/>
      <c r="K103" s="3046"/>
      <c r="L103" s="2203">
        <f t="shared" si="19"/>
        <v>0</v>
      </c>
      <c r="M103" s="2205"/>
      <c r="N103" s="3047"/>
      <c r="O103" s="3048"/>
      <c r="P103" s="3045"/>
      <c r="Q103" s="3046"/>
      <c r="R103" s="2203">
        <f t="shared" si="20"/>
        <v>0</v>
      </c>
      <c r="S103" s="2205"/>
      <c r="T103" s="3047"/>
      <c r="U103" s="3044"/>
      <c r="V103" s="3045"/>
      <c r="W103" s="3046"/>
      <c r="X103" s="2203">
        <f t="shared" si="21"/>
        <v>0</v>
      </c>
      <c r="Y103" s="2205"/>
      <c r="Z103" s="3047"/>
      <c r="AA103" s="3044"/>
      <c r="AB103" s="3043"/>
      <c r="AC103" s="3046"/>
      <c r="AD103" s="2203">
        <f t="shared" si="22"/>
        <v>0</v>
      </c>
      <c r="AE103" s="2205"/>
      <c r="AF103" s="2"/>
      <c r="AG103" s="2200"/>
      <c r="AH103" t="b">
        <f t="shared" si="23"/>
        <v>0</v>
      </c>
    </row>
    <row r="104" spans="1:34" ht="13.5" customHeight="1">
      <c r="A104" s="3054"/>
      <c r="B104" s="3043"/>
      <c r="C104" s="3044"/>
      <c r="D104" s="3045"/>
      <c r="E104" s="3046"/>
      <c r="F104" s="2203">
        <f t="shared" si="18"/>
        <v>0</v>
      </c>
      <c r="G104" s="2205"/>
      <c r="H104" s="3047"/>
      <c r="I104" s="3048"/>
      <c r="J104" s="3045"/>
      <c r="K104" s="3046"/>
      <c r="L104" s="2203">
        <f t="shared" si="19"/>
        <v>0</v>
      </c>
      <c r="M104" s="2205"/>
      <c r="N104" s="3047"/>
      <c r="O104" s="3048"/>
      <c r="P104" s="3045"/>
      <c r="Q104" s="3046"/>
      <c r="R104" s="2203">
        <f t="shared" si="20"/>
        <v>0</v>
      </c>
      <c r="S104" s="2205"/>
      <c r="T104" s="3047"/>
      <c r="U104" s="3044"/>
      <c r="V104" s="3045"/>
      <c r="W104" s="3046"/>
      <c r="X104" s="2203">
        <f t="shared" si="21"/>
        <v>0</v>
      </c>
      <c r="Y104" s="2205"/>
      <c r="Z104" s="3047"/>
      <c r="AA104" s="3044"/>
      <c r="AB104" s="3043"/>
      <c r="AC104" s="3046"/>
      <c r="AD104" s="2203">
        <f t="shared" si="22"/>
        <v>0</v>
      </c>
      <c r="AE104" s="2205"/>
      <c r="AF104" s="2"/>
      <c r="AG104" s="2200"/>
      <c r="AH104" t="b">
        <f t="shared" si="23"/>
        <v>0</v>
      </c>
    </row>
    <row r="105" spans="1:34" ht="13.5" customHeight="1">
      <c r="A105" s="3054"/>
      <c r="B105" s="3043"/>
      <c r="C105" s="3044"/>
      <c r="D105" s="3045"/>
      <c r="E105" s="3046"/>
      <c r="F105" s="2203">
        <f t="shared" si="18"/>
        <v>0</v>
      </c>
      <c r="G105" s="2205"/>
      <c r="H105" s="3047"/>
      <c r="I105" s="3048"/>
      <c r="J105" s="3045"/>
      <c r="K105" s="3046"/>
      <c r="L105" s="2203">
        <f t="shared" si="19"/>
        <v>0</v>
      </c>
      <c r="M105" s="2205"/>
      <c r="N105" s="3047"/>
      <c r="O105" s="3048"/>
      <c r="P105" s="3045"/>
      <c r="Q105" s="3046"/>
      <c r="R105" s="2203">
        <f t="shared" si="20"/>
        <v>0</v>
      </c>
      <c r="S105" s="2205"/>
      <c r="T105" s="3047"/>
      <c r="U105" s="3044"/>
      <c r="V105" s="3045"/>
      <c r="W105" s="3046"/>
      <c r="X105" s="2203">
        <f t="shared" si="21"/>
        <v>0</v>
      </c>
      <c r="Y105" s="2205"/>
      <c r="Z105" s="3047"/>
      <c r="AA105" s="3044"/>
      <c r="AB105" s="3043"/>
      <c r="AC105" s="3046"/>
      <c r="AD105" s="2203">
        <f t="shared" si="22"/>
        <v>0</v>
      </c>
      <c r="AE105" s="2205"/>
      <c r="AF105" s="2"/>
      <c r="AG105" s="2200"/>
      <c r="AH105" t="b">
        <f t="shared" si="23"/>
        <v>0</v>
      </c>
    </row>
    <row r="106" spans="1:34" ht="13.5" customHeight="1">
      <c r="A106" s="3054"/>
      <c r="B106" s="3043"/>
      <c r="C106" s="3044"/>
      <c r="D106" s="3045"/>
      <c r="E106" s="3046"/>
      <c r="F106" s="2203">
        <f t="shared" si="18"/>
        <v>0</v>
      </c>
      <c r="G106" s="2205"/>
      <c r="H106" s="3047"/>
      <c r="I106" s="3048"/>
      <c r="J106" s="3045"/>
      <c r="K106" s="3046"/>
      <c r="L106" s="2203">
        <f t="shared" si="19"/>
        <v>0</v>
      </c>
      <c r="M106" s="2205"/>
      <c r="N106" s="3047"/>
      <c r="O106" s="3048"/>
      <c r="P106" s="3045"/>
      <c r="Q106" s="3046"/>
      <c r="R106" s="2203">
        <f t="shared" si="20"/>
        <v>0</v>
      </c>
      <c r="S106" s="2205"/>
      <c r="T106" s="3047"/>
      <c r="U106" s="3044"/>
      <c r="V106" s="3045"/>
      <c r="W106" s="3046"/>
      <c r="X106" s="2203">
        <f t="shared" si="21"/>
        <v>0</v>
      </c>
      <c r="Y106" s="2205"/>
      <c r="Z106" s="3047"/>
      <c r="AA106" s="3044"/>
      <c r="AB106" s="3043"/>
      <c r="AC106" s="3046"/>
      <c r="AD106" s="2203">
        <f t="shared" si="22"/>
        <v>0</v>
      </c>
      <c r="AE106" s="2205"/>
      <c r="AF106" s="2"/>
      <c r="AG106" s="2200"/>
      <c r="AH106" t="b">
        <f t="shared" si="23"/>
        <v>0</v>
      </c>
    </row>
    <row r="107" spans="1:34" ht="13.5" customHeight="1">
      <c r="A107" s="3054"/>
      <c r="B107" s="3043"/>
      <c r="C107" s="3044"/>
      <c r="D107" s="3045"/>
      <c r="E107" s="3046"/>
      <c r="F107" s="2203">
        <f t="shared" si="18"/>
        <v>0</v>
      </c>
      <c r="G107" s="2205"/>
      <c r="H107" s="3047"/>
      <c r="I107" s="3048"/>
      <c r="J107" s="3045"/>
      <c r="K107" s="3046"/>
      <c r="L107" s="2203">
        <f t="shared" si="19"/>
        <v>0</v>
      </c>
      <c r="M107" s="2205"/>
      <c r="N107" s="3047"/>
      <c r="O107" s="3048"/>
      <c r="P107" s="3045"/>
      <c r="Q107" s="3046"/>
      <c r="R107" s="2203">
        <f t="shared" si="20"/>
        <v>0</v>
      </c>
      <c r="S107" s="2205"/>
      <c r="T107" s="3047"/>
      <c r="U107" s="3044"/>
      <c r="V107" s="3045"/>
      <c r="W107" s="3046"/>
      <c r="X107" s="2203">
        <f t="shared" si="21"/>
        <v>0</v>
      </c>
      <c r="Y107" s="2205"/>
      <c r="Z107" s="3047"/>
      <c r="AA107" s="3044"/>
      <c r="AB107" s="3043"/>
      <c r="AC107" s="3046"/>
      <c r="AD107" s="2203">
        <f t="shared" si="22"/>
        <v>0</v>
      </c>
      <c r="AE107" s="2205"/>
      <c r="AF107" s="2"/>
      <c r="AG107" s="2200"/>
      <c r="AH107" t="b">
        <f t="shared" si="23"/>
        <v>0</v>
      </c>
    </row>
    <row r="108" spans="1:34" ht="13.5" customHeight="1">
      <c r="A108" s="3054"/>
      <c r="B108" s="3043"/>
      <c r="C108" s="3044"/>
      <c r="D108" s="3045"/>
      <c r="E108" s="3046"/>
      <c r="F108" s="2203">
        <f t="shared" si="18"/>
        <v>0</v>
      </c>
      <c r="G108" s="2205"/>
      <c r="H108" s="3047"/>
      <c r="I108" s="3048"/>
      <c r="J108" s="3045"/>
      <c r="K108" s="3046"/>
      <c r="L108" s="2203">
        <f t="shared" si="19"/>
        <v>0</v>
      </c>
      <c r="M108" s="2205"/>
      <c r="N108" s="3047"/>
      <c r="O108" s="3048"/>
      <c r="P108" s="3045"/>
      <c r="Q108" s="3046"/>
      <c r="R108" s="2203">
        <f t="shared" si="20"/>
        <v>0</v>
      </c>
      <c r="S108" s="2205"/>
      <c r="T108" s="3047"/>
      <c r="U108" s="3044"/>
      <c r="V108" s="3045"/>
      <c r="W108" s="3046"/>
      <c r="X108" s="2203">
        <f t="shared" si="21"/>
        <v>0</v>
      </c>
      <c r="Y108" s="2205"/>
      <c r="Z108" s="3047"/>
      <c r="AA108" s="3044"/>
      <c r="AB108" s="3043"/>
      <c r="AC108" s="3046"/>
      <c r="AD108" s="2203">
        <f t="shared" si="22"/>
        <v>0</v>
      </c>
      <c r="AE108" s="2205"/>
      <c r="AF108" s="2"/>
      <c r="AG108" s="2200"/>
      <c r="AH108" t="b">
        <f t="shared" si="23"/>
        <v>0</v>
      </c>
    </row>
    <row r="109" spans="1:34" ht="13.5" customHeight="1">
      <c r="A109" s="3054"/>
      <c r="B109" s="3043"/>
      <c r="C109" s="3044"/>
      <c r="D109" s="3045"/>
      <c r="E109" s="3046"/>
      <c r="F109" s="2203">
        <f t="shared" si="18"/>
        <v>0</v>
      </c>
      <c r="G109" s="2205"/>
      <c r="H109" s="3047"/>
      <c r="I109" s="3048"/>
      <c r="J109" s="3045"/>
      <c r="K109" s="3046"/>
      <c r="L109" s="2203">
        <f t="shared" si="19"/>
        <v>0</v>
      </c>
      <c r="M109" s="2205"/>
      <c r="N109" s="3047"/>
      <c r="O109" s="3048"/>
      <c r="P109" s="3045"/>
      <c r="Q109" s="3046"/>
      <c r="R109" s="2203">
        <f t="shared" si="20"/>
        <v>0</v>
      </c>
      <c r="S109" s="2205"/>
      <c r="T109" s="3047"/>
      <c r="U109" s="3044"/>
      <c r="V109" s="3045"/>
      <c r="W109" s="3046"/>
      <c r="X109" s="2203">
        <f t="shared" si="21"/>
        <v>0</v>
      </c>
      <c r="Y109" s="2205"/>
      <c r="Z109" s="3047"/>
      <c r="AA109" s="3044"/>
      <c r="AB109" s="3043"/>
      <c r="AC109" s="3046"/>
      <c r="AD109" s="2203">
        <f t="shared" si="22"/>
        <v>0</v>
      </c>
      <c r="AE109" s="2205"/>
      <c r="AF109" s="2"/>
      <c r="AG109" s="2200"/>
      <c r="AH109" t="b">
        <f t="shared" si="23"/>
        <v>0</v>
      </c>
    </row>
    <row r="110" spans="1:34" ht="13.5" customHeight="1">
      <c r="A110" s="3055"/>
      <c r="B110" s="3050"/>
      <c r="C110" s="3038"/>
      <c r="D110" s="3039"/>
      <c r="E110" s="3040"/>
      <c r="F110" s="2359">
        <f t="shared" si="18"/>
        <v>0</v>
      </c>
      <c r="G110" s="2940"/>
      <c r="H110" s="3037"/>
      <c r="I110" s="3049"/>
      <c r="J110" s="3039"/>
      <c r="K110" s="3040"/>
      <c r="L110" s="2359">
        <f t="shared" si="19"/>
        <v>0</v>
      </c>
      <c r="M110" s="2940"/>
      <c r="N110" s="3037"/>
      <c r="O110" s="3049"/>
      <c r="P110" s="3039"/>
      <c r="Q110" s="3040"/>
      <c r="R110" s="2359">
        <f t="shared" si="20"/>
        <v>0</v>
      </c>
      <c r="S110" s="2940"/>
      <c r="T110" s="3037"/>
      <c r="U110" s="3038"/>
      <c r="V110" s="3039"/>
      <c r="W110" s="3040"/>
      <c r="X110" s="2359">
        <f t="shared" si="21"/>
        <v>0</v>
      </c>
      <c r="Y110" s="2940"/>
      <c r="Z110" s="3051"/>
      <c r="AA110" s="3052"/>
      <c r="AB110" s="3041"/>
      <c r="AC110" s="3042"/>
      <c r="AD110" s="2359">
        <f t="shared" si="22"/>
        <v>0</v>
      </c>
      <c r="AE110" s="2940"/>
      <c r="AF110" s="2"/>
      <c r="AG110" s="2200"/>
      <c r="AH110" t="b">
        <f t="shared" si="23"/>
        <v>0</v>
      </c>
    </row>
    <row r="111" spans="1:34" ht="13.5" customHeight="1">
      <c r="A111" s="1733" t="s">
        <v>931</v>
      </c>
      <c r="B111" s="3034"/>
      <c r="C111" s="3035"/>
      <c r="D111" s="3035"/>
      <c r="E111" s="3035"/>
      <c r="F111" s="3035"/>
      <c r="G111" s="3036"/>
      <c r="H111" s="3034"/>
      <c r="I111" s="3035"/>
      <c r="J111" s="3035"/>
      <c r="K111" s="3035"/>
      <c r="L111" s="3035"/>
      <c r="M111" s="3036"/>
      <c r="N111" s="3034"/>
      <c r="O111" s="3035"/>
      <c r="P111" s="3035"/>
      <c r="Q111" s="3035"/>
      <c r="R111" s="3035"/>
      <c r="S111" s="3036"/>
      <c r="T111" s="3034"/>
      <c r="U111" s="3035"/>
      <c r="V111" s="3035"/>
      <c r="W111" s="3035"/>
      <c r="X111" s="3035"/>
      <c r="Y111" s="3036"/>
      <c r="Z111" s="3034"/>
      <c r="AA111" s="3035"/>
      <c r="AB111" s="3035"/>
      <c r="AC111" s="3035"/>
      <c r="AD111" s="3035"/>
      <c r="AE111" s="3036"/>
      <c r="AF111" s="195"/>
      <c r="AG111" s="2200"/>
      <c r="AH111" t="b">
        <f>AH117</f>
        <v>0</v>
      </c>
    </row>
    <row r="112" spans="1:34" ht="13.5" customHeight="1">
      <c r="A112" s="1735" t="s">
        <v>1511</v>
      </c>
      <c r="B112" s="3020"/>
      <c r="C112" s="3021"/>
      <c r="D112" s="3021"/>
      <c r="E112" s="3021"/>
      <c r="F112" s="3021"/>
      <c r="G112" s="3022"/>
      <c r="H112" s="3020"/>
      <c r="I112" s="3021"/>
      <c r="J112" s="3021"/>
      <c r="K112" s="3021"/>
      <c r="L112" s="3021"/>
      <c r="M112" s="3022"/>
      <c r="N112" s="3020"/>
      <c r="O112" s="3021"/>
      <c r="P112" s="3021"/>
      <c r="Q112" s="3021"/>
      <c r="R112" s="3021"/>
      <c r="S112" s="3022"/>
      <c r="T112" s="3020"/>
      <c r="U112" s="3021"/>
      <c r="V112" s="3021"/>
      <c r="W112" s="3021"/>
      <c r="X112" s="3021"/>
      <c r="Y112" s="3022"/>
      <c r="Z112" s="3020"/>
      <c r="AA112" s="3021"/>
      <c r="AB112" s="3021"/>
      <c r="AC112" s="3021"/>
      <c r="AD112" s="3021"/>
      <c r="AE112" s="3022"/>
      <c r="AF112" s="195"/>
      <c r="AG112" s="2200"/>
      <c r="AH112" t="b">
        <f>AH117</f>
        <v>0</v>
      </c>
    </row>
    <row r="113" spans="1:34" ht="13.5" customHeight="1">
      <c r="A113" s="1736" t="s">
        <v>1512</v>
      </c>
      <c r="B113" s="3017"/>
      <c r="C113" s="3018"/>
      <c r="D113" s="3018"/>
      <c r="E113" s="3018"/>
      <c r="F113" s="3018"/>
      <c r="G113" s="3019"/>
      <c r="H113" s="3017"/>
      <c r="I113" s="3018"/>
      <c r="J113" s="3018"/>
      <c r="K113" s="3018"/>
      <c r="L113" s="3018"/>
      <c r="M113" s="3019"/>
      <c r="N113" s="3017"/>
      <c r="O113" s="3018"/>
      <c r="P113" s="3018"/>
      <c r="Q113" s="3018"/>
      <c r="R113" s="3018"/>
      <c r="S113" s="3019"/>
      <c r="T113" s="3017"/>
      <c r="U113" s="3018"/>
      <c r="V113" s="3018"/>
      <c r="W113" s="3018"/>
      <c r="X113" s="3018"/>
      <c r="Y113" s="3019"/>
      <c r="Z113" s="3017"/>
      <c r="AA113" s="3018"/>
      <c r="AB113" s="3018"/>
      <c r="AC113" s="3018"/>
      <c r="AD113" s="3018"/>
      <c r="AE113" s="3019"/>
      <c r="AF113" s="195"/>
      <c r="AG113" s="2200"/>
      <c r="AH113" t="b">
        <f>AH117</f>
        <v>0</v>
      </c>
    </row>
    <row r="114" spans="1:34" ht="13.5" customHeight="1">
      <c r="A114" s="1733" t="s">
        <v>925</v>
      </c>
      <c r="B114" s="3028">
        <f>SUM(F95:F110)</f>
        <v>0</v>
      </c>
      <c r="C114" s="3029"/>
      <c r="D114" s="3029"/>
      <c r="E114" s="3029"/>
      <c r="F114" s="3029"/>
      <c r="G114" s="3030"/>
      <c r="H114" s="3028">
        <f>SUM(L95:L110)</f>
        <v>0</v>
      </c>
      <c r="I114" s="3029"/>
      <c r="J114" s="3029"/>
      <c r="K114" s="3029"/>
      <c r="L114" s="3029"/>
      <c r="M114" s="3030"/>
      <c r="N114" s="3028">
        <f>SUM(R95:R110)</f>
        <v>0</v>
      </c>
      <c r="O114" s="3029"/>
      <c r="P114" s="3029"/>
      <c r="Q114" s="3029"/>
      <c r="R114" s="3029"/>
      <c r="S114" s="3030"/>
      <c r="T114" s="3028">
        <f>SUM(X95:X110)</f>
        <v>0</v>
      </c>
      <c r="U114" s="3029"/>
      <c r="V114" s="3029"/>
      <c r="W114" s="3029"/>
      <c r="X114" s="3029"/>
      <c r="Y114" s="3030"/>
      <c r="Z114" s="3028">
        <f>SUM(AD95:AD110)</f>
        <v>0</v>
      </c>
      <c r="AA114" s="3029"/>
      <c r="AB114" s="3029"/>
      <c r="AC114" s="3029"/>
      <c r="AD114" s="3029"/>
      <c r="AE114" s="3030"/>
      <c r="AF114" s="195"/>
      <c r="AG114" s="2200"/>
      <c r="AH114" t="b">
        <f>AH117</f>
        <v>0</v>
      </c>
    </row>
    <row r="115" spans="1:34" ht="14.25" customHeight="1">
      <c r="A115" s="1734" t="s">
        <v>1508</v>
      </c>
      <c r="B115" s="3025"/>
      <c r="C115" s="3026"/>
      <c r="D115" s="3026"/>
      <c r="E115" s="776" t="s">
        <v>1509</v>
      </c>
      <c r="F115" s="3023"/>
      <c r="G115" s="3024"/>
      <c r="H115" s="3025"/>
      <c r="I115" s="3026"/>
      <c r="J115" s="3026"/>
      <c r="K115" s="776" t="s">
        <v>1509</v>
      </c>
      <c r="L115" s="3023"/>
      <c r="M115" s="3024"/>
      <c r="N115" s="3025"/>
      <c r="O115" s="3026"/>
      <c r="P115" s="3026"/>
      <c r="Q115" s="776" t="s">
        <v>1509</v>
      </c>
      <c r="R115" s="3023"/>
      <c r="S115" s="3024"/>
      <c r="T115" s="3025"/>
      <c r="U115" s="3026"/>
      <c r="V115" s="3026"/>
      <c r="W115" s="776" t="s">
        <v>1509</v>
      </c>
      <c r="X115" s="3023"/>
      <c r="Y115" s="3024"/>
      <c r="Z115" s="3025"/>
      <c r="AA115" s="3026"/>
      <c r="AB115" s="3026"/>
      <c r="AC115" s="776" t="s">
        <v>1509</v>
      </c>
      <c r="AD115" s="3023"/>
      <c r="AE115" s="3024"/>
      <c r="AF115" s="2"/>
      <c r="AG115" s="2200"/>
      <c r="AH115" t="b">
        <f>AH117</f>
        <v>0</v>
      </c>
    </row>
    <row r="116" spans="1:34" ht="13.5" customHeight="1">
      <c r="A116" s="1733" t="s">
        <v>926</v>
      </c>
      <c r="B116" s="3031"/>
      <c r="C116" s="3032"/>
      <c r="D116" s="3032"/>
      <c r="E116" s="3032"/>
      <c r="F116" s="3032"/>
      <c r="G116" s="3033"/>
      <c r="H116" s="3031"/>
      <c r="I116" s="3032"/>
      <c r="J116" s="3032"/>
      <c r="K116" s="3032"/>
      <c r="L116" s="3032"/>
      <c r="M116" s="3033"/>
      <c r="N116" s="3031"/>
      <c r="O116" s="3032"/>
      <c r="P116" s="3032"/>
      <c r="Q116" s="3032"/>
      <c r="R116" s="3032"/>
      <c r="S116" s="3033"/>
      <c r="T116" s="3031"/>
      <c r="U116" s="3032"/>
      <c r="V116" s="3032"/>
      <c r="W116" s="3032"/>
      <c r="X116" s="3032"/>
      <c r="Y116" s="3033"/>
      <c r="Z116" s="3031"/>
      <c r="AA116" s="3032"/>
      <c r="AB116" s="3032"/>
      <c r="AC116" s="3032"/>
      <c r="AD116" s="3032"/>
      <c r="AE116" s="3033"/>
      <c r="AF116" s="195"/>
      <c r="AG116" s="2200"/>
      <c r="AH116" t="b">
        <f>AH117</f>
        <v>0</v>
      </c>
    </row>
    <row r="117" spans="1:34" ht="13.5" customHeight="1">
      <c r="A117" s="1733" t="s">
        <v>933</v>
      </c>
      <c r="B117" s="2543">
        <f>ROUNDDOWN(B114*IF(F115&lt;&gt;0,SQRT(B115^2+F115^2)/F115,1)-B116,2)</f>
        <v>0</v>
      </c>
      <c r="C117" s="2544"/>
      <c r="D117" s="2544"/>
      <c r="E117" s="2544"/>
      <c r="F117" s="2544"/>
      <c r="G117" s="3027"/>
      <c r="H117" s="2543">
        <f>ROUNDDOWN(H114*IF(L115&lt;&gt;0,SQRT(H115^2+L115^2)/L115,1)-H116,2)</f>
        <v>0</v>
      </c>
      <c r="I117" s="2544"/>
      <c r="J117" s="2544"/>
      <c r="K117" s="2544"/>
      <c r="L117" s="2544"/>
      <c r="M117" s="3027"/>
      <c r="N117" s="2543">
        <f>ROUNDDOWN(N114*IF(R115&lt;&gt;0,SQRT(N115^2+R115^2)/R115,1)-N116,2)</f>
        <v>0</v>
      </c>
      <c r="O117" s="2544"/>
      <c r="P117" s="2544"/>
      <c r="Q117" s="2544"/>
      <c r="R117" s="2544"/>
      <c r="S117" s="3027"/>
      <c r="T117" s="2543">
        <f>ROUNDDOWN(T114*IF(X115&lt;&gt;0,SQRT(T115^2+X115^2)/X115,1)-T116,2)</f>
        <v>0</v>
      </c>
      <c r="U117" s="2544"/>
      <c r="V117" s="2544"/>
      <c r="W117" s="2544"/>
      <c r="X117" s="2544"/>
      <c r="Y117" s="3027"/>
      <c r="Z117" s="2543">
        <f>ROUNDDOWN(Z114*IF(AD115&lt;&gt;0,SQRT(Z115^2+AD115^2)/AD115,1)-Z116,2)</f>
        <v>0</v>
      </c>
      <c r="AA117" s="2544"/>
      <c r="AB117" s="2544"/>
      <c r="AC117" s="2544"/>
      <c r="AD117" s="2544"/>
      <c r="AE117" s="3027"/>
      <c r="AF117" s="195"/>
      <c r="AG117" s="2200"/>
      <c r="AH117" t="b">
        <f>SUM(A117:AF117)&lt;&gt;0</f>
        <v>0</v>
      </c>
    </row>
    <row r="118" spans="1:34" ht="13.5" customHeight="1">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2200"/>
      <c r="AH118" t="b">
        <v>0</v>
      </c>
    </row>
    <row r="119" spans="1:34" ht="13.5" customHeight="1">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2200"/>
      <c r="AH119" t="b">
        <f>AH141</f>
        <v>0</v>
      </c>
    </row>
    <row r="120" spans="1:34" ht="13.5" customHeight="1">
      <c r="A120" s="3067" t="s">
        <v>904</v>
      </c>
      <c r="B120" s="3056" t="s">
        <v>920</v>
      </c>
      <c r="C120" s="3057"/>
      <c r="D120" s="3057"/>
      <c r="E120" s="3057"/>
      <c r="F120" s="3057"/>
      <c r="G120" s="3058"/>
      <c r="H120" s="3056" t="s">
        <v>920</v>
      </c>
      <c r="I120" s="3057"/>
      <c r="J120" s="3057"/>
      <c r="K120" s="3057"/>
      <c r="L120" s="3057"/>
      <c r="M120" s="3058"/>
      <c r="N120" s="3056" t="s">
        <v>920</v>
      </c>
      <c r="O120" s="3057"/>
      <c r="P120" s="3057"/>
      <c r="Q120" s="3057"/>
      <c r="R120" s="3057"/>
      <c r="S120" s="3058"/>
      <c r="T120" s="3056" t="s">
        <v>920</v>
      </c>
      <c r="U120" s="3057"/>
      <c r="V120" s="3057"/>
      <c r="W120" s="3057"/>
      <c r="X120" s="3057"/>
      <c r="Y120" s="3058"/>
      <c r="Z120" s="3056" t="s">
        <v>920</v>
      </c>
      <c r="AA120" s="3057"/>
      <c r="AB120" s="3057"/>
      <c r="AC120" s="3057"/>
      <c r="AD120" s="3057"/>
      <c r="AE120" s="3058"/>
      <c r="AG120" s="2200"/>
      <c r="AH120" t="b">
        <f>AH141</f>
        <v>0</v>
      </c>
    </row>
    <row r="121" spans="1:34" ht="13.5" customHeight="1">
      <c r="A121" s="3054"/>
      <c r="B121" s="1731" t="s">
        <v>921</v>
      </c>
      <c r="C121" s="1728"/>
      <c r="D121" s="1729" t="s">
        <v>922</v>
      </c>
      <c r="E121" s="1730"/>
      <c r="F121" s="1731" t="s">
        <v>923</v>
      </c>
      <c r="G121" s="1728"/>
      <c r="H121" s="1731" t="s">
        <v>921</v>
      </c>
      <c r="I121" s="1728"/>
      <c r="J121" s="1729" t="s">
        <v>922</v>
      </c>
      <c r="K121" s="1730"/>
      <c r="L121" s="1731" t="s">
        <v>923</v>
      </c>
      <c r="M121" s="1728"/>
      <c r="N121" s="1731" t="s">
        <v>921</v>
      </c>
      <c r="O121" s="1728"/>
      <c r="P121" s="1729" t="s">
        <v>922</v>
      </c>
      <c r="Q121" s="1730"/>
      <c r="R121" s="1731" t="s">
        <v>923</v>
      </c>
      <c r="S121" s="1728"/>
      <c r="T121" s="1731" t="s">
        <v>921</v>
      </c>
      <c r="U121" s="1728"/>
      <c r="V121" s="1729" t="s">
        <v>922</v>
      </c>
      <c r="W121" s="1730"/>
      <c r="X121" s="1731" t="s">
        <v>923</v>
      </c>
      <c r="Y121" s="1728"/>
      <c r="Z121" s="1731" t="s">
        <v>921</v>
      </c>
      <c r="AA121" s="1728"/>
      <c r="AB121" s="1729" t="s">
        <v>922</v>
      </c>
      <c r="AC121" s="1730"/>
      <c r="AD121" s="1731" t="s">
        <v>923</v>
      </c>
      <c r="AE121" s="1730"/>
      <c r="AF121" s="195"/>
      <c r="AG121" s="2200"/>
      <c r="AH121" t="b">
        <f>AH141</f>
        <v>0</v>
      </c>
    </row>
    <row r="122" spans="1:34" ht="13.5" customHeight="1">
      <c r="A122" s="3054"/>
      <c r="B122" s="3065"/>
      <c r="C122" s="3060"/>
      <c r="D122" s="3061"/>
      <c r="E122" s="3062"/>
      <c r="F122" s="2243">
        <f t="shared" ref="F122:F137" si="24">ROUNDDOWN(B122*D122,2)</f>
        <v>0</v>
      </c>
      <c r="G122" s="2245"/>
      <c r="H122" s="3065"/>
      <c r="I122" s="3066"/>
      <c r="J122" s="3061"/>
      <c r="K122" s="3062"/>
      <c r="L122" s="2243">
        <f t="shared" ref="L122:L137" si="25">ROUNDDOWN(H122*J122,2)</f>
        <v>0</v>
      </c>
      <c r="M122" s="2245"/>
      <c r="N122" s="3065"/>
      <c r="O122" s="3066"/>
      <c r="P122" s="3061"/>
      <c r="Q122" s="3062"/>
      <c r="R122" s="2243">
        <f t="shared" ref="R122:R137" si="26">ROUNDDOWN(N122*P122,2)</f>
        <v>0</v>
      </c>
      <c r="S122" s="2245"/>
      <c r="T122" s="3065"/>
      <c r="U122" s="3060"/>
      <c r="V122" s="3061"/>
      <c r="W122" s="3062"/>
      <c r="X122" s="2243">
        <f t="shared" ref="X122:X137" si="27">ROUNDDOWN(T122*V122,2)</f>
        <v>0</v>
      </c>
      <c r="Y122" s="2245"/>
      <c r="Z122" s="3065"/>
      <c r="AA122" s="3060"/>
      <c r="AB122" s="3059"/>
      <c r="AC122" s="3062"/>
      <c r="AD122" s="3063">
        <f t="shared" ref="AD122:AD137" si="28">ROUNDDOWN(Z122*AB122,2)</f>
        <v>0</v>
      </c>
      <c r="AE122" s="3064"/>
      <c r="AF122" s="2"/>
      <c r="AG122" s="2200"/>
      <c r="AH122" t="b">
        <f t="shared" ref="AH122:AH137" si="29">SUM(B122:AE122)&lt;&gt;0</f>
        <v>0</v>
      </c>
    </row>
    <row r="123" spans="1:34" ht="13.5" customHeight="1">
      <c r="A123" s="3054"/>
      <c r="B123" s="3047"/>
      <c r="C123" s="3044"/>
      <c r="D123" s="3045"/>
      <c r="E123" s="3046"/>
      <c r="F123" s="2203">
        <f t="shared" si="24"/>
        <v>0</v>
      </c>
      <c r="G123" s="2205"/>
      <c r="H123" s="3047"/>
      <c r="I123" s="3048"/>
      <c r="J123" s="3045"/>
      <c r="K123" s="3046"/>
      <c r="L123" s="2203">
        <f t="shared" si="25"/>
        <v>0</v>
      </c>
      <c r="M123" s="2205"/>
      <c r="N123" s="3047"/>
      <c r="O123" s="3048"/>
      <c r="P123" s="3045"/>
      <c r="Q123" s="3046"/>
      <c r="R123" s="2203">
        <f t="shared" si="26"/>
        <v>0</v>
      </c>
      <c r="S123" s="2205"/>
      <c r="T123" s="3047"/>
      <c r="U123" s="3044"/>
      <c r="V123" s="3045"/>
      <c r="W123" s="3046"/>
      <c r="X123" s="2203">
        <f t="shared" si="27"/>
        <v>0</v>
      </c>
      <c r="Y123" s="2205"/>
      <c r="Z123" s="3047"/>
      <c r="AA123" s="3044"/>
      <c r="AB123" s="3043"/>
      <c r="AC123" s="3046"/>
      <c r="AD123" s="2203">
        <f t="shared" si="28"/>
        <v>0</v>
      </c>
      <c r="AE123" s="2205"/>
      <c r="AF123" s="2"/>
      <c r="AG123" s="2200"/>
      <c r="AH123" t="b">
        <f t="shared" si="29"/>
        <v>0</v>
      </c>
    </row>
    <row r="124" spans="1:34" ht="13.5" customHeight="1">
      <c r="A124" s="3054"/>
      <c r="B124" s="3047"/>
      <c r="C124" s="3044"/>
      <c r="D124" s="3045"/>
      <c r="E124" s="3046"/>
      <c r="F124" s="2203">
        <f t="shared" si="24"/>
        <v>0</v>
      </c>
      <c r="G124" s="2205"/>
      <c r="H124" s="3047"/>
      <c r="I124" s="3048"/>
      <c r="J124" s="3045"/>
      <c r="K124" s="3046"/>
      <c r="L124" s="2203">
        <f t="shared" si="25"/>
        <v>0</v>
      </c>
      <c r="M124" s="2205"/>
      <c r="N124" s="3047"/>
      <c r="O124" s="3048"/>
      <c r="P124" s="3045"/>
      <c r="Q124" s="3046"/>
      <c r="R124" s="2203">
        <f t="shared" si="26"/>
        <v>0</v>
      </c>
      <c r="S124" s="2205"/>
      <c r="T124" s="3047"/>
      <c r="U124" s="3044"/>
      <c r="V124" s="3045"/>
      <c r="W124" s="3046"/>
      <c r="X124" s="2203">
        <f t="shared" si="27"/>
        <v>0</v>
      </c>
      <c r="Y124" s="2205"/>
      <c r="Z124" s="3047"/>
      <c r="AA124" s="3044"/>
      <c r="AB124" s="3043"/>
      <c r="AC124" s="3046"/>
      <c r="AD124" s="2203">
        <f t="shared" si="28"/>
        <v>0</v>
      </c>
      <c r="AE124" s="2205"/>
      <c r="AF124" s="2"/>
      <c r="AG124" s="2200"/>
      <c r="AH124" t="b">
        <f t="shared" si="29"/>
        <v>0</v>
      </c>
    </row>
    <row r="125" spans="1:34" ht="13.5" customHeight="1">
      <c r="A125" s="3054"/>
      <c r="B125" s="3047"/>
      <c r="C125" s="3044"/>
      <c r="D125" s="3045"/>
      <c r="E125" s="3046"/>
      <c r="F125" s="2203">
        <f t="shared" si="24"/>
        <v>0</v>
      </c>
      <c r="G125" s="2205"/>
      <c r="H125" s="3047"/>
      <c r="I125" s="3048"/>
      <c r="J125" s="3045"/>
      <c r="K125" s="3046"/>
      <c r="L125" s="2203">
        <f t="shared" si="25"/>
        <v>0</v>
      </c>
      <c r="M125" s="2205"/>
      <c r="N125" s="3047"/>
      <c r="O125" s="3048"/>
      <c r="P125" s="3045"/>
      <c r="Q125" s="3046"/>
      <c r="R125" s="2203">
        <f t="shared" si="26"/>
        <v>0</v>
      </c>
      <c r="S125" s="2205"/>
      <c r="T125" s="3047"/>
      <c r="U125" s="3044"/>
      <c r="V125" s="3045"/>
      <c r="W125" s="3046"/>
      <c r="X125" s="2203">
        <f t="shared" si="27"/>
        <v>0</v>
      </c>
      <c r="Y125" s="2205"/>
      <c r="Z125" s="3047"/>
      <c r="AA125" s="3044"/>
      <c r="AB125" s="3043"/>
      <c r="AC125" s="3046"/>
      <c r="AD125" s="2203">
        <f t="shared" si="28"/>
        <v>0</v>
      </c>
      <c r="AE125" s="2205"/>
      <c r="AF125" s="2"/>
      <c r="AG125" s="2200"/>
      <c r="AH125" t="b">
        <f t="shared" si="29"/>
        <v>0</v>
      </c>
    </row>
    <row r="126" spans="1:34" ht="13.5" customHeight="1">
      <c r="A126" s="3054"/>
      <c r="B126" s="3047"/>
      <c r="C126" s="3044"/>
      <c r="D126" s="3045"/>
      <c r="E126" s="3046"/>
      <c r="F126" s="2203">
        <f t="shared" si="24"/>
        <v>0</v>
      </c>
      <c r="G126" s="2205"/>
      <c r="H126" s="3047"/>
      <c r="I126" s="3048"/>
      <c r="J126" s="3045"/>
      <c r="K126" s="3046"/>
      <c r="L126" s="2203">
        <f t="shared" si="25"/>
        <v>0</v>
      </c>
      <c r="M126" s="2205"/>
      <c r="N126" s="3047"/>
      <c r="O126" s="3048"/>
      <c r="P126" s="3045"/>
      <c r="Q126" s="3046"/>
      <c r="R126" s="2203">
        <f t="shared" si="26"/>
        <v>0</v>
      </c>
      <c r="S126" s="2205"/>
      <c r="T126" s="3047"/>
      <c r="U126" s="3044"/>
      <c r="V126" s="3045"/>
      <c r="W126" s="3046"/>
      <c r="X126" s="2203">
        <f t="shared" si="27"/>
        <v>0</v>
      </c>
      <c r="Y126" s="2205"/>
      <c r="Z126" s="3047"/>
      <c r="AA126" s="3044"/>
      <c r="AB126" s="3043"/>
      <c r="AC126" s="3046"/>
      <c r="AD126" s="2203">
        <f t="shared" si="28"/>
        <v>0</v>
      </c>
      <c r="AE126" s="2205"/>
      <c r="AF126" s="2"/>
      <c r="AG126" s="2200"/>
      <c r="AH126" t="b">
        <f t="shared" si="29"/>
        <v>0</v>
      </c>
    </row>
    <row r="127" spans="1:34" ht="13.5" customHeight="1">
      <c r="A127" s="3054"/>
      <c r="B127" s="3047"/>
      <c r="C127" s="3044"/>
      <c r="D127" s="3045"/>
      <c r="E127" s="3046"/>
      <c r="F127" s="2203">
        <f t="shared" si="24"/>
        <v>0</v>
      </c>
      <c r="G127" s="2205"/>
      <c r="H127" s="3047"/>
      <c r="I127" s="3048"/>
      <c r="J127" s="3045"/>
      <c r="K127" s="3046"/>
      <c r="L127" s="2203">
        <f t="shared" si="25"/>
        <v>0</v>
      </c>
      <c r="M127" s="2205"/>
      <c r="N127" s="3047"/>
      <c r="O127" s="3048"/>
      <c r="P127" s="3045"/>
      <c r="Q127" s="3046"/>
      <c r="R127" s="2203">
        <f t="shared" si="26"/>
        <v>0</v>
      </c>
      <c r="S127" s="2205"/>
      <c r="T127" s="3047"/>
      <c r="U127" s="3044"/>
      <c r="V127" s="3045"/>
      <c r="W127" s="3046"/>
      <c r="X127" s="2203">
        <f t="shared" si="27"/>
        <v>0</v>
      </c>
      <c r="Y127" s="2205"/>
      <c r="Z127" s="3047"/>
      <c r="AA127" s="3044"/>
      <c r="AB127" s="3043"/>
      <c r="AC127" s="3046"/>
      <c r="AD127" s="2203">
        <f t="shared" si="28"/>
        <v>0</v>
      </c>
      <c r="AE127" s="2205"/>
      <c r="AF127" s="2"/>
      <c r="AG127" s="2200"/>
      <c r="AH127" t="b">
        <f t="shared" si="29"/>
        <v>0</v>
      </c>
    </row>
    <row r="128" spans="1:34" ht="13.5" customHeight="1">
      <c r="A128" s="3054"/>
      <c r="B128" s="3047"/>
      <c r="C128" s="3044"/>
      <c r="D128" s="3045"/>
      <c r="E128" s="3046"/>
      <c r="F128" s="2203">
        <f t="shared" si="24"/>
        <v>0</v>
      </c>
      <c r="G128" s="2205"/>
      <c r="H128" s="3047"/>
      <c r="I128" s="3048"/>
      <c r="J128" s="3045"/>
      <c r="K128" s="3046"/>
      <c r="L128" s="2203">
        <f t="shared" si="25"/>
        <v>0</v>
      </c>
      <c r="M128" s="2205"/>
      <c r="N128" s="3047"/>
      <c r="O128" s="3048"/>
      <c r="P128" s="3045"/>
      <c r="Q128" s="3046"/>
      <c r="R128" s="2203">
        <f t="shared" si="26"/>
        <v>0</v>
      </c>
      <c r="S128" s="2205"/>
      <c r="T128" s="3047"/>
      <c r="U128" s="3044"/>
      <c r="V128" s="3045"/>
      <c r="W128" s="3046"/>
      <c r="X128" s="2203">
        <f t="shared" si="27"/>
        <v>0</v>
      </c>
      <c r="Y128" s="2205"/>
      <c r="Z128" s="3047"/>
      <c r="AA128" s="3044"/>
      <c r="AB128" s="3043"/>
      <c r="AC128" s="3046"/>
      <c r="AD128" s="2203">
        <f t="shared" si="28"/>
        <v>0</v>
      </c>
      <c r="AE128" s="2205"/>
      <c r="AF128" s="2"/>
      <c r="AG128" s="2200"/>
      <c r="AH128" t="b">
        <f t="shared" si="29"/>
        <v>0</v>
      </c>
    </row>
    <row r="129" spans="1:34" ht="13.5" customHeight="1">
      <c r="A129" s="3054"/>
      <c r="B129" s="3047"/>
      <c r="C129" s="3044"/>
      <c r="D129" s="3045"/>
      <c r="E129" s="3046"/>
      <c r="F129" s="2203">
        <f t="shared" si="24"/>
        <v>0</v>
      </c>
      <c r="G129" s="2205"/>
      <c r="H129" s="3047"/>
      <c r="I129" s="3048"/>
      <c r="J129" s="3045"/>
      <c r="K129" s="3046"/>
      <c r="L129" s="2203">
        <f t="shared" si="25"/>
        <v>0</v>
      </c>
      <c r="M129" s="2205"/>
      <c r="N129" s="3047"/>
      <c r="O129" s="3048"/>
      <c r="P129" s="3045"/>
      <c r="Q129" s="3046"/>
      <c r="R129" s="2203">
        <f t="shared" si="26"/>
        <v>0</v>
      </c>
      <c r="S129" s="2205"/>
      <c r="T129" s="3047"/>
      <c r="U129" s="3044"/>
      <c r="V129" s="3045"/>
      <c r="W129" s="3046"/>
      <c r="X129" s="2203">
        <f t="shared" si="27"/>
        <v>0</v>
      </c>
      <c r="Y129" s="2205"/>
      <c r="Z129" s="3047"/>
      <c r="AA129" s="3044"/>
      <c r="AB129" s="3043"/>
      <c r="AC129" s="3046"/>
      <c r="AD129" s="2203">
        <f t="shared" si="28"/>
        <v>0</v>
      </c>
      <c r="AE129" s="2205"/>
      <c r="AF129" s="2"/>
      <c r="AG129" s="2200"/>
      <c r="AH129" t="b">
        <f t="shared" si="29"/>
        <v>0</v>
      </c>
    </row>
    <row r="130" spans="1:34" ht="13.5" customHeight="1">
      <c r="A130" s="3054"/>
      <c r="B130" s="3047"/>
      <c r="C130" s="3044"/>
      <c r="D130" s="3045"/>
      <c r="E130" s="3046"/>
      <c r="F130" s="2203">
        <f t="shared" si="24"/>
        <v>0</v>
      </c>
      <c r="G130" s="2205"/>
      <c r="H130" s="3047"/>
      <c r="I130" s="3048"/>
      <c r="J130" s="3045"/>
      <c r="K130" s="3046"/>
      <c r="L130" s="2203">
        <f t="shared" si="25"/>
        <v>0</v>
      </c>
      <c r="M130" s="2205"/>
      <c r="N130" s="3047"/>
      <c r="O130" s="3048"/>
      <c r="P130" s="3045"/>
      <c r="Q130" s="3046"/>
      <c r="R130" s="2203">
        <f t="shared" si="26"/>
        <v>0</v>
      </c>
      <c r="S130" s="2205"/>
      <c r="T130" s="3047"/>
      <c r="U130" s="3044"/>
      <c r="V130" s="3045"/>
      <c r="W130" s="3046"/>
      <c r="X130" s="2203">
        <f t="shared" si="27"/>
        <v>0</v>
      </c>
      <c r="Y130" s="2205"/>
      <c r="Z130" s="3047"/>
      <c r="AA130" s="3044"/>
      <c r="AB130" s="3043"/>
      <c r="AC130" s="3046"/>
      <c r="AD130" s="2203">
        <f t="shared" si="28"/>
        <v>0</v>
      </c>
      <c r="AE130" s="2205"/>
      <c r="AF130" s="2"/>
      <c r="AG130" s="2200"/>
      <c r="AH130" t="b">
        <f t="shared" si="29"/>
        <v>0</v>
      </c>
    </row>
    <row r="131" spans="1:34" ht="13.5" customHeight="1">
      <c r="A131" s="3054"/>
      <c r="B131" s="3047"/>
      <c r="C131" s="3044"/>
      <c r="D131" s="3045"/>
      <c r="E131" s="3046"/>
      <c r="F131" s="2203">
        <f t="shared" si="24"/>
        <v>0</v>
      </c>
      <c r="G131" s="2205"/>
      <c r="H131" s="3047"/>
      <c r="I131" s="3048"/>
      <c r="J131" s="3045"/>
      <c r="K131" s="3046"/>
      <c r="L131" s="2203">
        <f t="shared" si="25"/>
        <v>0</v>
      </c>
      <c r="M131" s="2205"/>
      <c r="N131" s="3047"/>
      <c r="O131" s="3048"/>
      <c r="P131" s="3045"/>
      <c r="Q131" s="3046"/>
      <c r="R131" s="2203">
        <f t="shared" si="26"/>
        <v>0</v>
      </c>
      <c r="S131" s="2205"/>
      <c r="T131" s="3047"/>
      <c r="U131" s="3044"/>
      <c r="V131" s="3045"/>
      <c r="W131" s="3046"/>
      <c r="X131" s="2203">
        <f t="shared" si="27"/>
        <v>0</v>
      </c>
      <c r="Y131" s="2205"/>
      <c r="Z131" s="3047"/>
      <c r="AA131" s="3044"/>
      <c r="AB131" s="3043"/>
      <c r="AC131" s="3046"/>
      <c r="AD131" s="2203">
        <f t="shared" si="28"/>
        <v>0</v>
      </c>
      <c r="AE131" s="2205"/>
      <c r="AF131" s="2"/>
      <c r="AG131" s="2200"/>
      <c r="AH131" t="b">
        <f t="shared" si="29"/>
        <v>0</v>
      </c>
    </row>
    <row r="132" spans="1:34" ht="13.5" customHeight="1">
      <c r="A132" s="3054"/>
      <c r="B132" s="3047"/>
      <c r="C132" s="3044"/>
      <c r="D132" s="3045"/>
      <c r="E132" s="3046"/>
      <c r="F132" s="2203">
        <f t="shared" si="24"/>
        <v>0</v>
      </c>
      <c r="G132" s="2205"/>
      <c r="H132" s="3047"/>
      <c r="I132" s="3048"/>
      <c r="J132" s="3045"/>
      <c r="K132" s="3046"/>
      <c r="L132" s="2203">
        <f t="shared" si="25"/>
        <v>0</v>
      </c>
      <c r="M132" s="2205"/>
      <c r="N132" s="3047"/>
      <c r="O132" s="3048"/>
      <c r="P132" s="3045"/>
      <c r="Q132" s="3046"/>
      <c r="R132" s="2203">
        <f t="shared" si="26"/>
        <v>0</v>
      </c>
      <c r="S132" s="2205"/>
      <c r="T132" s="3047"/>
      <c r="U132" s="3044"/>
      <c r="V132" s="3045"/>
      <c r="W132" s="3046"/>
      <c r="X132" s="2203">
        <f t="shared" si="27"/>
        <v>0</v>
      </c>
      <c r="Y132" s="2205"/>
      <c r="Z132" s="3047"/>
      <c r="AA132" s="3044"/>
      <c r="AB132" s="3043"/>
      <c r="AC132" s="3046"/>
      <c r="AD132" s="2203">
        <f t="shared" si="28"/>
        <v>0</v>
      </c>
      <c r="AE132" s="2205"/>
      <c r="AF132" s="2"/>
      <c r="AG132" s="2200"/>
      <c r="AH132" t="b">
        <f t="shared" si="29"/>
        <v>0</v>
      </c>
    </row>
    <row r="133" spans="1:34" ht="13.5" customHeight="1">
      <c r="A133" s="3054"/>
      <c r="B133" s="3047"/>
      <c r="C133" s="3044"/>
      <c r="D133" s="3045"/>
      <c r="E133" s="3046"/>
      <c r="F133" s="2203">
        <f t="shared" si="24"/>
        <v>0</v>
      </c>
      <c r="G133" s="2205"/>
      <c r="H133" s="3047"/>
      <c r="I133" s="3048"/>
      <c r="J133" s="3045"/>
      <c r="K133" s="3046"/>
      <c r="L133" s="2203">
        <f t="shared" si="25"/>
        <v>0</v>
      </c>
      <c r="M133" s="2205"/>
      <c r="N133" s="3047"/>
      <c r="O133" s="3048"/>
      <c r="P133" s="3045"/>
      <c r="Q133" s="3046"/>
      <c r="R133" s="2203">
        <f t="shared" si="26"/>
        <v>0</v>
      </c>
      <c r="S133" s="2205"/>
      <c r="T133" s="3047"/>
      <c r="U133" s="3044"/>
      <c r="V133" s="3045"/>
      <c r="W133" s="3046"/>
      <c r="X133" s="2203">
        <f t="shared" si="27"/>
        <v>0</v>
      </c>
      <c r="Y133" s="2205"/>
      <c r="Z133" s="3047"/>
      <c r="AA133" s="3044"/>
      <c r="AB133" s="3043"/>
      <c r="AC133" s="3046"/>
      <c r="AD133" s="2203">
        <f t="shared" si="28"/>
        <v>0</v>
      </c>
      <c r="AE133" s="2205"/>
      <c r="AF133" s="2"/>
      <c r="AG133" s="2200"/>
      <c r="AH133" t="b">
        <f t="shared" si="29"/>
        <v>0</v>
      </c>
    </row>
    <row r="134" spans="1:34" ht="13.5" customHeight="1">
      <c r="A134" s="3054"/>
      <c r="B134" s="3047"/>
      <c r="C134" s="3044"/>
      <c r="D134" s="3045"/>
      <c r="E134" s="3046"/>
      <c r="F134" s="2203">
        <f t="shared" si="24"/>
        <v>0</v>
      </c>
      <c r="G134" s="2205"/>
      <c r="H134" s="3047"/>
      <c r="I134" s="3048"/>
      <c r="J134" s="3045"/>
      <c r="K134" s="3046"/>
      <c r="L134" s="2203">
        <f t="shared" si="25"/>
        <v>0</v>
      </c>
      <c r="M134" s="2205"/>
      <c r="N134" s="3047"/>
      <c r="O134" s="3048"/>
      <c r="P134" s="3045"/>
      <c r="Q134" s="3046"/>
      <c r="R134" s="2203">
        <f t="shared" si="26"/>
        <v>0</v>
      </c>
      <c r="S134" s="2205"/>
      <c r="T134" s="3047"/>
      <c r="U134" s="3044"/>
      <c r="V134" s="3045"/>
      <c r="W134" s="3046"/>
      <c r="X134" s="2203">
        <f t="shared" si="27"/>
        <v>0</v>
      </c>
      <c r="Y134" s="2205"/>
      <c r="Z134" s="3047"/>
      <c r="AA134" s="3044"/>
      <c r="AB134" s="3043"/>
      <c r="AC134" s="3046"/>
      <c r="AD134" s="2203">
        <f t="shared" si="28"/>
        <v>0</v>
      </c>
      <c r="AE134" s="2205"/>
      <c r="AF134" s="2"/>
      <c r="AG134" s="2200"/>
      <c r="AH134" t="b">
        <f t="shared" si="29"/>
        <v>0</v>
      </c>
    </row>
    <row r="135" spans="1:34" ht="13.5" customHeight="1">
      <c r="A135" s="3054"/>
      <c r="B135" s="3047"/>
      <c r="C135" s="3044"/>
      <c r="D135" s="3045"/>
      <c r="E135" s="3046"/>
      <c r="F135" s="2203">
        <f t="shared" si="24"/>
        <v>0</v>
      </c>
      <c r="G135" s="2205"/>
      <c r="H135" s="3047"/>
      <c r="I135" s="3048"/>
      <c r="J135" s="3045"/>
      <c r="K135" s="3046"/>
      <c r="L135" s="2203">
        <f t="shared" si="25"/>
        <v>0</v>
      </c>
      <c r="M135" s="2205"/>
      <c r="N135" s="3047"/>
      <c r="O135" s="3048"/>
      <c r="P135" s="3045"/>
      <c r="Q135" s="3046"/>
      <c r="R135" s="2203">
        <f t="shared" si="26"/>
        <v>0</v>
      </c>
      <c r="S135" s="2205"/>
      <c r="T135" s="3047"/>
      <c r="U135" s="3044"/>
      <c r="V135" s="3045"/>
      <c r="W135" s="3046"/>
      <c r="X135" s="2203">
        <f t="shared" si="27"/>
        <v>0</v>
      </c>
      <c r="Y135" s="2205"/>
      <c r="Z135" s="3047"/>
      <c r="AA135" s="3044"/>
      <c r="AB135" s="3043"/>
      <c r="AC135" s="3046"/>
      <c r="AD135" s="2203">
        <f t="shared" si="28"/>
        <v>0</v>
      </c>
      <c r="AE135" s="2205"/>
      <c r="AF135" s="2"/>
      <c r="AG135" s="2200"/>
      <c r="AH135" t="b">
        <f t="shared" si="29"/>
        <v>0</v>
      </c>
    </row>
    <row r="136" spans="1:34" ht="13.5" customHeight="1">
      <c r="A136" s="3054"/>
      <c r="B136" s="3047"/>
      <c r="C136" s="3044"/>
      <c r="D136" s="3045"/>
      <c r="E136" s="3046"/>
      <c r="F136" s="2203">
        <f t="shared" si="24"/>
        <v>0</v>
      </c>
      <c r="G136" s="2205"/>
      <c r="H136" s="3047"/>
      <c r="I136" s="3048"/>
      <c r="J136" s="3045"/>
      <c r="K136" s="3046"/>
      <c r="L136" s="2203">
        <f t="shared" si="25"/>
        <v>0</v>
      </c>
      <c r="M136" s="2205"/>
      <c r="N136" s="3047"/>
      <c r="O136" s="3048"/>
      <c r="P136" s="3045"/>
      <c r="Q136" s="3046"/>
      <c r="R136" s="2203">
        <f t="shared" si="26"/>
        <v>0</v>
      </c>
      <c r="S136" s="2205"/>
      <c r="T136" s="3047"/>
      <c r="U136" s="3044"/>
      <c r="V136" s="3045"/>
      <c r="W136" s="3046"/>
      <c r="X136" s="2203">
        <f t="shared" si="27"/>
        <v>0</v>
      </c>
      <c r="Y136" s="2205"/>
      <c r="Z136" s="3047"/>
      <c r="AA136" s="3044"/>
      <c r="AB136" s="3043"/>
      <c r="AC136" s="3046"/>
      <c r="AD136" s="2203">
        <f t="shared" si="28"/>
        <v>0</v>
      </c>
      <c r="AE136" s="2205"/>
      <c r="AF136" s="2"/>
      <c r="AG136" s="2200"/>
      <c r="AH136" t="b">
        <f t="shared" si="29"/>
        <v>0</v>
      </c>
    </row>
    <row r="137" spans="1:34" ht="13.5" customHeight="1">
      <c r="A137" s="3055"/>
      <c r="B137" s="3037"/>
      <c r="C137" s="3038"/>
      <c r="D137" s="3039"/>
      <c r="E137" s="3040"/>
      <c r="F137" s="2359">
        <f t="shared" si="24"/>
        <v>0</v>
      </c>
      <c r="G137" s="2940"/>
      <c r="H137" s="3037"/>
      <c r="I137" s="3049"/>
      <c r="J137" s="3039"/>
      <c r="K137" s="3040"/>
      <c r="L137" s="2359">
        <f t="shared" si="25"/>
        <v>0</v>
      </c>
      <c r="M137" s="2940"/>
      <c r="N137" s="3037"/>
      <c r="O137" s="3049"/>
      <c r="P137" s="3039"/>
      <c r="Q137" s="3040"/>
      <c r="R137" s="2359">
        <f t="shared" si="26"/>
        <v>0</v>
      </c>
      <c r="S137" s="2940"/>
      <c r="T137" s="3037"/>
      <c r="U137" s="3038"/>
      <c r="V137" s="3039"/>
      <c r="W137" s="3040"/>
      <c r="X137" s="2359">
        <f t="shared" si="27"/>
        <v>0</v>
      </c>
      <c r="Y137" s="2940"/>
      <c r="Z137" s="3051"/>
      <c r="AA137" s="3052"/>
      <c r="AB137" s="3041"/>
      <c r="AC137" s="3042"/>
      <c r="AD137" s="2359">
        <f t="shared" si="28"/>
        <v>0</v>
      </c>
      <c r="AE137" s="2940"/>
      <c r="AF137" s="2"/>
      <c r="AG137" s="2200"/>
      <c r="AH137" t="b">
        <f t="shared" si="29"/>
        <v>0</v>
      </c>
    </row>
    <row r="138" spans="1:34" ht="13.5" customHeight="1">
      <c r="A138" s="1733" t="s">
        <v>924</v>
      </c>
      <c r="B138" s="3034"/>
      <c r="C138" s="3035"/>
      <c r="D138" s="3035"/>
      <c r="E138" s="3035"/>
      <c r="F138" s="3035"/>
      <c r="G138" s="3036"/>
      <c r="H138" s="3034"/>
      <c r="I138" s="3035"/>
      <c r="J138" s="3035"/>
      <c r="K138" s="3035"/>
      <c r="L138" s="3035"/>
      <c r="M138" s="3036"/>
      <c r="N138" s="3034"/>
      <c r="O138" s="3035"/>
      <c r="P138" s="3035"/>
      <c r="Q138" s="3035"/>
      <c r="R138" s="3035"/>
      <c r="S138" s="3036"/>
      <c r="T138" s="3034"/>
      <c r="U138" s="3035"/>
      <c r="V138" s="3035"/>
      <c r="W138" s="3035"/>
      <c r="X138" s="3035"/>
      <c r="Y138" s="3036"/>
      <c r="Z138" s="3034"/>
      <c r="AA138" s="3035"/>
      <c r="AB138" s="3035"/>
      <c r="AC138" s="3035"/>
      <c r="AD138" s="3035"/>
      <c r="AE138" s="3036"/>
      <c r="AF138" s="195"/>
      <c r="AG138" s="2200"/>
      <c r="AH138" t="b">
        <f>AH141</f>
        <v>0</v>
      </c>
    </row>
    <row r="139" spans="1:34" ht="13.5" customHeight="1" thickBot="1">
      <c r="A139" s="1733" t="s">
        <v>925</v>
      </c>
      <c r="B139" s="3028">
        <f>SUM(F122:F137)</f>
        <v>0</v>
      </c>
      <c r="C139" s="3029"/>
      <c r="D139" s="3029"/>
      <c r="E139" s="3029"/>
      <c r="F139" s="3029"/>
      <c r="G139" s="3030"/>
      <c r="H139" s="3028">
        <f>SUM(L122:L137)</f>
        <v>0</v>
      </c>
      <c r="I139" s="3029"/>
      <c r="J139" s="3029"/>
      <c r="K139" s="3029"/>
      <c r="L139" s="3029"/>
      <c r="M139" s="3030"/>
      <c r="N139" s="3028">
        <f>SUM(R122:R137)</f>
        <v>0</v>
      </c>
      <c r="O139" s="3029"/>
      <c r="P139" s="3029"/>
      <c r="Q139" s="3029"/>
      <c r="R139" s="3029"/>
      <c r="S139" s="3030"/>
      <c r="T139" s="3028">
        <f>SUM(X122:X137)</f>
        <v>0</v>
      </c>
      <c r="U139" s="3029"/>
      <c r="V139" s="3029"/>
      <c r="W139" s="3029"/>
      <c r="X139" s="3029"/>
      <c r="Y139" s="3030"/>
      <c r="Z139" s="3028">
        <f>SUM(AD122:AD137)</f>
        <v>0</v>
      </c>
      <c r="AA139" s="3029"/>
      <c r="AB139" s="3029"/>
      <c r="AC139" s="3029"/>
      <c r="AD139" s="3029"/>
      <c r="AE139" s="3030"/>
      <c r="AF139" s="2"/>
      <c r="AG139" s="2200"/>
      <c r="AH139" t="b">
        <f>AH141</f>
        <v>0</v>
      </c>
    </row>
    <row r="140" spans="1:34" ht="13.5" customHeight="1">
      <c r="A140" s="1733" t="s">
        <v>926</v>
      </c>
      <c r="B140" s="3028">
        <f>E150</f>
        <v>0</v>
      </c>
      <c r="C140" s="3029"/>
      <c r="D140" s="3029"/>
      <c r="E140" s="3029"/>
      <c r="F140" s="3029"/>
      <c r="G140" s="3030"/>
      <c r="H140" s="3028">
        <f t="shared" ref="H140" si="30">K150</f>
        <v>0</v>
      </c>
      <c r="I140" s="3029"/>
      <c r="J140" s="3029"/>
      <c r="K140" s="3029"/>
      <c r="L140" s="3029"/>
      <c r="M140" s="3030"/>
      <c r="N140" s="3028">
        <f t="shared" ref="N140" si="31">Q150</f>
        <v>0</v>
      </c>
      <c r="O140" s="3029"/>
      <c r="P140" s="3029"/>
      <c r="Q140" s="3029"/>
      <c r="R140" s="3029"/>
      <c r="S140" s="3030"/>
      <c r="T140" s="3028">
        <f t="shared" ref="T140" si="32">W150</f>
        <v>0</v>
      </c>
      <c r="U140" s="3029"/>
      <c r="V140" s="3029"/>
      <c r="W140" s="3029"/>
      <c r="X140" s="3029"/>
      <c r="Y140" s="3030"/>
      <c r="Z140" s="3028">
        <f t="shared" ref="Z140" si="33">AC150</f>
        <v>0</v>
      </c>
      <c r="AA140" s="3029"/>
      <c r="AB140" s="3029"/>
      <c r="AC140" s="3029"/>
      <c r="AD140" s="3029"/>
      <c r="AE140" s="3030"/>
      <c r="AF140" s="1732" t="s">
        <v>905</v>
      </c>
      <c r="AG140" s="2200"/>
      <c r="AH140" t="b">
        <f>AH141</f>
        <v>0</v>
      </c>
    </row>
    <row r="141" spans="1:34" ht="13.5" customHeight="1" thickBot="1">
      <c r="A141" s="1733" t="s">
        <v>928</v>
      </c>
      <c r="B141" s="2543">
        <f>B139-B140</f>
        <v>0</v>
      </c>
      <c r="C141" s="2544"/>
      <c r="D141" s="2544"/>
      <c r="E141" s="2544"/>
      <c r="F141" s="2544"/>
      <c r="G141" s="3027"/>
      <c r="H141" s="2543">
        <f>H139-H140</f>
        <v>0</v>
      </c>
      <c r="I141" s="2544"/>
      <c r="J141" s="2544"/>
      <c r="K141" s="2544"/>
      <c r="L141" s="2544"/>
      <c r="M141" s="3027"/>
      <c r="N141" s="2543">
        <f>N139-N140</f>
        <v>0</v>
      </c>
      <c r="O141" s="2544"/>
      <c r="P141" s="2544"/>
      <c r="Q141" s="2544"/>
      <c r="R141" s="2544"/>
      <c r="S141" s="3027"/>
      <c r="T141" s="2543">
        <f>T139-T140</f>
        <v>0</v>
      </c>
      <c r="U141" s="2544"/>
      <c r="V141" s="2544"/>
      <c r="W141" s="2544"/>
      <c r="X141" s="2544"/>
      <c r="Y141" s="3027"/>
      <c r="Z141" s="2543">
        <f>Z139-Z140</f>
        <v>0</v>
      </c>
      <c r="AA141" s="2544"/>
      <c r="AB141" s="2544"/>
      <c r="AC141" s="2544"/>
      <c r="AD141" s="2544"/>
      <c r="AE141" s="3068"/>
      <c r="AF141" s="196">
        <f>SUMIF(B138:AE138,"*",B141:AE141)-SUMIF(B138:AE138,"無し",B141:AE141)+SUMIF(B172:AE172,"*",B175:AE175)-SUMIF(B172:AE172,"無し",B175:AE175)</f>
        <v>0</v>
      </c>
      <c r="AG141" s="2200"/>
      <c r="AH141" t="b">
        <f>AF141&lt;&gt;0</f>
        <v>0</v>
      </c>
    </row>
    <row r="142" spans="1:34" ht="13.5" customHeight="1">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G142" s="2200"/>
      <c r="AH142" t="b">
        <f>AH150</f>
        <v>0</v>
      </c>
    </row>
    <row r="143" spans="1:34" ht="13.5" customHeight="1">
      <c r="A143" s="1737" t="s">
        <v>5548</v>
      </c>
      <c r="B143" s="3084" t="str">
        <f>B120</f>
        <v>（名称自由入力）</v>
      </c>
      <c r="C143" s="3085"/>
      <c r="D143" s="3085"/>
      <c r="E143" s="3085"/>
      <c r="F143" s="3085"/>
      <c r="G143" s="3086"/>
      <c r="H143" s="3084" t="str">
        <f>H120</f>
        <v>（名称自由入力）</v>
      </c>
      <c r="I143" s="3085"/>
      <c r="J143" s="3085"/>
      <c r="K143" s="3085"/>
      <c r="L143" s="3085"/>
      <c r="M143" s="3086"/>
      <c r="N143" s="3084" t="str">
        <f>N120</f>
        <v>（名称自由入力）</v>
      </c>
      <c r="O143" s="3085"/>
      <c r="P143" s="3085"/>
      <c r="Q143" s="3085"/>
      <c r="R143" s="3085"/>
      <c r="S143" s="3086"/>
      <c r="T143" s="3084" t="str">
        <f>T120</f>
        <v>（名称自由入力）</v>
      </c>
      <c r="U143" s="3085"/>
      <c r="V143" s="3085"/>
      <c r="W143" s="3085"/>
      <c r="X143" s="3085"/>
      <c r="Y143" s="3086"/>
      <c r="Z143" s="3084" t="str">
        <f>Z120</f>
        <v>（名称自由入力）</v>
      </c>
      <c r="AA143" s="3085"/>
      <c r="AB143" s="3085"/>
      <c r="AC143" s="3085"/>
      <c r="AD143" s="3085"/>
      <c r="AE143" s="3086"/>
      <c r="AF143" s="195"/>
      <c r="AG143" s="2200"/>
      <c r="AH143" t="b">
        <f>AH150</f>
        <v>0</v>
      </c>
    </row>
    <row r="144" spans="1:34" ht="13.5" customHeight="1">
      <c r="A144" s="1738" t="s">
        <v>5547</v>
      </c>
      <c r="B144" s="3087"/>
      <c r="C144" s="3087"/>
      <c r="D144" s="3087"/>
      <c r="E144" s="3091">
        <f t="shared" ref="E144:E149" si="34">SUMIF(外部開口,B144,外部開口面積)</f>
        <v>0</v>
      </c>
      <c r="F144" s="3091"/>
      <c r="G144" s="3091"/>
      <c r="H144" s="3087"/>
      <c r="I144" s="3087"/>
      <c r="J144" s="3087"/>
      <c r="K144" s="3091">
        <f t="shared" ref="K144:K149" si="35">SUMIF(外部開口,H144,外部開口面積)</f>
        <v>0</v>
      </c>
      <c r="L144" s="3091"/>
      <c r="M144" s="3091"/>
      <c r="N144" s="3087"/>
      <c r="O144" s="3087"/>
      <c r="P144" s="3087"/>
      <c r="Q144" s="3091">
        <f t="shared" ref="Q144:Q149" si="36">SUMIF(外部開口,N144,外部開口面積)</f>
        <v>0</v>
      </c>
      <c r="R144" s="3091"/>
      <c r="S144" s="3091"/>
      <c r="T144" s="3087"/>
      <c r="U144" s="3087"/>
      <c r="V144" s="3087"/>
      <c r="W144" s="3091">
        <f t="shared" ref="W144:W149" si="37">SUMIF(外部開口,T144,外部開口面積)</f>
        <v>0</v>
      </c>
      <c r="X144" s="3091"/>
      <c r="Y144" s="3091"/>
      <c r="Z144" s="3087"/>
      <c r="AA144" s="3087"/>
      <c r="AB144" s="3087"/>
      <c r="AC144" s="3091">
        <f t="shared" ref="AC144:AC149" si="38">SUMIF(外部開口,Z144,外部開口面積)</f>
        <v>0</v>
      </c>
      <c r="AD144" s="3091"/>
      <c r="AE144" s="3091"/>
      <c r="AF144" s="195"/>
      <c r="AG144" s="2200"/>
      <c r="AH144" t="b">
        <f>SUM(B144:AE144)&lt;&gt;0</f>
        <v>0</v>
      </c>
    </row>
    <row r="145" spans="1:34" ht="13.5" customHeight="1">
      <c r="A145" s="1739"/>
      <c r="B145" s="3088"/>
      <c r="C145" s="3088"/>
      <c r="D145" s="3088"/>
      <c r="E145" s="3092">
        <f t="shared" si="34"/>
        <v>0</v>
      </c>
      <c r="F145" s="3092"/>
      <c r="G145" s="3092"/>
      <c r="H145" s="3088"/>
      <c r="I145" s="3088"/>
      <c r="J145" s="3088"/>
      <c r="K145" s="3092">
        <f t="shared" si="35"/>
        <v>0</v>
      </c>
      <c r="L145" s="3092"/>
      <c r="M145" s="3092"/>
      <c r="N145" s="3088"/>
      <c r="O145" s="3088"/>
      <c r="P145" s="3088"/>
      <c r="Q145" s="3092">
        <f t="shared" si="36"/>
        <v>0</v>
      </c>
      <c r="R145" s="3092"/>
      <c r="S145" s="3092"/>
      <c r="T145" s="3088"/>
      <c r="U145" s="3088"/>
      <c r="V145" s="3088"/>
      <c r="W145" s="3092">
        <f t="shared" si="37"/>
        <v>0</v>
      </c>
      <c r="X145" s="3092"/>
      <c r="Y145" s="3092"/>
      <c r="Z145" s="3088"/>
      <c r="AA145" s="3088"/>
      <c r="AB145" s="3088"/>
      <c r="AC145" s="3092">
        <f t="shared" si="38"/>
        <v>0</v>
      </c>
      <c r="AD145" s="3092"/>
      <c r="AE145" s="3092"/>
      <c r="AF145" s="195"/>
      <c r="AG145" s="2200"/>
      <c r="AH145" t="b">
        <f t="shared" ref="AH145:AH149" si="39">SUM(B145:AE145)&lt;&gt;0</f>
        <v>0</v>
      </c>
    </row>
    <row r="146" spans="1:34" ht="13.5" customHeight="1">
      <c r="A146" s="1739"/>
      <c r="B146" s="3088"/>
      <c r="C146" s="3088"/>
      <c r="D146" s="3088"/>
      <c r="E146" s="3092">
        <f t="shared" si="34"/>
        <v>0</v>
      </c>
      <c r="F146" s="3092"/>
      <c r="G146" s="3092"/>
      <c r="H146" s="3088"/>
      <c r="I146" s="3088"/>
      <c r="J146" s="3088"/>
      <c r="K146" s="3092">
        <f t="shared" si="35"/>
        <v>0</v>
      </c>
      <c r="L146" s="3092"/>
      <c r="M146" s="3092"/>
      <c r="N146" s="3088"/>
      <c r="O146" s="3088"/>
      <c r="P146" s="3088"/>
      <c r="Q146" s="3092">
        <f t="shared" si="36"/>
        <v>0</v>
      </c>
      <c r="R146" s="3092"/>
      <c r="S146" s="3092"/>
      <c r="T146" s="3088"/>
      <c r="U146" s="3088"/>
      <c r="V146" s="3088"/>
      <c r="W146" s="3092">
        <f t="shared" si="37"/>
        <v>0</v>
      </c>
      <c r="X146" s="3092"/>
      <c r="Y146" s="3092"/>
      <c r="Z146" s="3088"/>
      <c r="AA146" s="3088"/>
      <c r="AB146" s="3088"/>
      <c r="AC146" s="3092">
        <f t="shared" si="38"/>
        <v>0</v>
      </c>
      <c r="AD146" s="3092"/>
      <c r="AE146" s="3092"/>
      <c r="AF146" s="195"/>
      <c r="AG146" s="2200"/>
      <c r="AH146" t="b">
        <f t="shared" si="39"/>
        <v>0</v>
      </c>
    </row>
    <row r="147" spans="1:34" ht="13.5" customHeight="1">
      <c r="A147" s="1739"/>
      <c r="B147" s="3088"/>
      <c r="C147" s="3088"/>
      <c r="D147" s="3088"/>
      <c r="E147" s="3092">
        <f t="shared" si="34"/>
        <v>0</v>
      </c>
      <c r="F147" s="3092"/>
      <c r="G147" s="3092"/>
      <c r="H147" s="3088"/>
      <c r="I147" s="3088"/>
      <c r="J147" s="3088"/>
      <c r="K147" s="3092">
        <f t="shared" si="35"/>
        <v>0</v>
      </c>
      <c r="L147" s="3092"/>
      <c r="M147" s="3092"/>
      <c r="N147" s="3088"/>
      <c r="O147" s="3088"/>
      <c r="P147" s="3088"/>
      <c r="Q147" s="3092">
        <f t="shared" si="36"/>
        <v>0</v>
      </c>
      <c r="R147" s="3092"/>
      <c r="S147" s="3092"/>
      <c r="T147" s="3088"/>
      <c r="U147" s="3088"/>
      <c r="V147" s="3088"/>
      <c r="W147" s="3092">
        <f t="shared" si="37"/>
        <v>0</v>
      </c>
      <c r="X147" s="3092"/>
      <c r="Y147" s="3092"/>
      <c r="Z147" s="3088"/>
      <c r="AA147" s="3088"/>
      <c r="AB147" s="3088"/>
      <c r="AC147" s="3092">
        <f t="shared" si="38"/>
        <v>0</v>
      </c>
      <c r="AD147" s="3092"/>
      <c r="AE147" s="3092"/>
      <c r="AF147" s="195"/>
      <c r="AG147" s="2200"/>
      <c r="AH147" t="b">
        <f t="shared" si="39"/>
        <v>0</v>
      </c>
    </row>
    <row r="148" spans="1:34" ht="13.5" customHeight="1">
      <c r="A148" s="1739"/>
      <c r="B148" s="3088"/>
      <c r="C148" s="3088"/>
      <c r="D148" s="3088"/>
      <c r="E148" s="3092">
        <f t="shared" si="34"/>
        <v>0</v>
      </c>
      <c r="F148" s="3092"/>
      <c r="G148" s="3092"/>
      <c r="H148" s="3088"/>
      <c r="I148" s="3088"/>
      <c r="J148" s="3088"/>
      <c r="K148" s="3092">
        <f t="shared" si="35"/>
        <v>0</v>
      </c>
      <c r="L148" s="3092"/>
      <c r="M148" s="3092"/>
      <c r="N148" s="3088"/>
      <c r="O148" s="3088"/>
      <c r="P148" s="3088"/>
      <c r="Q148" s="3092">
        <f t="shared" si="36"/>
        <v>0</v>
      </c>
      <c r="R148" s="3092"/>
      <c r="S148" s="3092"/>
      <c r="T148" s="3088"/>
      <c r="U148" s="3088"/>
      <c r="V148" s="3088"/>
      <c r="W148" s="3092">
        <f t="shared" si="37"/>
        <v>0</v>
      </c>
      <c r="X148" s="3092"/>
      <c r="Y148" s="3092"/>
      <c r="Z148" s="3088"/>
      <c r="AA148" s="3088"/>
      <c r="AB148" s="3088"/>
      <c r="AC148" s="3092">
        <f t="shared" si="38"/>
        <v>0</v>
      </c>
      <c r="AD148" s="3092"/>
      <c r="AE148" s="3092"/>
      <c r="AF148" s="195"/>
      <c r="AG148" s="2200"/>
      <c r="AH148" t="b">
        <f t="shared" si="39"/>
        <v>0</v>
      </c>
    </row>
    <row r="149" spans="1:34" ht="13.5" customHeight="1">
      <c r="A149" s="1739"/>
      <c r="B149" s="3089"/>
      <c r="C149" s="3089"/>
      <c r="D149" s="3089"/>
      <c r="E149" s="3093">
        <f t="shared" si="34"/>
        <v>0</v>
      </c>
      <c r="F149" s="3093"/>
      <c r="G149" s="3093"/>
      <c r="H149" s="3089"/>
      <c r="I149" s="3089"/>
      <c r="J149" s="3089"/>
      <c r="K149" s="3093">
        <f t="shared" si="35"/>
        <v>0</v>
      </c>
      <c r="L149" s="3093"/>
      <c r="M149" s="3093"/>
      <c r="N149" s="3089"/>
      <c r="O149" s="3089"/>
      <c r="P149" s="3089"/>
      <c r="Q149" s="3093">
        <f t="shared" si="36"/>
        <v>0</v>
      </c>
      <c r="R149" s="3093"/>
      <c r="S149" s="3093"/>
      <c r="T149" s="3089"/>
      <c r="U149" s="3089"/>
      <c r="V149" s="3089"/>
      <c r="W149" s="3093">
        <f t="shared" si="37"/>
        <v>0</v>
      </c>
      <c r="X149" s="3093"/>
      <c r="Y149" s="3093"/>
      <c r="Z149" s="3089"/>
      <c r="AA149" s="3089"/>
      <c r="AB149" s="3089"/>
      <c r="AC149" s="3093">
        <f t="shared" si="38"/>
        <v>0</v>
      </c>
      <c r="AD149" s="3093"/>
      <c r="AE149" s="3093"/>
      <c r="AF149" s="195"/>
      <c r="AG149" s="2200"/>
      <c r="AH149" t="b">
        <f t="shared" si="39"/>
        <v>0</v>
      </c>
    </row>
    <row r="150" spans="1:34" ht="13.5" customHeight="1">
      <c r="A150" s="1740"/>
      <c r="B150" s="3090" t="s">
        <v>498</v>
      </c>
      <c r="C150" s="3090"/>
      <c r="D150" s="3090"/>
      <c r="E150" s="3094">
        <f>SUM(E144:E149)</f>
        <v>0</v>
      </c>
      <c r="F150" s="3094"/>
      <c r="G150" s="3094"/>
      <c r="H150" s="3090" t="s">
        <v>498</v>
      </c>
      <c r="I150" s="3090"/>
      <c r="J150" s="3090"/>
      <c r="K150" s="3094">
        <f t="shared" ref="K150" si="40">SUM(K144:K149)</f>
        <v>0</v>
      </c>
      <c r="L150" s="3094"/>
      <c r="M150" s="3094"/>
      <c r="N150" s="3090" t="s">
        <v>498</v>
      </c>
      <c r="O150" s="3090"/>
      <c r="P150" s="3090"/>
      <c r="Q150" s="3094">
        <f t="shared" ref="Q150" si="41">SUM(Q144:Q149)</f>
        <v>0</v>
      </c>
      <c r="R150" s="3094"/>
      <c r="S150" s="3094"/>
      <c r="T150" s="3090" t="s">
        <v>498</v>
      </c>
      <c r="U150" s="3090"/>
      <c r="V150" s="3090"/>
      <c r="W150" s="3094">
        <f t="shared" ref="W150" si="42">SUM(W144:W149)</f>
        <v>0</v>
      </c>
      <c r="X150" s="3094"/>
      <c r="Y150" s="3094"/>
      <c r="Z150" s="3090" t="s">
        <v>498</v>
      </c>
      <c r="AA150" s="3090"/>
      <c r="AB150" s="3090"/>
      <c r="AC150" s="3094">
        <f t="shared" ref="AC150" si="43">SUM(AC144:AC149)</f>
        <v>0</v>
      </c>
      <c r="AD150" s="3094"/>
      <c r="AE150" s="3094"/>
      <c r="AF150" s="195"/>
      <c r="AG150" s="2200"/>
      <c r="AH150" t="b">
        <f>SUM(A150:AE150)&gt;0</f>
        <v>0</v>
      </c>
    </row>
    <row r="151" spans="1:34" ht="13.5" customHeight="1">
      <c r="B151" s="1023" t="s">
        <v>5588</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195"/>
      <c r="AG151" s="2200"/>
      <c r="AH151" t="b">
        <v>0</v>
      </c>
    </row>
    <row r="152" spans="1:34" ht="13.5" customHeight="1">
      <c r="B152" s="1023" t="s">
        <v>5587</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195"/>
      <c r="AG152" s="2200"/>
      <c r="AH152" t="b">
        <v>0</v>
      </c>
    </row>
    <row r="153" spans="1:34" ht="13.5" customHeight="1">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195"/>
      <c r="AG153" s="2200"/>
      <c r="AH153" t="b">
        <f>AH175</f>
        <v>0</v>
      </c>
    </row>
    <row r="154" spans="1:34" ht="13.5" customHeight="1">
      <c r="A154" s="3053" t="s">
        <v>906</v>
      </c>
      <c r="B154" s="3056" t="s">
        <v>920</v>
      </c>
      <c r="C154" s="3057"/>
      <c r="D154" s="3057"/>
      <c r="E154" s="3057"/>
      <c r="F154" s="3057"/>
      <c r="G154" s="3058"/>
      <c r="H154" s="3056" t="s">
        <v>920</v>
      </c>
      <c r="I154" s="3057"/>
      <c r="J154" s="3057"/>
      <c r="K154" s="3057"/>
      <c r="L154" s="3057"/>
      <c r="M154" s="3058"/>
      <c r="N154" s="3056" t="s">
        <v>920</v>
      </c>
      <c r="O154" s="3057"/>
      <c r="P154" s="3057"/>
      <c r="Q154" s="3057"/>
      <c r="R154" s="3057"/>
      <c r="S154" s="3058"/>
      <c r="T154" s="3056" t="s">
        <v>920</v>
      </c>
      <c r="U154" s="3057"/>
      <c r="V154" s="3057"/>
      <c r="W154" s="3057"/>
      <c r="X154" s="3057"/>
      <c r="Y154" s="3058"/>
      <c r="Z154" s="3056" t="s">
        <v>920</v>
      </c>
      <c r="AA154" s="3057"/>
      <c r="AB154" s="3057"/>
      <c r="AC154" s="3057"/>
      <c r="AD154" s="3057"/>
      <c r="AE154" s="3058"/>
      <c r="AG154" s="2200"/>
      <c r="AH154" t="b">
        <f>AH175</f>
        <v>0</v>
      </c>
    </row>
    <row r="155" spans="1:34" ht="13.5" customHeight="1">
      <c r="A155" s="3054"/>
      <c r="B155" s="1731" t="s">
        <v>921</v>
      </c>
      <c r="C155" s="1728"/>
      <c r="D155" s="1729" t="s">
        <v>922</v>
      </c>
      <c r="E155" s="1730"/>
      <c r="F155" s="1731" t="s">
        <v>923</v>
      </c>
      <c r="G155" s="1728"/>
      <c r="H155" s="1731" t="s">
        <v>921</v>
      </c>
      <c r="I155" s="1728"/>
      <c r="J155" s="1729" t="s">
        <v>922</v>
      </c>
      <c r="K155" s="1730"/>
      <c r="L155" s="1731" t="s">
        <v>923</v>
      </c>
      <c r="M155" s="1728"/>
      <c r="N155" s="1731" t="s">
        <v>921</v>
      </c>
      <c r="O155" s="1728"/>
      <c r="P155" s="1729" t="s">
        <v>922</v>
      </c>
      <c r="Q155" s="1730"/>
      <c r="R155" s="1731" t="s">
        <v>923</v>
      </c>
      <c r="S155" s="1728"/>
      <c r="T155" s="1731" t="s">
        <v>921</v>
      </c>
      <c r="U155" s="1728"/>
      <c r="V155" s="1729" t="s">
        <v>922</v>
      </c>
      <c r="W155" s="1730"/>
      <c r="X155" s="1731" t="s">
        <v>923</v>
      </c>
      <c r="Y155" s="1728"/>
      <c r="Z155" s="1731" t="s">
        <v>921</v>
      </c>
      <c r="AA155" s="1728"/>
      <c r="AB155" s="1729" t="s">
        <v>922</v>
      </c>
      <c r="AC155" s="1730"/>
      <c r="AD155" s="1731" t="s">
        <v>923</v>
      </c>
      <c r="AE155" s="1730"/>
      <c r="AF155" s="195"/>
      <c r="AG155" s="2200"/>
      <c r="AH155" t="b">
        <f>AH175</f>
        <v>0</v>
      </c>
    </row>
    <row r="156" spans="1:34" ht="13.5" customHeight="1">
      <c r="A156" s="3054"/>
      <c r="B156" s="3065"/>
      <c r="C156" s="3060"/>
      <c r="D156" s="3061"/>
      <c r="E156" s="3062"/>
      <c r="F156" s="2243">
        <f t="shared" ref="F156:F171" si="44">ROUNDDOWN(B156*D156,2)</f>
        <v>0</v>
      </c>
      <c r="G156" s="2245"/>
      <c r="H156" s="3065"/>
      <c r="I156" s="3066"/>
      <c r="J156" s="3061"/>
      <c r="K156" s="3062"/>
      <c r="L156" s="2243">
        <f t="shared" ref="L156:L171" si="45">ROUNDDOWN(H156*J156,2)</f>
        <v>0</v>
      </c>
      <c r="M156" s="2245"/>
      <c r="N156" s="3065"/>
      <c r="O156" s="3066"/>
      <c r="P156" s="3061"/>
      <c r="Q156" s="3062"/>
      <c r="R156" s="2243">
        <f t="shared" ref="R156:R171" si="46">ROUNDDOWN(N156*P156,2)</f>
        <v>0</v>
      </c>
      <c r="S156" s="2245"/>
      <c r="T156" s="3065"/>
      <c r="U156" s="3060"/>
      <c r="V156" s="3061"/>
      <c r="W156" s="3062"/>
      <c r="X156" s="2243">
        <f t="shared" ref="X156:X171" si="47">ROUNDDOWN(T156*V156,2)</f>
        <v>0</v>
      </c>
      <c r="Y156" s="2245"/>
      <c r="Z156" s="3065"/>
      <c r="AA156" s="3060"/>
      <c r="AB156" s="3059"/>
      <c r="AC156" s="3062"/>
      <c r="AD156" s="3063">
        <f t="shared" ref="AD156:AD171" si="48">ROUNDDOWN(Z156*AB156,2)</f>
        <v>0</v>
      </c>
      <c r="AE156" s="3064"/>
      <c r="AF156" s="2"/>
      <c r="AG156" s="2200"/>
      <c r="AH156" t="b">
        <f t="shared" ref="AH156:AH171" si="49">SUM(B156:AE156)&lt;&gt;0</f>
        <v>0</v>
      </c>
    </row>
    <row r="157" spans="1:34" ht="13.5" customHeight="1">
      <c r="A157" s="3054"/>
      <c r="B157" s="3047"/>
      <c r="C157" s="3044"/>
      <c r="D157" s="3045"/>
      <c r="E157" s="3046"/>
      <c r="F157" s="2203">
        <f t="shared" si="44"/>
        <v>0</v>
      </c>
      <c r="G157" s="2205"/>
      <c r="H157" s="3047"/>
      <c r="I157" s="3048"/>
      <c r="J157" s="3045"/>
      <c r="K157" s="3046"/>
      <c r="L157" s="2203">
        <f t="shared" si="45"/>
        <v>0</v>
      </c>
      <c r="M157" s="2205"/>
      <c r="N157" s="3047"/>
      <c r="O157" s="3048"/>
      <c r="P157" s="3045"/>
      <c r="Q157" s="3046"/>
      <c r="R157" s="2203">
        <f t="shared" si="46"/>
        <v>0</v>
      </c>
      <c r="S157" s="2205"/>
      <c r="T157" s="3047"/>
      <c r="U157" s="3044"/>
      <c r="V157" s="3045"/>
      <c r="W157" s="3046"/>
      <c r="X157" s="2203">
        <f t="shared" si="47"/>
        <v>0</v>
      </c>
      <c r="Y157" s="2205"/>
      <c r="Z157" s="3047"/>
      <c r="AA157" s="3044"/>
      <c r="AB157" s="3043"/>
      <c r="AC157" s="3046"/>
      <c r="AD157" s="2203">
        <f t="shared" si="48"/>
        <v>0</v>
      </c>
      <c r="AE157" s="2205"/>
      <c r="AF157" s="2"/>
      <c r="AG157" s="2200"/>
      <c r="AH157" t="b">
        <f t="shared" si="49"/>
        <v>0</v>
      </c>
    </row>
    <row r="158" spans="1:34" ht="13.5" customHeight="1">
      <c r="A158" s="3054"/>
      <c r="B158" s="3047"/>
      <c r="C158" s="3044"/>
      <c r="D158" s="3045"/>
      <c r="E158" s="3046"/>
      <c r="F158" s="2203">
        <f t="shared" si="44"/>
        <v>0</v>
      </c>
      <c r="G158" s="2205"/>
      <c r="H158" s="3047"/>
      <c r="I158" s="3048"/>
      <c r="J158" s="3045"/>
      <c r="K158" s="3046"/>
      <c r="L158" s="2203">
        <f t="shared" si="45"/>
        <v>0</v>
      </c>
      <c r="M158" s="2205"/>
      <c r="N158" s="3047"/>
      <c r="O158" s="3048"/>
      <c r="P158" s="3045"/>
      <c r="Q158" s="3046"/>
      <c r="R158" s="2203">
        <f t="shared" si="46"/>
        <v>0</v>
      </c>
      <c r="S158" s="2205"/>
      <c r="T158" s="3047"/>
      <c r="U158" s="3044"/>
      <c r="V158" s="3045"/>
      <c r="W158" s="3046"/>
      <c r="X158" s="2203">
        <f t="shared" si="47"/>
        <v>0</v>
      </c>
      <c r="Y158" s="2205"/>
      <c r="Z158" s="3047"/>
      <c r="AA158" s="3044"/>
      <c r="AB158" s="3043"/>
      <c r="AC158" s="3046"/>
      <c r="AD158" s="2203">
        <f t="shared" si="48"/>
        <v>0</v>
      </c>
      <c r="AE158" s="2205"/>
      <c r="AF158" s="2"/>
      <c r="AG158" s="2200"/>
      <c r="AH158" t="b">
        <f t="shared" si="49"/>
        <v>0</v>
      </c>
    </row>
    <row r="159" spans="1:34" ht="13.5" customHeight="1">
      <c r="A159" s="3054"/>
      <c r="B159" s="3047"/>
      <c r="C159" s="3044"/>
      <c r="D159" s="3045"/>
      <c r="E159" s="3046"/>
      <c r="F159" s="2203">
        <f t="shared" si="44"/>
        <v>0</v>
      </c>
      <c r="G159" s="2205"/>
      <c r="H159" s="3047"/>
      <c r="I159" s="3048"/>
      <c r="J159" s="3045"/>
      <c r="K159" s="3046"/>
      <c r="L159" s="2203">
        <f t="shared" si="45"/>
        <v>0</v>
      </c>
      <c r="M159" s="2205"/>
      <c r="N159" s="3047"/>
      <c r="O159" s="3048"/>
      <c r="P159" s="3045"/>
      <c r="Q159" s="3046"/>
      <c r="R159" s="2203">
        <f t="shared" si="46"/>
        <v>0</v>
      </c>
      <c r="S159" s="2205"/>
      <c r="T159" s="3047"/>
      <c r="U159" s="3044"/>
      <c r="V159" s="3045"/>
      <c r="W159" s="3046"/>
      <c r="X159" s="2203">
        <f t="shared" si="47"/>
        <v>0</v>
      </c>
      <c r="Y159" s="2205"/>
      <c r="Z159" s="3047"/>
      <c r="AA159" s="3044"/>
      <c r="AB159" s="3043"/>
      <c r="AC159" s="3046"/>
      <c r="AD159" s="2203">
        <f t="shared" si="48"/>
        <v>0</v>
      </c>
      <c r="AE159" s="2205"/>
      <c r="AF159" s="2"/>
      <c r="AG159" s="2200"/>
      <c r="AH159" t="b">
        <f t="shared" si="49"/>
        <v>0</v>
      </c>
    </row>
    <row r="160" spans="1:34" ht="13.5" customHeight="1">
      <c r="A160" s="3054"/>
      <c r="B160" s="3047"/>
      <c r="C160" s="3044"/>
      <c r="D160" s="3045"/>
      <c r="E160" s="3046"/>
      <c r="F160" s="2203">
        <f t="shared" si="44"/>
        <v>0</v>
      </c>
      <c r="G160" s="2205"/>
      <c r="H160" s="3047"/>
      <c r="I160" s="3048"/>
      <c r="J160" s="3045"/>
      <c r="K160" s="3046"/>
      <c r="L160" s="2203">
        <f t="shared" si="45"/>
        <v>0</v>
      </c>
      <c r="M160" s="2205"/>
      <c r="N160" s="3047"/>
      <c r="O160" s="3048"/>
      <c r="P160" s="3045"/>
      <c r="Q160" s="3046"/>
      <c r="R160" s="2203">
        <f t="shared" si="46"/>
        <v>0</v>
      </c>
      <c r="S160" s="2205"/>
      <c r="T160" s="3047"/>
      <c r="U160" s="3044"/>
      <c r="V160" s="3045"/>
      <c r="W160" s="3046"/>
      <c r="X160" s="2203">
        <f t="shared" si="47"/>
        <v>0</v>
      </c>
      <c r="Y160" s="2205"/>
      <c r="Z160" s="3047"/>
      <c r="AA160" s="3044"/>
      <c r="AB160" s="3043"/>
      <c r="AC160" s="3046"/>
      <c r="AD160" s="2203">
        <f t="shared" si="48"/>
        <v>0</v>
      </c>
      <c r="AE160" s="2205"/>
      <c r="AF160" s="2"/>
      <c r="AG160" s="2200"/>
      <c r="AH160" t="b">
        <f t="shared" si="49"/>
        <v>0</v>
      </c>
    </row>
    <row r="161" spans="1:34" ht="13.5" customHeight="1">
      <c r="A161" s="3054"/>
      <c r="B161" s="3047"/>
      <c r="C161" s="3044"/>
      <c r="D161" s="3045"/>
      <c r="E161" s="3046"/>
      <c r="F161" s="2203">
        <f t="shared" si="44"/>
        <v>0</v>
      </c>
      <c r="G161" s="2205"/>
      <c r="H161" s="3047"/>
      <c r="I161" s="3048"/>
      <c r="J161" s="3045"/>
      <c r="K161" s="3046"/>
      <c r="L161" s="2203">
        <f t="shared" si="45"/>
        <v>0</v>
      </c>
      <c r="M161" s="2205"/>
      <c r="N161" s="3047"/>
      <c r="O161" s="3048"/>
      <c r="P161" s="3045"/>
      <c r="Q161" s="3046"/>
      <c r="R161" s="2203">
        <f t="shared" si="46"/>
        <v>0</v>
      </c>
      <c r="S161" s="2205"/>
      <c r="T161" s="3047"/>
      <c r="U161" s="3044"/>
      <c r="V161" s="3045"/>
      <c r="W161" s="3046"/>
      <c r="X161" s="2203">
        <f t="shared" si="47"/>
        <v>0</v>
      </c>
      <c r="Y161" s="2205"/>
      <c r="Z161" s="3047"/>
      <c r="AA161" s="3044"/>
      <c r="AB161" s="3043"/>
      <c r="AC161" s="3046"/>
      <c r="AD161" s="2203">
        <f t="shared" si="48"/>
        <v>0</v>
      </c>
      <c r="AE161" s="2205"/>
      <c r="AF161" s="2"/>
      <c r="AG161" s="2200"/>
      <c r="AH161" t="b">
        <f t="shared" si="49"/>
        <v>0</v>
      </c>
    </row>
    <row r="162" spans="1:34" ht="13.5" customHeight="1">
      <c r="A162" s="3054"/>
      <c r="B162" s="3047"/>
      <c r="C162" s="3044"/>
      <c r="D162" s="3045"/>
      <c r="E162" s="3046"/>
      <c r="F162" s="2203">
        <f t="shared" si="44"/>
        <v>0</v>
      </c>
      <c r="G162" s="2205"/>
      <c r="H162" s="3047"/>
      <c r="I162" s="3048"/>
      <c r="J162" s="3045"/>
      <c r="K162" s="3046"/>
      <c r="L162" s="2203">
        <f t="shared" si="45"/>
        <v>0</v>
      </c>
      <c r="M162" s="2205"/>
      <c r="N162" s="3047"/>
      <c r="O162" s="3048"/>
      <c r="P162" s="3045"/>
      <c r="Q162" s="3046"/>
      <c r="R162" s="2203">
        <f t="shared" si="46"/>
        <v>0</v>
      </c>
      <c r="S162" s="2205"/>
      <c r="T162" s="3047"/>
      <c r="U162" s="3044"/>
      <c r="V162" s="3045"/>
      <c r="W162" s="3046"/>
      <c r="X162" s="2203">
        <f t="shared" si="47"/>
        <v>0</v>
      </c>
      <c r="Y162" s="2205"/>
      <c r="Z162" s="3047"/>
      <c r="AA162" s="3044"/>
      <c r="AB162" s="3043"/>
      <c r="AC162" s="3046"/>
      <c r="AD162" s="2203">
        <f t="shared" si="48"/>
        <v>0</v>
      </c>
      <c r="AE162" s="2205"/>
      <c r="AF162" s="2"/>
      <c r="AG162" s="2200"/>
      <c r="AH162" t="b">
        <f t="shared" si="49"/>
        <v>0</v>
      </c>
    </row>
    <row r="163" spans="1:34" ht="13.5" customHeight="1">
      <c r="A163" s="3054"/>
      <c r="B163" s="3047"/>
      <c r="C163" s="3044"/>
      <c r="D163" s="3045"/>
      <c r="E163" s="3046"/>
      <c r="F163" s="2203">
        <f t="shared" si="44"/>
        <v>0</v>
      </c>
      <c r="G163" s="2205"/>
      <c r="H163" s="3047"/>
      <c r="I163" s="3048"/>
      <c r="J163" s="3045"/>
      <c r="K163" s="3046"/>
      <c r="L163" s="2203">
        <f t="shared" si="45"/>
        <v>0</v>
      </c>
      <c r="M163" s="2205"/>
      <c r="N163" s="3047"/>
      <c r="O163" s="3048"/>
      <c r="P163" s="3045"/>
      <c r="Q163" s="3046"/>
      <c r="R163" s="2203">
        <f t="shared" si="46"/>
        <v>0</v>
      </c>
      <c r="S163" s="2205"/>
      <c r="T163" s="3047"/>
      <c r="U163" s="3044"/>
      <c r="V163" s="3045"/>
      <c r="W163" s="3046"/>
      <c r="X163" s="2203">
        <f t="shared" si="47"/>
        <v>0</v>
      </c>
      <c r="Y163" s="2205"/>
      <c r="Z163" s="3047"/>
      <c r="AA163" s="3044"/>
      <c r="AB163" s="3043"/>
      <c r="AC163" s="3046"/>
      <c r="AD163" s="2203">
        <f t="shared" si="48"/>
        <v>0</v>
      </c>
      <c r="AE163" s="2205"/>
      <c r="AF163" s="2"/>
      <c r="AG163" s="2200"/>
      <c r="AH163" t="b">
        <f t="shared" si="49"/>
        <v>0</v>
      </c>
    </row>
    <row r="164" spans="1:34" ht="13.5" customHeight="1">
      <c r="A164" s="3054"/>
      <c r="B164" s="3047"/>
      <c r="C164" s="3044"/>
      <c r="D164" s="3045"/>
      <c r="E164" s="3046"/>
      <c r="F164" s="2203">
        <f t="shared" si="44"/>
        <v>0</v>
      </c>
      <c r="G164" s="2205"/>
      <c r="H164" s="3047"/>
      <c r="I164" s="3048"/>
      <c r="J164" s="3045"/>
      <c r="K164" s="3046"/>
      <c r="L164" s="2203">
        <f t="shared" si="45"/>
        <v>0</v>
      </c>
      <c r="M164" s="2205"/>
      <c r="N164" s="3047"/>
      <c r="O164" s="3048"/>
      <c r="P164" s="3045"/>
      <c r="Q164" s="3046"/>
      <c r="R164" s="2203">
        <f t="shared" si="46"/>
        <v>0</v>
      </c>
      <c r="S164" s="2205"/>
      <c r="T164" s="3047"/>
      <c r="U164" s="3044"/>
      <c r="V164" s="3045"/>
      <c r="W164" s="3046"/>
      <c r="X164" s="2203">
        <f t="shared" si="47"/>
        <v>0</v>
      </c>
      <c r="Y164" s="2205"/>
      <c r="Z164" s="3047"/>
      <c r="AA164" s="3044"/>
      <c r="AB164" s="3043"/>
      <c r="AC164" s="3046"/>
      <c r="AD164" s="2203">
        <f t="shared" si="48"/>
        <v>0</v>
      </c>
      <c r="AE164" s="2205"/>
      <c r="AF164" s="2"/>
      <c r="AG164" s="2200"/>
      <c r="AH164" t="b">
        <f t="shared" si="49"/>
        <v>0</v>
      </c>
    </row>
    <row r="165" spans="1:34" ht="13.5" customHeight="1">
      <c r="A165" s="3054"/>
      <c r="B165" s="3047"/>
      <c r="C165" s="3044"/>
      <c r="D165" s="3045"/>
      <c r="E165" s="3046"/>
      <c r="F165" s="2203">
        <f t="shared" si="44"/>
        <v>0</v>
      </c>
      <c r="G165" s="2205"/>
      <c r="H165" s="3047"/>
      <c r="I165" s="3048"/>
      <c r="J165" s="3045"/>
      <c r="K165" s="3046"/>
      <c r="L165" s="2203">
        <f t="shared" si="45"/>
        <v>0</v>
      </c>
      <c r="M165" s="2205"/>
      <c r="N165" s="3047"/>
      <c r="O165" s="3048"/>
      <c r="P165" s="3045"/>
      <c r="Q165" s="3046"/>
      <c r="R165" s="2203">
        <f t="shared" si="46"/>
        <v>0</v>
      </c>
      <c r="S165" s="2205"/>
      <c r="T165" s="3047"/>
      <c r="U165" s="3044"/>
      <c r="V165" s="3045"/>
      <c r="W165" s="3046"/>
      <c r="X165" s="2203">
        <f t="shared" si="47"/>
        <v>0</v>
      </c>
      <c r="Y165" s="2205"/>
      <c r="Z165" s="3047"/>
      <c r="AA165" s="3044"/>
      <c r="AB165" s="3043"/>
      <c r="AC165" s="3046"/>
      <c r="AD165" s="2203">
        <f t="shared" si="48"/>
        <v>0</v>
      </c>
      <c r="AE165" s="2205"/>
      <c r="AF165" s="2"/>
      <c r="AG165" s="2200"/>
      <c r="AH165" t="b">
        <f t="shared" si="49"/>
        <v>0</v>
      </c>
    </row>
    <row r="166" spans="1:34" ht="13.5" customHeight="1">
      <c r="A166" s="3054"/>
      <c r="B166" s="3047"/>
      <c r="C166" s="3044"/>
      <c r="D166" s="3045"/>
      <c r="E166" s="3046"/>
      <c r="F166" s="2203">
        <f t="shared" si="44"/>
        <v>0</v>
      </c>
      <c r="G166" s="2205"/>
      <c r="H166" s="3047"/>
      <c r="I166" s="3048"/>
      <c r="J166" s="3045"/>
      <c r="K166" s="3046"/>
      <c r="L166" s="2203">
        <f t="shared" si="45"/>
        <v>0</v>
      </c>
      <c r="M166" s="2205"/>
      <c r="N166" s="3047"/>
      <c r="O166" s="3048"/>
      <c r="P166" s="3045"/>
      <c r="Q166" s="3046"/>
      <c r="R166" s="2203">
        <f t="shared" si="46"/>
        <v>0</v>
      </c>
      <c r="S166" s="2205"/>
      <c r="T166" s="3047"/>
      <c r="U166" s="3044"/>
      <c r="V166" s="3045"/>
      <c r="W166" s="3046"/>
      <c r="X166" s="2203">
        <f t="shared" si="47"/>
        <v>0</v>
      </c>
      <c r="Y166" s="2205"/>
      <c r="Z166" s="3047"/>
      <c r="AA166" s="3044"/>
      <c r="AB166" s="3043"/>
      <c r="AC166" s="3046"/>
      <c r="AD166" s="2203">
        <f t="shared" si="48"/>
        <v>0</v>
      </c>
      <c r="AE166" s="2205"/>
      <c r="AF166" s="2"/>
      <c r="AG166" s="2200"/>
      <c r="AH166" t="b">
        <f t="shared" si="49"/>
        <v>0</v>
      </c>
    </row>
    <row r="167" spans="1:34" ht="13.5" customHeight="1">
      <c r="A167" s="3054"/>
      <c r="B167" s="3047"/>
      <c r="C167" s="3044"/>
      <c r="D167" s="3045"/>
      <c r="E167" s="3046"/>
      <c r="F167" s="2203">
        <f t="shared" si="44"/>
        <v>0</v>
      </c>
      <c r="G167" s="2205"/>
      <c r="H167" s="3047"/>
      <c r="I167" s="3048"/>
      <c r="J167" s="3045"/>
      <c r="K167" s="3046"/>
      <c r="L167" s="2203">
        <f t="shared" si="45"/>
        <v>0</v>
      </c>
      <c r="M167" s="2205"/>
      <c r="N167" s="3047"/>
      <c r="O167" s="3048"/>
      <c r="P167" s="3045"/>
      <c r="Q167" s="3046"/>
      <c r="R167" s="2203">
        <f t="shared" si="46"/>
        <v>0</v>
      </c>
      <c r="S167" s="2205"/>
      <c r="T167" s="3047"/>
      <c r="U167" s="3044"/>
      <c r="V167" s="3045"/>
      <c r="W167" s="3046"/>
      <c r="X167" s="2203">
        <f t="shared" si="47"/>
        <v>0</v>
      </c>
      <c r="Y167" s="2205"/>
      <c r="Z167" s="3047"/>
      <c r="AA167" s="3044"/>
      <c r="AB167" s="3043"/>
      <c r="AC167" s="3046"/>
      <c r="AD167" s="2203">
        <f t="shared" si="48"/>
        <v>0</v>
      </c>
      <c r="AE167" s="2205"/>
      <c r="AF167" s="2"/>
      <c r="AG167" s="2200"/>
      <c r="AH167" t="b">
        <f t="shared" si="49"/>
        <v>0</v>
      </c>
    </row>
    <row r="168" spans="1:34" ht="13.5" customHeight="1">
      <c r="A168" s="3054"/>
      <c r="B168" s="3047"/>
      <c r="C168" s="3044"/>
      <c r="D168" s="3045"/>
      <c r="E168" s="3046"/>
      <c r="F168" s="2203">
        <f t="shared" si="44"/>
        <v>0</v>
      </c>
      <c r="G168" s="2205"/>
      <c r="H168" s="3047"/>
      <c r="I168" s="3048"/>
      <c r="J168" s="3045"/>
      <c r="K168" s="3046"/>
      <c r="L168" s="2203">
        <f t="shared" si="45"/>
        <v>0</v>
      </c>
      <c r="M168" s="2205"/>
      <c r="N168" s="3047"/>
      <c r="O168" s="3048"/>
      <c r="P168" s="3045"/>
      <c r="Q168" s="3046"/>
      <c r="R168" s="2203">
        <f t="shared" si="46"/>
        <v>0</v>
      </c>
      <c r="S168" s="2205"/>
      <c r="T168" s="3047"/>
      <c r="U168" s="3044"/>
      <c r="V168" s="3045"/>
      <c r="W168" s="3046"/>
      <c r="X168" s="2203">
        <f t="shared" si="47"/>
        <v>0</v>
      </c>
      <c r="Y168" s="2205"/>
      <c r="Z168" s="3047"/>
      <c r="AA168" s="3044"/>
      <c r="AB168" s="3043"/>
      <c r="AC168" s="3046"/>
      <c r="AD168" s="2203">
        <f t="shared" si="48"/>
        <v>0</v>
      </c>
      <c r="AE168" s="2205"/>
      <c r="AF168" s="2"/>
      <c r="AG168" s="2200"/>
      <c r="AH168" t="b">
        <f t="shared" si="49"/>
        <v>0</v>
      </c>
    </row>
    <row r="169" spans="1:34" ht="13.5" customHeight="1">
      <c r="A169" s="3054"/>
      <c r="B169" s="3047"/>
      <c r="C169" s="3044"/>
      <c r="D169" s="3045"/>
      <c r="E169" s="3046"/>
      <c r="F169" s="2203">
        <f t="shared" si="44"/>
        <v>0</v>
      </c>
      <c r="G169" s="2205"/>
      <c r="H169" s="3047"/>
      <c r="I169" s="3048"/>
      <c r="J169" s="3045"/>
      <c r="K169" s="3046"/>
      <c r="L169" s="2203">
        <f t="shared" si="45"/>
        <v>0</v>
      </c>
      <c r="M169" s="2205"/>
      <c r="N169" s="3047"/>
      <c r="O169" s="3048"/>
      <c r="P169" s="3045"/>
      <c r="Q169" s="3046"/>
      <c r="R169" s="2203">
        <f t="shared" si="46"/>
        <v>0</v>
      </c>
      <c r="S169" s="2205"/>
      <c r="T169" s="3047"/>
      <c r="U169" s="3044"/>
      <c r="V169" s="3045"/>
      <c r="W169" s="3046"/>
      <c r="X169" s="2203">
        <f t="shared" si="47"/>
        <v>0</v>
      </c>
      <c r="Y169" s="2205"/>
      <c r="Z169" s="3047"/>
      <c r="AA169" s="3044"/>
      <c r="AB169" s="3043"/>
      <c r="AC169" s="3046"/>
      <c r="AD169" s="2203">
        <f t="shared" si="48"/>
        <v>0</v>
      </c>
      <c r="AE169" s="2205"/>
      <c r="AF169" s="2"/>
      <c r="AG169" s="2200"/>
      <c r="AH169" t="b">
        <f t="shared" si="49"/>
        <v>0</v>
      </c>
    </row>
    <row r="170" spans="1:34" ht="13.5" customHeight="1">
      <c r="A170" s="3054"/>
      <c r="B170" s="3047"/>
      <c r="C170" s="3044"/>
      <c r="D170" s="3045"/>
      <c r="E170" s="3046"/>
      <c r="F170" s="2203">
        <f t="shared" si="44"/>
        <v>0</v>
      </c>
      <c r="G170" s="2205"/>
      <c r="H170" s="3047"/>
      <c r="I170" s="3048"/>
      <c r="J170" s="3045"/>
      <c r="K170" s="3046"/>
      <c r="L170" s="2203">
        <f t="shared" si="45"/>
        <v>0</v>
      </c>
      <c r="M170" s="2205"/>
      <c r="N170" s="3047"/>
      <c r="O170" s="3048"/>
      <c r="P170" s="3045"/>
      <c r="Q170" s="3046"/>
      <c r="R170" s="2203">
        <f t="shared" si="46"/>
        <v>0</v>
      </c>
      <c r="S170" s="2205"/>
      <c r="T170" s="3047"/>
      <c r="U170" s="3044"/>
      <c r="V170" s="3045"/>
      <c r="W170" s="3046"/>
      <c r="X170" s="2203">
        <f t="shared" si="47"/>
        <v>0</v>
      </c>
      <c r="Y170" s="2205"/>
      <c r="Z170" s="3047"/>
      <c r="AA170" s="3044"/>
      <c r="AB170" s="3043"/>
      <c r="AC170" s="3046"/>
      <c r="AD170" s="2203">
        <f t="shared" si="48"/>
        <v>0</v>
      </c>
      <c r="AE170" s="2205"/>
      <c r="AF170" s="2"/>
      <c r="AG170" s="2200"/>
      <c r="AH170" t="b">
        <f t="shared" si="49"/>
        <v>0</v>
      </c>
    </row>
    <row r="171" spans="1:34" ht="13.5" customHeight="1">
      <c r="A171" s="3055"/>
      <c r="B171" s="3037"/>
      <c r="C171" s="3038"/>
      <c r="D171" s="3039"/>
      <c r="E171" s="3040"/>
      <c r="F171" s="2359">
        <f t="shared" si="44"/>
        <v>0</v>
      </c>
      <c r="G171" s="2940"/>
      <c r="H171" s="3037"/>
      <c r="I171" s="3049"/>
      <c r="J171" s="3039"/>
      <c r="K171" s="3040"/>
      <c r="L171" s="2359">
        <f t="shared" si="45"/>
        <v>0</v>
      </c>
      <c r="M171" s="2940"/>
      <c r="N171" s="3037"/>
      <c r="O171" s="3049"/>
      <c r="P171" s="3039"/>
      <c r="Q171" s="3040"/>
      <c r="R171" s="2359">
        <f t="shared" si="46"/>
        <v>0</v>
      </c>
      <c r="S171" s="2940"/>
      <c r="T171" s="3037"/>
      <c r="U171" s="3038"/>
      <c r="V171" s="3039"/>
      <c r="W171" s="3040"/>
      <c r="X171" s="2359">
        <f t="shared" si="47"/>
        <v>0</v>
      </c>
      <c r="Y171" s="2940"/>
      <c r="Z171" s="3051"/>
      <c r="AA171" s="3052"/>
      <c r="AB171" s="3041"/>
      <c r="AC171" s="3042"/>
      <c r="AD171" s="2359">
        <f t="shared" si="48"/>
        <v>0</v>
      </c>
      <c r="AE171" s="2940"/>
      <c r="AF171" s="2"/>
      <c r="AG171" s="2200"/>
      <c r="AH171" t="b">
        <f t="shared" si="49"/>
        <v>0</v>
      </c>
    </row>
    <row r="172" spans="1:34" ht="13.5" customHeight="1">
      <c r="A172" s="1733" t="s">
        <v>924</v>
      </c>
      <c r="B172" s="3034"/>
      <c r="C172" s="3035"/>
      <c r="D172" s="3035"/>
      <c r="E172" s="3035"/>
      <c r="F172" s="3035"/>
      <c r="G172" s="3036"/>
      <c r="H172" s="3034"/>
      <c r="I172" s="3035"/>
      <c r="J172" s="3035"/>
      <c r="K172" s="3035"/>
      <c r="L172" s="3035"/>
      <c r="M172" s="3036"/>
      <c r="N172" s="3034"/>
      <c r="O172" s="3035"/>
      <c r="P172" s="3035"/>
      <c r="Q172" s="3035"/>
      <c r="R172" s="3035"/>
      <c r="S172" s="3036"/>
      <c r="T172" s="3034"/>
      <c r="U172" s="3035"/>
      <c r="V172" s="3035"/>
      <c r="W172" s="3035"/>
      <c r="X172" s="3035"/>
      <c r="Y172" s="3036"/>
      <c r="Z172" s="3034"/>
      <c r="AA172" s="3035"/>
      <c r="AB172" s="3035"/>
      <c r="AC172" s="3035"/>
      <c r="AD172" s="3035"/>
      <c r="AE172" s="3036"/>
      <c r="AF172" s="2"/>
      <c r="AG172" s="2200"/>
      <c r="AH172" t="b">
        <f>AH175</f>
        <v>0</v>
      </c>
    </row>
    <row r="173" spans="1:34" ht="13.5" customHeight="1">
      <c r="A173" s="1733" t="s">
        <v>925</v>
      </c>
      <c r="B173" s="3028">
        <f>SUM(F156:F171)</f>
        <v>0</v>
      </c>
      <c r="C173" s="3029"/>
      <c r="D173" s="3029"/>
      <c r="E173" s="3029"/>
      <c r="F173" s="3029"/>
      <c r="G173" s="3030"/>
      <c r="H173" s="3028">
        <f>SUM(L156:L171)</f>
        <v>0</v>
      </c>
      <c r="I173" s="3029"/>
      <c r="J173" s="3029"/>
      <c r="K173" s="3029"/>
      <c r="L173" s="3029"/>
      <c r="M173" s="3030"/>
      <c r="N173" s="3028">
        <f>SUM(R156:R171)</f>
        <v>0</v>
      </c>
      <c r="O173" s="3029"/>
      <c r="P173" s="3029"/>
      <c r="Q173" s="3029"/>
      <c r="R173" s="3029"/>
      <c r="S173" s="3030"/>
      <c r="T173" s="3028">
        <f>SUM(X156:X171)</f>
        <v>0</v>
      </c>
      <c r="U173" s="3029"/>
      <c r="V173" s="3029"/>
      <c r="W173" s="3029"/>
      <c r="X173" s="3029"/>
      <c r="Y173" s="3030"/>
      <c r="Z173" s="3028">
        <f>SUM(AD156:AD171)</f>
        <v>0</v>
      </c>
      <c r="AA173" s="3029"/>
      <c r="AB173" s="3029"/>
      <c r="AC173" s="3029"/>
      <c r="AD173" s="3029"/>
      <c r="AE173" s="3030"/>
      <c r="AF173" s="2"/>
      <c r="AG173" s="2200"/>
      <c r="AH173" t="b">
        <f>AH175</f>
        <v>0</v>
      </c>
    </row>
    <row r="174" spans="1:34" ht="13.5" customHeight="1">
      <c r="A174" s="1733" t="s">
        <v>926</v>
      </c>
      <c r="B174" s="3028">
        <f>E184</f>
        <v>0</v>
      </c>
      <c r="C174" s="3029"/>
      <c r="D174" s="3029"/>
      <c r="E174" s="3029"/>
      <c r="F174" s="3029"/>
      <c r="G174" s="3030"/>
      <c r="H174" s="3028">
        <f t="shared" ref="H174" si="50">K184</f>
        <v>0</v>
      </c>
      <c r="I174" s="3029"/>
      <c r="J174" s="3029"/>
      <c r="K174" s="3029"/>
      <c r="L174" s="3029"/>
      <c r="M174" s="3030"/>
      <c r="N174" s="3028">
        <f t="shared" ref="N174" si="51">Q184</f>
        <v>0</v>
      </c>
      <c r="O174" s="3029"/>
      <c r="P174" s="3029"/>
      <c r="Q174" s="3029"/>
      <c r="R174" s="3029"/>
      <c r="S174" s="3030"/>
      <c r="T174" s="3028">
        <f t="shared" ref="T174" si="52">W184</f>
        <v>0</v>
      </c>
      <c r="U174" s="3029"/>
      <c r="V174" s="3029"/>
      <c r="W174" s="3029"/>
      <c r="X174" s="3029"/>
      <c r="Y174" s="3030"/>
      <c r="Z174" s="3028">
        <f t="shared" ref="Z174" si="53">AC184</f>
        <v>0</v>
      </c>
      <c r="AA174" s="3029"/>
      <c r="AB174" s="3029"/>
      <c r="AC174" s="3029"/>
      <c r="AD174" s="3029"/>
      <c r="AE174" s="3030"/>
      <c r="AF174" s="2"/>
      <c r="AG174" s="2200"/>
      <c r="AH174" t="b">
        <f>AH175</f>
        <v>0</v>
      </c>
    </row>
    <row r="175" spans="1:34" ht="13.5" customHeight="1">
      <c r="A175" s="1733" t="s">
        <v>928</v>
      </c>
      <c r="B175" s="3028">
        <f>B173-B174</f>
        <v>0</v>
      </c>
      <c r="C175" s="3029"/>
      <c r="D175" s="3029"/>
      <c r="E175" s="3029"/>
      <c r="F175" s="3029"/>
      <c r="G175" s="3030"/>
      <c r="H175" s="3028">
        <f>H173-H174</f>
        <v>0</v>
      </c>
      <c r="I175" s="3029"/>
      <c r="J175" s="3029"/>
      <c r="K175" s="3029"/>
      <c r="L175" s="3029"/>
      <c r="M175" s="3030"/>
      <c r="N175" s="3028">
        <f>N173-N174</f>
        <v>0</v>
      </c>
      <c r="O175" s="3029"/>
      <c r="P175" s="3029"/>
      <c r="Q175" s="3029"/>
      <c r="R175" s="3029"/>
      <c r="S175" s="3030"/>
      <c r="T175" s="3028">
        <f>T173-T174</f>
        <v>0</v>
      </c>
      <c r="U175" s="3029"/>
      <c r="V175" s="3029"/>
      <c r="W175" s="3029"/>
      <c r="X175" s="3029"/>
      <c r="Y175" s="3030"/>
      <c r="Z175" s="3028">
        <f>Z173-Z174</f>
        <v>0</v>
      </c>
      <c r="AA175" s="3029"/>
      <c r="AB175" s="3029"/>
      <c r="AC175" s="3029"/>
      <c r="AD175" s="3029"/>
      <c r="AE175" s="3030"/>
      <c r="AF175" s="2"/>
      <c r="AG175" s="2200"/>
      <c r="AH175" t="b">
        <f>SUM(B175:AE175)&lt;&gt;0</f>
        <v>0</v>
      </c>
    </row>
    <row r="176" spans="1:34" ht="13.5" customHeight="1">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G176" s="2200"/>
      <c r="AH176" t="b">
        <f>AH184</f>
        <v>0</v>
      </c>
    </row>
    <row r="177" spans="1:34" ht="13.5" customHeight="1">
      <c r="A177" s="1737" t="s">
        <v>5548</v>
      </c>
      <c r="B177" s="3084" t="str">
        <f>B154</f>
        <v>（名称自由入力）</v>
      </c>
      <c r="C177" s="3085"/>
      <c r="D177" s="3085"/>
      <c r="E177" s="3085"/>
      <c r="F177" s="3085"/>
      <c r="G177" s="3086"/>
      <c r="H177" s="3084" t="str">
        <f>H154</f>
        <v>（名称自由入力）</v>
      </c>
      <c r="I177" s="3085"/>
      <c r="J177" s="3085"/>
      <c r="K177" s="3085"/>
      <c r="L177" s="3085"/>
      <c r="M177" s="3086"/>
      <c r="N177" s="3084" t="str">
        <f>N154</f>
        <v>（名称自由入力）</v>
      </c>
      <c r="O177" s="3085"/>
      <c r="P177" s="3085"/>
      <c r="Q177" s="3085"/>
      <c r="R177" s="3085"/>
      <c r="S177" s="3086"/>
      <c r="T177" s="3084" t="str">
        <f>T154</f>
        <v>（名称自由入力）</v>
      </c>
      <c r="U177" s="3085"/>
      <c r="V177" s="3085"/>
      <c r="W177" s="3085"/>
      <c r="X177" s="3085"/>
      <c r="Y177" s="3086"/>
      <c r="Z177" s="3084" t="str">
        <f>Z154</f>
        <v>（名称自由入力）</v>
      </c>
      <c r="AA177" s="3085"/>
      <c r="AB177" s="3085"/>
      <c r="AC177" s="3085"/>
      <c r="AD177" s="3085"/>
      <c r="AE177" s="3086"/>
      <c r="AF177" s="195"/>
      <c r="AG177" s="2200"/>
      <c r="AH177" t="b">
        <f>AH184</f>
        <v>0</v>
      </c>
    </row>
    <row r="178" spans="1:34" ht="13.5" customHeight="1">
      <c r="A178" s="1738" t="s">
        <v>5547</v>
      </c>
      <c r="B178" s="3087"/>
      <c r="C178" s="3087"/>
      <c r="D178" s="3087"/>
      <c r="E178" s="3091">
        <f t="shared" ref="E178:E183" si="54">SUMIF(外部開口,B178,外部開口面積)</f>
        <v>0</v>
      </c>
      <c r="F178" s="3091"/>
      <c r="G178" s="3091"/>
      <c r="H178" s="3087"/>
      <c r="I178" s="3087"/>
      <c r="J178" s="3087"/>
      <c r="K178" s="3091">
        <f t="shared" ref="K178:K183" si="55">SUMIF(外部開口,H178,外部開口面積)</f>
        <v>0</v>
      </c>
      <c r="L178" s="3091"/>
      <c r="M178" s="3091"/>
      <c r="N178" s="3087"/>
      <c r="O178" s="3087"/>
      <c r="P178" s="3087"/>
      <c r="Q178" s="3091">
        <f t="shared" ref="Q178:Q183" si="56">SUMIF(外部開口,N178,外部開口面積)</f>
        <v>0</v>
      </c>
      <c r="R178" s="3091"/>
      <c r="S178" s="3091"/>
      <c r="T178" s="3087"/>
      <c r="U178" s="3087"/>
      <c r="V178" s="3087"/>
      <c r="W178" s="3091">
        <f t="shared" ref="W178:W183" si="57">SUMIF(外部開口,T178,外部開口面積)</f>
        <v>0</v>
      </c>
      <c r="X178" s="3091"/>
      <c r="Y178" s="3091"/>
      <c r="Z178" s="3087"/>
      <c r="AA178" s="3087"/>
      <c r="AB178" s="3087"/>
      <c r="AC178" s="3091">
        <f t="shared" ref="AC178:AC183" si="58">SUMIF(外部開口,Z178,外部開口面積)</f>
        <v>0</v>
      </c>
      <c r="AD178" s="3091"/>
      <c r="AE178" s="3091"/>
      <c r="AF178" s="195"/>
      <c r="AG178" s="2200"/>
      <c r="AH178" t="b">
        <f>SUM(B178:AE178)&lt;&gt;0</f>
        <v>0</v>
      </c>
    </row>
    <row r="179" spans="1:34" ht="13.5" customHeight="1">
      <c r="A179" s="1739"/>
      <c r="B179" s="3088"/>
      <c r="C179" s="3088"/>
      <c r="D179" s="3088"/>
      <c r="E179" s="3092">
        <f t="shared" si="54"/>
        <v>0</v>
      </c>
      <c r="F179" s="3092"/>
      <c r="G179" s="3092"/>
      <c r="H179" s="3088"/>
      <c r="I179" s="3088"/>
      <c r="J179" s="3088"/>
      <c r="K179" s="3092">
        <f t="shared" si="55"/>
        <v>0</v>
      </c>
      <c r="L179" s="3092"/>
      <c r="M179" s="3092"/>
      <c r="N179" s="3088"/>
      <c r="O179" s="3088"/>
      <c r="P179" s="3088"/>
      <c r="Q179" s="3092">
        <f t="shared" si="56"/>
        <v>0</v>
      </c>
      <c r="R179" s="3092"/>
      <c r="S179" s="3092"/>
      <c r="T179" s="3088"/>
      <c r="U179" s="3088"/>
      <c r="V179" s="3088"/>
      <c r="W179" s="3092">
        <f t="shared" si="57"/>
        <v>0</v>
      </c>
      <c r="X179" s="3092"/>
      <c r="Y179" s="3092"/>
      <c r="Z179" s="3088"/>
      <c r="AA179" s="3088"/>
      <c r="AB179" s="3088"/>
      <c r="AC179" s="3092">
        <f t="shared" si="58"/>
        <v>0</v>
      </c>
      <c r="AD179" s="3092"/>
      <c r="AE179" s="3092"/>
      <c r="AF179" s="195"/>
      <c r="AG179" s="2200"/>
      <c r="AH179" t="b">
        <f t="shared" ref="AH179:AH183" si="59">SUM(B179:AE179)&lt;&gt;0</f>
        <v>0</v>
      </c>
    </row>
    <row r="180" spans="1:34" ht="13.5" customHeight="1">
      <c r="A180" s="1739"/>
      <c r="B180" s="3088"/>
      <c r="C180" s="3088"/>
      <c r="D180" s="3088"/>
      <c r="E180" s="3092">
        <f t="shared" si="54"/>
        <v>0</v>
      </c>
      <c r="F180" s="3092"/>
      <c r="G180" s="3092"/>
      <c r="H180" s="3088"/>
      <c r="I180" s="3088"/>
      <c r="J180" s="3088"/>
      <c r="K180" s="3092">
        <f t="shared" si="55"/>
        <v>0</v>
      </c>
      <c r="L180" s="3092"/>
      <c r="M180" s="3092"/>
      <c r="N180" s="3088"/>
      <c r="O180" s="3088"/>
      <c r="P180" s="3088"/>
      <c r="Q180" s="3092">
        <f t="shared" si="56"/>
        <v>0</v>
      </c>
      <c r="R180" s="3092"/>
      <c r="S180" s="3092"/>
      <c r="T180" s="3088"/>
      <c r="U180" s="3088"/>
      <c r="V180" s="3088"/>
      <c r="W180" s="3092">
        <f t="shared" si="57"/>
        <v>0</v>
      </c>
      <c r="X180" s="3092"/>
      <c r="Y180" s="3092"/>
      <c r="Z180" s="3088"/>
      <c r="AA180" s="3088"/>
      <c r="AB180" s="3088"/>
      <c r="AC180" s="3092">
        <f t="shared" si="58"/>
        <v>0</v>
      </c>
      <c r="AD180" s="3092"/>
      <c r="AE180" s="3092"/>
      <c r="AF180" s="195"/>
      <c r="AG180" s="2200"/>
      <c r="AH180" t="b">
        <f t="shared" si="59"/>
        <v>0</v>
      </c>
    </row>
    <row r="181" spans="1:34" ht="13.5" customHeight="1">
      <c r="A181" s="1739"/>
      <c r="B181" s="3088"/>
      <c r="C181" s="3088"/>
      <c r="D181" s="3088"/>
      <c r="E181" s="3092">
        <f t="shared" si="54"/>
        <v>0</v>
      </c>
      <c r="F181" s="3092"/>
      <c r="G181" s="3092"/>
      <c r="H181" s="3088"/>
      <c r="I181" s="3088"/>
      <c r="J181" s="3088"/>
      <c r="K181" s="3092">
        <f t="shared" si="55"/>
        <v>0</v>
      </c>
      <c r="L181" s="3092"/>
      <c r="M181" s="3092"/>
      <c r="N181" s="3088"/>
      <c r="O181" s="3088"/>
      <c r="P181" s="3088"/>
      <c r="Q181" s="3092">
        <f t="shared" si="56"/>
        <v>0</v>
      </c>
      <c r="R181" s="3092"/>
      <c r="S181" s="3092"/>
      <c r="T181" s="3088"/>
      <c r="U181" s="3088"/>
      <c r="V181" s="3088"/>
      <c r="W181" s="3092">
        <f t="shared" si="57"/>
        <v>0</v>
      </c>
      <c r="X181" s="3092"/>
      <c r="Y181" s="3092"/>
      <c r="Z181" s="3088"/>
      <c r="AA181" s="3088"/>
      <c r="AB181" s="3088"/>
      <c r="AC181" s="3092">
        <f t="shared" si="58"/>
        <v>0</v>
      </c>
      <c r="AD181" s="3092"/>
      <c r="AE181" s="3092"/>
      <c r="AF181" s="195"/>
      <c r="AG181" s="2200"/>
      <c r="AH181" t="b">
        <f t="shared" si="59"/>
        <v>0</v>
      </c>
    </row>
    <row r="182" spans="1:34" ht="13.5" customHeight="1">
      <c r="A182" s="1739"/>
      <c r="B182" s="3088"/>
      <c r="C182" s="3088"/>
      <c r="D182" s="3088"/>
      <c r="E182" s="3092">
        <f t="shared" si="54"/>
        <v>0</v>
      </c>
      <c r="F182" s="3092"/>
      <c r="G182" s="3092"/>
      <c r="H182" s="3088"/>
      <c r="I182" s="3088"/>
      <c r="J182" s="3088"/>
      <c r="K182" s="3092">
        <f t="shared" si="55"/>
        <v>0</v>
      </c>
      <c r="L182" s="3092"/>
      <c r="M182" s="3092"/>
      <c r="N182" s="3088"/>
      <c r="O182" s="3088"/>
      <c r="P182" s="3088"/>
      <c r="Q182" s="3092">
        <f t="shared" si="56"/>
        <v>0</v>
      </c>
      <c r="R182" s="3092"/>
      <c r="S182" s="3092"/>
      <c r="T182" s="3088"/>
      <c r="U182" s="3088"/>
      <c r="V182" s="3088"/>
      <c r="W182" s="3092">
        <f t="shared" si="57"/>
        <v>0</v>
      </c>
      <c r="X182" s="3092"/>
      <c r="Y182" s="3092"/>
      <c r="Z182" s="3088"/>
      <c r="AA182" s="3088"/>
      <c r="AB182" s="3088"/>
      <c r="AC182" s="3092">
        <f t="shared" si="58"/>
        <v>0</v>
      </c>
      <c r="AD182" s="3092"/>
      <c r="AE182" s="3092"/>
      <c r="AF182" s="195"/>
      <c r="AG182" s="2200"/>
      <c r="AH182" t="b">
        <f t="shared" si="59"/>
        <v>0</v>
      </c>
    </row>
    <row r="183" spans="1:34" ht="13.5" customHeight="1">
      <c r="A183" s="1739"/>
      <c r="B183" s="3089"/>
      <c r="C183" s="3089"/>
      <c r="D183" s="3089"/>
      <c r="E183" s="3093">
        <f t="shared" si="54"/>
        <v>0</v>
      </c>
      <c r="F183" s="3093"/>
      <c r="G183" s="3093"/>
      <c r="H183" s="3089"/>
      <c r="I183" s="3089"/>
      <c r="J183" s="3089"/>
      <c r="K183" s="3093">
        <f t="shared" si="55"/>
        <v>0</v>
      </c>
      <c r="L183" s="3093"/>
      <c r="M183" s="3093"/>
      <c r="N183" s="3089"/>
      <c r="O183" s="3089"/>
      <c r="P183" s="3089"/>
      <c r="Q183" s="3093">
        <f t="shared" si="56"/>
        <v>0</v>
      </c>
      <c r="R183" s="3093"/>
      <c r="S183" s="3093"/>
      <c r="T183" s="3089"/>
      <c r="U183" s="3089"/>
      <c r="V183" s="3089"/>
      <c r="W183" s="3093">
        <f t="shared" si="57"/>
        <v>0</v>
      </c>
      <c r="X183" s="3093"/>
      <c r="Y183" s="3093"/>
      <c r="Z183" s="3089"/>
      <c r="AA183" s="3089"/>
      <c r="AB183" s="3089"/>
      <c r="AC183" s="3093">
        <f t="shared" si="58"/>
        <v>0</v>
      </c>
      <c r="AD183" s="3093"/>
      <c r="AE183" s="3093"/>
      <c r="AF183" s="195"/>
      <c r="AG183" s="2200"/>
      <c r="AH183" t="b">
        <f t="shared" si="59"/>
        <v>0</v>
      </c>
    </row>
    <row r="184" spans="1:34" ht="13.5" customHeight="1">
      <c r="A184" s="1740"/>
      <c r="B184" s="3090" t="s">
        <v>498</v>
      </c>
      <c r="C184" s="3090"/>
      <c r="D184" s="3090"/>
      <c r="E184" s="3094">
        <f>SUM(E178:E183)</f>
        <v>0</v>
      </c>
      <c r="F184" s="3094"/>
      <c r="G184" s="3094"/>
      <c r="H184" s="3090" t="s">
        <v>498</v>
      </c>
      <c r="I184" s="3090"/>
      <c r="J184" s="3090"/>
      <c r="K184" s="3094">
        <f t="shared" ref="K184" si="60">SUM(K178:K183)</f>
        <v>0</v>
      </c>
      <c r="L184" s="3094"/>
      <c r="M184" s="3094"/>
      <c r="N184" s="3090" t="s">
        <v>498</v>
      </c>
      <c r="O184" s="3090"/>
      <c r="P184" s="3090"/>
      <c r="Q184" s="3094">
        <f t="shared" ref="Q184" si="61">SUM(Q178:Q183)</f>
        <v>0</v>
      </c>
      <c r="R184" s="3094"/>
      <c r="S184" s="3094"/>
      <c r="T184" s="3090" t="s">
        <v>498</v>
      </c>
      <c r="U184" s="3090"/>
      <c r="V184" s="3090"/>
      <c r="W184" s="3094">
        <f t="shared" ref="W184" si="62">SUM(W178:W183)</f>
        <v>0</v>
      </c>
      <c r="X184" s="3094"/>
      <c r="Y184" s="3094"/>
      <c r="Z184" s="3090" t="s">
        <v>498</v>
      </c>
      <c r="AA184" s="3090"/>
      <c r="AB184" s="3090"/>
      <c r="AC184" s="3094">
        <f t="shared" ref="AC184" si="63">SUM(AC178:AC183)</f>
        <v>0</v>
      </c>
      <c r="AD184" s="3094"/>
      <c r="AE184" s="3094"/>
      <c r="AF184" s="195"/>
      <c r="AG184" s="2200"/>
      <c r="AH184" t="b">
        <f>SUM(A184:AE184)&gt;0</f>
        <v>0</v>
      </c>
    </row>
    <row r="185" spans="1:34" ht="13.5" customHeight="1">
      <c r="B185" s="1023" t="s">
        <v>5588</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195"/>
      <c r="AG185" s="2200"/>
      <c r="AH185" t="b">
        <v>0</v>
      </c>
    </row>
    <row r="186" spans="1:34" ht="13.5" customHeight="1">
      <c r="B186" s="1023" t="s">
        <v>5587</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195"/>
      <c r="AG186" s="2200"/>
      <c r="AH186" t="b">
        <v>0</v>
      </c>
    </row>
    <row r="187" spans="1:34" ht="13.5" customHeight="1">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G187" s="2200"/>
      <c r="AH187" t="b">
        <f>AH211</f>
        <v>0</v>
      </c>
    </row>
    <row r="188" spans="1:34" ht="13.5" customHeight="1">
      <c r="A188" s="3067" t="s">
        <v>5567</v>
      </c>
      <c r="B188" s="3056" t="s">
        <v>920</v>
      </c>
      <c r="C188" s="3057"/>
      <c r="D188" s="3057"/>
      <c r="E188" s="3057"/>
      <c r="F188" s="3057"/>
      <c r="G188" s="3058"/>
      <c r="H188" s="3056" t="s">
        <v>920</v>
      </c>
      <c r="I188" s="3057"/>
      <c r="J188" s="3057"/>
      <c r="K188" s="3057"/>
      <c r="L188" s="3057"/>
      <c r="M188" s="3058"/>
      <c r="N188" s="3056" t="s">
        <v>920</v>
      </c>
      <c r="O188" s="3057"/>
      <c r="P188" s="3057"/>
      <c r="Q188" s="3057"/>
      <c r="R188" s="3057"/>
      <c r="S188" s="3058"/>
      <c r="T188" s="3056" t="s">
        <v>920</v>
      </c>
      <c r="U188" s="3057"/>
      <c r="V188" s="3057"/>
      <c r="W188" s="3057"/>
      <c r="X188" s="3057"/>
      <c r="Y188" s="3058"/>
      <c r="Z188" s="3056" t="s">
        <v>920</v>
      </c>
      <c r="AA188" s="3057"/>
      <c r="AB188" s="3057"/>
      <c r="AC188" s="3057"/>
      <c r="AD188" s="3057"/>
      <c r="AE188" s="3058"/>
      <c r="AG188" s="2200"/>
      <c r="AH188" t="b">
        <f>AH211</f>
        <v>0</v>
      </c>
    </row>
    <row r="189" spans="1:34" ht="13.5" customHeight="1">
      <c r="A189" s="3054"/>
      <c r="B189" s="1728" t="s">
        <v>921</v>
      </c>
      <c r="C189" s="1728"/>
      <c r="D189" s="1729" t="s">
        <v>922</v>
      </c>
      <c r="E189" s="1730"/>
      <c r="F189" s="1731" t="s">
        <v>923</v>
      </c>
      <c r="G189" s="1728"/>
      <c r="H189" s="1731" t="s">
        <v>921</v>
      </c>
      <c r="I189" s="1728"/>
      <c r="J189" s="1729" t="s">
        <v>922</v>
      </c>
      <c r="K189" s="1730"/>
      <c r="L189" s="1731" t="s">
        <v>923</v>
      </c>
      <c r="M189" s="1728"/>
      <c r="N189" s="1731" t="s">
        <v>921</v>
      </c>
      <c r="O189" s="1728"/>
      <c r="P189" s="1729" t="s">
        <v>922</v>
      </c>
      <c r="Q189" s="1730"/>
      <c r="R189" s="1731" t="s">
        <v>923</v>
      </c>
      <c r="S189" s="1728"/>
      <c r="T189" s="1731" t="s">
        <v>921</v>
      </c>
      <c r="U189" s="1728"/>
      <c r="V189" s="1729" t="s">
        <v>922</v>
      </c>
      <c r="W189" s="1730"/>
      <c r="X189" s="1731" t="s">
        <v>923</v>
      </c>
      <c r="Y189" s="1728"/>
      <c r="Z189" s="1731" t="s">
        <v>921</v>
      </c>
      <c r="AA189" s="1728"/>
      <c r="AB189" s="1729" t="s">
        <v>922</v>
      </c>
      <c r="AC189" s="1730"/>
      <c r="AD189" s="1731" t="s">
        <v>923</v>
      </c>
      <c r="AE189" s="1730"/>
      <c r="AF189" s="195"/>
      <c r="AG189" s="2200"/>
      <c r="AH189" t="b">
        <f>AH211</f>
        <v>0</v>
      </c>
    </row>
    <row r="190" spans="1:34" ht="13.5" customHeight="1">
      <c r="A190" s="3054"/>
      <c r="B190" s="3059"/>
      <c r="C190" s="3060"/>
      <c r="D190" s="3061"/>
      <c r="E190" s="3062"/>
      <c r="F190" s="2243">
        <f t="shared" ref="F190:F205" si="64">ROUNDDOWN(B190*D190,2)</f>
        <v>0</v>
      </c>
      <c r="G190" s="2245"/>
      <c r="H190" s="3065"/>
      <c r="I190" s="3066"/>
      <c r="J190" s="3061"/>
      <c r="K190" s="3062"/>
      <c r="L190" s="2243">
        <f t="shared" ref="L190:L205" si="65">ROUNDDOWN(H190*J190,2)</f>
        <v>0</v>
      </c>
      <c r="M190" s="2245"/>
      <c r="N190" s="3065"/>
      <c r="O190" s="3066"/>
      <c r="P190" s="3061"/>
      <c r="Q190" s="3062"/>
      <c r="R190" s="2243">
        <f t="shared" ref="R190:R205" si="66">ROUNDDOWN(N190*P190,2)</f>
        <v>0</v>
      </c>
      <c r="S190" s="2245"/>
      <c r="T190" s="3065"/>
      <c r="U190" s="3060"/>
      <c r="V190" s="3061"/>
      <c r="W190" s="3062"/>
      <c r="X190" s="2243">
        <f t="shared" ref="X190:X205" si="67">ROUNDDOWN(T190*V190,2)</f>
        <v>0</v>
      </c>
      <c r="Y190" s="2245"/>
      <c r="Z190" s="3065"/>
      <c r="AA190" s="3060"/>
      <c r="AB190" s="3059"/>
      <c r="AC190" s="3062"/>
      <c r="AD190" s="3063">
        <f t="shared" ref="AD190:AD205" si="68">ROUNDDOWN(Z190*AB190,2)</f>
        <v>0</v>
      </c>
      <c r="AE190" s="3064"/>
      <c r="AF190" s="2"/>
      <c r="AG190" s="2200"/>
      <c r="AH190" t="b">
        <f t="shared" ref="AH190:AH205" si="69">SUM(B190:AE190)&lt;&gt;0</f>
        <v>0</v>
      </c>
    </row>
    <row r="191" spans="1:34" ht="13.5" customHeight="1">
      <c r="A191" s="3054"/>
      <c r="B191" s="3043"/>
      <c r="C191" s="3044"/>
      <c r="D191" s="3045"/>
      <c r="E191" s="3046"/>
      <c r="F191" s="2203">
        <f t="shared" si="64"/>
        <v>0</v>
      </c>
      <c r="G191" s="2205"/>
      <c r="H191" s="3047"/>
      <c r="I191" s="3048"/>
      <c r="J191" s="3045"/>
      <c r="K191" s="3046"/>
      <c r="L191" s="2203">
        <f t="shared" si="65"/>
        <v>0</v>
      </c>
      <c r="M191" s="2205"/>
      <c r="N191" s="3047"/>
      <c r="O191" s="3048"/>
      <c r="P191" s="3045"/>
      <c r="Q191" s="3046"/>
      <c r="R191" s="2203">
        <f t="shared" si="66"/>
        <v>0</v>
      </c>
      <c r="S191" s="2205"/>
      <c r="T191" s="3047"/>
      <c r="U191" s="3044"/>
      <c r="V191" s="3045"/>
      <c r="W191" s="3046"/>
      <c r="X191" s="2203">
        <f t="shared" si="67"/>
        <v>0</v>
      </c>
      <c r="Y191" s="2205"/>
      <c r="Z191" s="3047"/>
      <c r="AA191" s="3044"/>
      <c r="AB191" s="3043"/>
      <c r="AC191" s="3046"/>
      <c r="AD191" s="2203">
        <f t="shared" si="68"/>
        <v>0</v>
      </c>
      <c r="AE191" s="2205"/>
      <c r="AF191" s="2"/>
      <c r="AG191" s="2200"/>
      <c r="AH191" t="b">
        <f t="shared" si="69"/>
        <v>0</v>
      </c>
    </row>
    <row r="192" spans="1:34" ht="13.5" customHeight="1">
      <c r="A192" s="3054"/>
      <c r="B192" s="3043"/>
      <c r="C192" s="3044"/>
      <c r="D192" s="3045"/>
      <c r="E192" s="3046"/>
      <c r="F192" s="2203">
        <f t="shared" si="64"/>
        <v>0</v>
      </c>
      <c r="G192" s="2205"/>
      <c r="H192" s="3047"/>
      <c r="I192" s="3048"/>
      <c r="J192" s="3045"/>
      <c r="K192" s="3046"/>
      <c r="L192" s="2203">
        <f t="shared" si="65"/>
        <v>0</v>
      </c>
      <c r="M192" s="2205"/>
      <c r="N192" s="3047"/>
      <c r="O192" s="3048"/>
      <c r="P192" s="3045"/>
      <c r="Q192" s="3046"/>
      <c r="R192" s="2203">
        <f t="shared" si="66"/>
        <v>0</v>
      </c>
      <c r="S192" s="2205"/>
      <c r="T192" s="3047"/>
      <c r="U192" s="3044"/>
      <c r="V192" s="3045"/>
      <c r="W192" s="3046"/>
      <c r="X192" s="2203">
        <f t="shared" si="67"/>
        <v>0</v>
      </c>
      <c r="Y192" s="2205"/>
      <c r="Z192" s="3047"/>
      <c r="AA192" s="3044"/>
      <c r="AB192" s="3043"/>
      <c r="AC192" s="3046"/>
      <c r="AD192" s="2203">
        <f t="shared" si="68"/>
        <v>0</v>
      </c>
      <c r="AE192" s="2205"/>
      <c r="AF192" s="2"/>
      <c r="AG192" s="2200"/>
      <c r="AH192" t="b">
        <f t="shared" si="69"/>
        <v>0</v>
      </c>
    </row>
    <row r="193" spans="1:34" ht="13.5" customHeight="1">
      <c r="A193" s="3054"/>
      <c r="B193" s="3043"/>
      <c r="C193" s="3044"/>
      <c r="D193" s="3045"/>
      <c r="E193" s="3046"/>
      <c r="F193" s="2203">
        <f t="shared" si="64"/>
        <v>0</v>
      </c>
      <c r="G193" s="2205"/>
      <c r="H193" s="3047"/>
      <c r="I193" s="3048"/>
      <c r="J193" s="3045"/>
      <c r="K193" s="3046"/>
      <c r="L193" s="2203">
        <f t="shared" si="65"/>
        <v>0</v>
      </c>
      <c r="M193" s="2205"/>
      <c r="N193" s="3047"/>
      <c r="O193" s="3048"/>
      <c r="P193" s="3045"/>
      <c r="Q193" s="3046"/>
      <c r="R193" s="2203">
        <f t="shared" si="66"/>
        <v>0</v>
      </c>
      <c r="S193" s="2205"/>
      <c r="T193" s="3047"/>
      <c r="U193" s="3044"/>
      <c r="V193" s="3045"/>
      <c r="W193" s="3046"/>
      <c r="X193" s="2203">
        <f t="shared" si="67"/>
        <v>0</v>
      </c>
      <c r="Y193" s="2205"/>
      <c r="Z193" s="3047"/>
      <c r="AA193" s="3044"/>
      <c r="AB193" s="3043"/>
      <c r="AC193" s="3046"/>
      <c r="AD193" s="2203">
        <f t="shared" si="68"/>
        <v>0</v>
      </c>
      <c r="AE193" s="2205"/>
      <c r="AF193" s="2"/>
      <c r="AG193" s="2200"/>
      <c r="AH193" t="b">
        <f t="shared" si="69"/>
        <v>0</v>
      </c>
    </row>
    <row r="194" spans="1:34" ht="13.5" customHeight="1">
      <c r="A194" s="3054"/>
      <c r="B194" s="3043"/>
      <c r="C194" s="3044"/>
      <c r="D194" s="3045"/>
      <c r="E194" s="3046"/>
      <c r="F194" s="2203">
        <f t="shared" si="64"/>
        <v>0</v>
      </c>
      <c r="G194" s="2205"/>
      <c r="H194" s="3047"/>
      <c r="I194" s="3048"/>
      <c r="J194" s="3045"/>
      <c r="K194" s="3046"/>
      <c r="L194" s="2203">
        <f t="shared" si="65"/>
        <v>0</v>
      </c>
      <c r="M194" s="2205"/>
      <c r="N194" s="3047"/>
      <c r="O194" s="3048"/>
      <c r="P194" s="3045"/>
      <c r="Q194" s="3046"/>
      <c r="R194" s="2203">
        <f t="shared" si="66"/>
        <v>0</v>
      </c>
      <c r="S194" s="2205"/>
      <c r="T194" s="3047"/>
      <c r="U194" s="3044"/>
      <c r="V194" s="3045"/>
      <c r="W194" s="3046"/>
      <c r="X194" s="2203">
        <f t="shared" si="67"/>
        <v>0</v>
      </c>
      <c r="Y194" s="2205"/>
      <c r="Z194" s="3047"/>
      <c r="AA194" s="3044"/>
      <c r="AB194" s="3043"/>
      <c r="AC194" s="3046"/>
      <c r="AD194" s="2203">
        <f t="shared" si="68"/>
        <v>0</v>
      </c>
      <c r="AE194" s="2205"/>
      <c r="AF194" s="2"/>
      <c r="AG194" s="2200"/>
      <c r="AH194" t="b">
        <f t="shared" si="69"/>
        <v>0</v>
      </c>
    </row>
    <row r="195" spans="1:34" ht="13.5" customHeight="1">
      <c r="A195" s="3054"/>
      <c r="B195" s="3043"/>
      <c r="C195" s="3044"/>
      <c r="D195" s="3045"/>
      <c r="E195" s="3046"/>
      <c r="F195" s="2203">
        <f t="shared" si="64"/>
        <v>0</v>
      </c>
      <c r="G195" s="2205"/>
      <c r="H195" s="3047"/>
      <c r="I195" s="3048"/>
      <c r="J195" s="3045"/>
      <c r="K195" s="3046"/>
      <c r="L195" s="2203">
        <f t="shared" si="65"/>
        <v>0</v>
      </c>
      <c r="M195" s="2205"/>
      <c r="N195" s="3047"/>
      <c r="O195" s="3048"/>
      <c r="P195" s="3045"/>
      <c r="Q195" s="3046"/>
      <c r="R195" s="2203">
        <f t="shared" si="66"/>
        <v>0</v>
      </c>
      <c r="S195" s="2205"/>
      <c r="T195" s="3047"/>
      <c r="U195" s="3044"/>
      <c r="V195" s="3045"/>
      <c r="W195" s="3046"/>
      <c r="X195" s="2203">
        <f t="shared" si="67"/>
        <v>0</v>
      </c>
      <c r="Y195" s="2205"/>
      <c r="Z195" s="3047"/>
      <c r="AA195" s="3044"/>
      <c r="AB195" s="3043"/>
      <c r="AC195" s="3046"/>
      <c r="AD195" s="2203">
        <f t="shared" si="68"/>
        <v>0</v>
      </c>
      <c r="AE195" s="2205"/>
      <c r="AF195" s="2"/>
      <c r="AG195" s="2200"/>
      <c r="AH195" t="b">
        <f t="shared" si="69"/>
        <v>0</v>
      </c>
    </row>
    <row r="196" spans="1:34" ht="13.5" customHeight="1">
      <c r="A196" s="3054"/>
      <c r="B196" s="3043"/>
      <c r="C196" s="3044"/>
      <c r="D196" s="3045"/>
      <c r="E196" s="3046"/>
      <c r="F196" s="2203">
        <f t="shared" si="64"/>
        <v>0</v>
      </c>
      <c r="G196" s="2205"/>
      <c r="H196" s="3047"/>
      <c r="I196" s="3048"/>
      <c r="J196" s="3045"/>
      <c r="K196" s="3046"/>
      <c r="L196" s="2203">
        <f t="shared" si="65"/>
        <v>0</v>
      </c>
      <c r="M196" s="2205"/>
      <c r="N196" s="3047"/>
      <c r="O196" s="3048"/>
      <c r="P196" s="3045"/>
      <c r="Q196" s="3046"/>
      <c r="R196" s="2203">
        <f t="shared" si="66"/>
        <v>0</v>
      </c>
      <c r="S196" s="2205"/>
      <c r="T196" s="3047"/>
      <c r="U196" s="3044"/>
      <c r="V196" s="3045"/>
      <c r="W196" s="3046"/>
      <c r="X196" s="2203">
        <f t="shared" si="67"/>
        <v>0</v>
      </c>
      <c r="Y196" s="2205"/>
      <c r="Z196" s="3047"/>
      <c r="AA196" s="3044"/>
      <c r="AB196" s="3043"/>
      <c r="AC196" s="3046"/>
      <c r="AD196" s="2203">
        <f t="shared" si="68"/>
        <v>0</v>
      </c>
      <c r="AE196" s="2205"/>
      <c r="AF196" s="2"/>
      <c r="AG196" s="2200"/>
      <c r="AH196" t="b">
        <f t="shared" si="69"/>
        <v>0</v>
      </c>
    </row>
    <row r="197" spans="1:34" ht="13.5" customHeight="1">
      <c r="A197" s="3054"/>
      <c r="B197" s="3043"/>
      <c r="C197" s="3044"/>
      <c r="D197" s="3045"/>
      <c r="E197" s="3046"/>
      <c r="F197" s="2203">
        <f t="shared" si="64"/>
        <v>0</v>
      </c>
      <c r="G197" s="2205"/>
      <c r="H197" s="3047"/>
      <c r="I197" s="3048"/>
      <c r="J197" s="3045"/>
      <c r="K197" s="3046"/>
      <c r="L197" s="2203">
        <f t="shared" si="65"/>
        <v>0</v>
      </c>
      <c r="M197" s="2205"/>
      <c r="N197" s="3047"/>
      <c r="O197" s="3048"/>
      <c r="P197" s="3045"/>
      <c r="Q197" s="3046"/>
      <c r="R197" s="2203">
        <f t="shared" si="66"/>
        <v>0</v>
      </c>
      <c r="S197" s="2205"/>
      <c r="T197" s="3047"/>
      <c r="U197" s="3044"/>
      <c r="V197" s="3045"/>
      <c r="W197" s="3046"/>
      <c r="X197" s="2203">
        <f t="shared" si="67"/>
        <v>0</v>
      </c>
      <c r="Y197" s="2205"/>
      <c r="Z197" s="3047"/>
      <c r="AA197" s="3044"/>
      <c r="AB197" s="3043"/>
      <c r="AC197" s="3046"/>
      <c r="AD197" s="2203">
        <f t="shared" si="68"/>
        <v>0</v>
      </c>
      <c r="AE197" s="2205"/>
      <c r="AF197" s="2"/>
      <c r="AG197" s="2200"/>
      <c r="AH197" t="b">
        <f t="shared" si="69"/>
        <v>0</v>
      </c>
    </row>
    <row r="198" spans="1:34" ht="13.5" customHeight="1">
      <c r="A198" s="3054"/>
      <c r="B198" s="3043"/>
      <c r="C198" s="3044"/>
      <c r="D198" s="3045"/>
      <c r="E198" s="3046"/>
      <c r="F198" s="2203">
        <f t="shared" si="64"/>
        <v>0</v>
      </c>
      <c r="G198" s="2205"/>
      <c r="H198" s="3047"/>
      <c r="I198" s="3048"/>
      <c r="J198" s="3045"/>
      <c r="K198" s="3046"/>
      <c r="L198" s="2203">
        <f t="shared" si="65"/>
        <v>0</v>
      </c>
      <c r="M198" s="2205"/>
      <c r="N198" s="3047"/>
      <c r="O198" s="3048"/>
      <c r="P198" s="3045"/>
      <c r="Q198" s="3046"/>
      <c r="R198" s="2203">
        <f t="shared" si="66"/>
        <v>0</v>
      </c>
      <c r="S198" s="2205"/>
      <c r="T198" s="3047"/>
      <c r="U198" s="3044"/>
      <c r="V198" s="3045"/>
      <c r="W198" s="3046"/>
      <c r="X198" s="2203">
        <f t="shared" si="67"/>
        <v>0</v>
      </c>
      <c r="Y198" s="2205"/>
      <c r="Z198" s="3047"/>
      <c r="AA198" s="3044"/>
      <c r="AB198" s="3043"/>
      <c r="AC198" s="3046"/>
      <c r="AD198" s="2203">
        <f t="shared" si="68"/>
        <v>0</v>
      </c>
      <c r="AE198" s="2205"/>
      <c r="AF198" s="2"/>
      <c r="AG198" s="2200"/>
      <c r="AH198" t="b">
        <f t="shared" si="69"/>
        <v>0</v>
      </c>
    </row>
    <row r="199" spans="1:34" ht="13.5" customHeight="1">
      <c r="A199" s="3054"/>
      <c r="B199" s="3043"/>
      <c r="C199" s="3044"/>
      <c r="D199" s="3045"/>
      <c r="E199" s="3046"/>
      <c r="F199" s="2203">
        <f t="shared" si="64"/>
        <v>0</v>
      </c>
      <c r="G199" s="2205"/>
      <c r="H199" s="3047"/>
      <c r="I199" s="3048"/>
      <c r="J199" s="3045"/>
      <c r="K199" s="3046"/>
      <c r="L199" s="2203">
        <f t="shared" si="65"/>
        <v>0</v>
      </c>
      <c r="M199" s="2205"/>
      <c r="N199" s="3047"/>
      <c r="O199" s="3048"/>
      <c r="P199" s="3045"/>
      <c r="Q199" s="3046"/>
      <c r="R199" s="2203">
        <f t="shared" si="66"/>
        <v>0</v>
      </c>
      <c r="S199" s="2205"/>
      <c r="T199" s="3047"/>
      <c r="U199" s="3044"/>
      <c r="V199" s="3045"/>
      <c r="W199" s="3046"/>
      <c r="X199" s="2203">
        <f t="shared" si="67"/>
        <v>0</v>
      </c>
      <c r="Y199" s="2205"/>
      <c r="Z199" s="3047"/>
      <c r="AA199" s="3044"/>
      <c r="AB199" s="3043"/>
      <c r="AC199" s="3046"/>
      <c r="AD199" s="2203">
        <f t="shared" si="68"/>
        <v>0</v>
      </c>
      <c r="AE199" s="2205"/>
      <c r="AF199" s="2"/>
      <c r="AG199" s="2200"/>
      <c r="AH199" t="b">
        <f t="shared" si="69"/>
        <v>0</v>
      </c>
    </row>
    <row r="200" spans="1:34" ht="13.5" customHeight="1">
      <c r="A200" s="3054"/>
      <c r="B200" s="3043"/>
      <c r="C200" s="3044"/>
      <c r="D200" s="3045"/>
      <c r="E200" s="3046"/>
      <c r="F200" s="2203">
        <f t="shared" si="64"/>
        <v>0</v>
      </c>
      <c r="G200" s="2205"/>
      <c r="H200" s="3047"/>
      <c r="I200" s="3048"/>
      <c r="J200" s="3045"/>
      <c r="K200" s="3046"/>
      <c r="L200" s="2203">
        <f t="shared" si="65"/>
        <v>0</v>
      </c>
      <c r="M200" s="2205"/>
      <c r="N200" s="3047"/>
      <c r="O200" s="3048"/>
      <c r="P200" s="3045"/>
      <c r="Q200" s="3046"/>
      <c r="R200" s="2203">
        <f t="shared" si="66"/>
        <v>0</v>
      </c>
      <c r="S200" s="2205"/>
      <c r="T200" s="3047"/>
      <c r="U200" s="3044"/>
      <c r="V200" s="3045"/>
      <c r="W200" s="3046"/>
      <c r="X200" s="2203">
        <f t="shared" si="67"/>
        <v>0</v>
      </c>
      <c r="Y200" s="2205"/>
      <c r="Z200" s="3047"/>
      <c r="AA200" s="3044"/>
      <c r="AB200" s="3043"/>
      <c r="AC200" s="3046"/>
      <c r="AD200" s="2203">
        <f t="shared" si="68"/>
        <v>0</v>
      </c>
      <c r="AE200" s="2205"/>
      <c r="AF200" s="2"/>
      <c r="AG200" s="2200"/>
      <c r="AH200" t="b">
        <f t="shared" si="69"/>
        <v>0</v>
      </c>
    </row>
    <row r="201" spans="1:34" ht="13.5" customHeight="1">
      <c r="A201" s="3054"/>
      <c r="B201" s="3043"/>
      <c r="C201" s="3044"/>
      <c r="D201" s="3045"/>
      <c r="E201" s="3046"/>
      <c r="F201" s="2203">
        <f t="shared" si="64"/>
        <v>0</v>
      </c>
      <c r="G201" s="2205"/>
      <c r="H201" s="3047"/>
      <c r="I201" s="3048"/>
      <c r="J201" s="3045"/>
      <c r="K201" s="3046"/>
      <c r="L201" s="2203">
        <f t="shared" si="65"/>
        <v>0</v>
      </c>
      <c r="M201" s="2205"/>
      <c r="N201" s="3047"/>
      <c r="O201" s="3048"/>
      <c r="P201" s="3045"/>
      <c r="Q201" s="3046"/>
      <c r="R201" s="2203">
        <f t="shared" si="66"/>
        <v>0</v>
      </c>
      <c r="S201" s="2205"/>
      <c r="T201" s="3047"/>
      <c r="U201" s="3044"/>
      <c r="V201" s="3045"/>
      <c r="W201" s="3046"/>
      <c r="X201" s="2203">
        <f t="shared" si="67"/>
        <v>0</v>
      </c>
      <c r="Y201" s="2205"/>
      <c r="Z201" s="3047"/>
      <c r="AA201" s="3044"/>
      <c r="AB201" s="3043"/>
      <c r="AC201" s="3046"/>
      <c r="AD201" s="2203">
        <f t="shared" si="68"/>
        <v>0</v>
      </c>
      <c r="AE201" s="2205"/>
      <c r="AF201" s="2"/>
      <c r="AG201" s="2200"/>
      <c r="AH201" t="b">
        <f t="shared" si="69"/>
        <v>0</v>
      </c>
    </row>
    <row r="202" spans="1:34" ht="13.5" customHeight="1">
      <c r="A202" s="3054"/>
      <c r="B202" s="3043"/>
      <c r="C202" s="3044"/>
      <c r="D202" s="3045"/>
      <c r="E202" s="3046"/>
      <c r="F202" s="2203">
        <f t="shared" si="64"/>
        <v>0</v>
      </c>
      <c r="G202" s="2205"/>
      <c r="H202" s="3047"/>
      <c r="I202" s="3048"/>
      <c r="J202" s="3045"/>
      <c r="K202" s="3046"/>
      <c r="L202" s="2203">
        <f t="shared" si="65"/>
        <v>0</v>
      </c>
      <c r="M202" s="2205"/>
      <c r="N202" s="3047"/>
      <c r="O202" s="3048"/>
      <c r="P202" s="3045"/>
      <c r="Q202" s="3046"/>
      <c r="R202" s="2203">
        <f t="shared" si="66"/>
        <v>0</v>
      </c>
      <c r="S202" s="2205"/>
      <c r="T202" s="3047"/>
      <c r="U202" s="3044"/>
      <c r="V202" s="3045"/>
      <c r="W202" s="3046"/>
      <c r="X202" s="2203">
        <f t="shared" si="67"/>
        <v>0</v>
      </c>
      <c r="Y202" s="2205"/>
      <c r="Z202" s="3047"/>
      <c r="AA202" s="3044"/>
      <c r="AB202" s="3043"/>
      <c r="AC202" s="3046"/>
      <c r="AD202" s="2203">
        <f t="shared" si="68"/>
        <v>0</v>
      </c>
      <c r="AE202" s="2205"/>
      <c r="AF202" s="2"/>
      <c r="AG202" s="2200"/>
      <c r="AH202" t="b">
        <f t="shared" si="69"/>
        <v>0</v>
      </c>
    </row>
    <row r="203" spans="1:34" ht="13.5" customHeight="1">
      <c r="A203" s="3054"/>
      <c r="B203" s="3043"/>
      <c r="C203" s="3044"/>
      <c r="D203" s="3045"/>
      <c r="E203" s="3046"/>
      <c r="F203" s="2203">
        <f t="shared" si="64"/>
        <v>0</v>
      </c>
      <c r="G203" s="2205"/>
      <c r="H203" s="3047"/>
      <c r="I203" s="3048"/>
      <c r="J203" s="3045"/>
      <c r="K203" s="3046"/>
      <c r="L203" s="2203">
        <f t="shared" si="65"/>
        <v>0</v>
      </c>
      <c r="M203" s="2205"/>
      <c r="N203" s="3047"/>
      <c r="O203" s="3048"/>
      <c r="P203" s="3045"/>
      <c r="Q203" s="3046"/>
      <c r="R203" s="2203">
        <f t="shared" si="66"/>
        <v>0</v>
      </c>
      <c r="S203" s="2205"/>
      <c r="T203" s="3047"/>
      <c r="U203" s="3044"/>
      <c r="V203" s="3045"/>
      <c r="W203" s="3046"/>
      <c r="X203" s="2203">
        <f t="shared" si="67"/>
        <v>0</v>
      </c>
      <c r="Y203" s="2205"/>
      <c r="Z203" s="3047"/>
      <c r="AA203" s="3044"/>
      <c r="AB203" s="3043"/>
      <c r="AC203" s="3046"/>
      <c r="AD203" s="2203">
        <f t="shared" si="68"/>
        <v>0</v>
      </c>
      <c r="AE203" s="2205"/>
      <c r="AF203" s="2"/>
      <c r="AG203" s="2200"/>
      <c r="AH203" t="b">
        <f t="shared" si="69"/>
        <v>0</v>
      </c>
    </row>
    <row r="204" spans="1:34" ht="13.5" customHeight="1">
      <c r="A204" s="3054"/>
      <c r="B204" s="3043"/>
      <c r="C204" s="3044"/>
      <c r="D204" s="3045"/>
      <c r="E204" s="3046"/>
      <c r="F204" s="2203">
        <f t="shared" si="64"/>
        <v>0</v>
      </c>
      <c r="G204" s="2205"/>
      <c r="H204" s="3047"/>
      <c r="I204" s="3048"/>
      <c r="J204" s="3045"/>
      <c r="K204" s="3046"/>
      <c r="L204" s="2203">
        <f t="shared" si="65"/>
        <v>0</v>
      </c>
      <c r="M204" s="2205"/>
      <c r="N204" s="3047"/>
      <c r="O204" s="3048"/>
      <c r="P204" s="3045"/>
      <c r="Q204" s="3046"/>
      <c r="R204" s="2203">
        <f t="shared" si="66"/>
        <v>0</v>
      </c>
      <c r="S204" s="2205"/>
      <c r="T204" s="3047"/>
      <c r="U204" s="3044"/>
      <c r="V204" s="3045"/>
      <c r="W204" s="3046"/>
      <c r="X204" s="2203">
        <f t="shared" si="67"/>
        <v>0</v>
      </c>
      <c r="Y204" s="2205"/>
      <c r="Z204" s="3047"/>
      <c r="AA204" s="3044"/>
      <c r="AB204" s="3043"/>
      <c r="AC204" s="3046"/>
      <c r="AD204" s="2203">
        <f t="shared" si="68"/>
        <v>0</v>
      </c>
      <c r="AE204" s="2205"/>
      <c r="AF204" s="2"/>
      <c r="AG204" s="2200"/>
      <c r="AH204" t="b">
        <f t="shared" si="69"/>
        <v>0</v>
      </c>
    </row>
    <row r="205" spans="1:34" ht="13.5" customHeight="1">
      <c r="A205" s="3055"/>
      <c r="B205" s="3050"/>
      <c r="C205" s="3038"/>
      <c r="D205" s="3039"/>
      <c r="E205" s="3040"/>
      <c r="F205" s="2359">
        <f t="shared" si="64"/>
        <v>0</v>
      </c>
      <c r="G205" s="2940"/>
      <c r="H205" s="3037"/>
      <c r="I205" s="3049"/>
      <c r="J205" s="3039"/>
      <c r="K205" s="3040"/>
      <c r="L205" s="2359">
        <f t="shared" si="65"/>
        <v>0</v>
      </c>
      <c r="M205" s="2940"/>
      <c r="N205" s="3037"/>
      <c r="O205" s="3049"/>
      <c r="P205" s="3039"/>
      <c r="Q205" s="3040"/>
      <c r="R205" s="2359">
        <f t="shared" si="66"/>
        <v>0</v>
      </c>
      <c r="S205" s="2940"/>
      <c r="T205" s="3037"/>
      <c r="U205" s="3038"/>
      <c r="V205" s="3039"/>
      <c r="W205" s="3040"/>
      <c r="X205" s="2359">
        <f t="shared" si="67"/>
        <v>0</v>
      </c>
      <c r="Y205" s="2940"/>
      <c r="Z205" s="3051"/>
      <c r="AA205" s="3052"/>
      <c r="AB205" s="3041"/>
      <c r="AC205" s="3042"/>
      <c r="AD205" s="2359">
        <f t="shared" si="68"/>
        <v>0</v>
      </c>
      <c r="AE205" s="2940"/>
      <c r="AF205" s="2"/>
      <c r="AG205" s="2200"/>
      <c r="AH205" t="b">
        <f t="shared" si="69"/>
        <v>0</v>
      </c>
    </row>
    <row r="206" spans="1:34" ht="13.5" customHeight="1">
      <c r="A206" s="1733" t="s">
        <v>931</v>
      </c>
      <c r="B206" s="3034"/>
      <c r="C206" s="3035"/>
      <c r="D206" s="3035"/>
      <c r="E206" s="3035"/>
      <c r="F206" s="3035"/>
      <c r="G206" s="3036"/>
      <c r="H206" s="3034"/>
      <c r="I206" s="3035"/>
      <c r="J206" s="3035"/>
      <c r="K206" s="3035"/>
      <c r="L206" s="3035"/>
      <c r="M206" s="3036"/>
      <c r="N206" s="3034"/>
      <c r="O206" s="3035"/>
      <c r="P206" s="3035"/>
      <c r="Q206" s="3035"/>
      <c r="R206" s="3035"/>
      <c r="S206" s="3036"/>
      <c r="T206" s="3034"/>
      <c r="U206" s="3035"/>
      <c r="V206" s="3035"/>
      <c r="W206" s="3035"/>
      <c r="X206" s="3035"/>
      <c r="Y206" s="3036"/>
      <c r="Z206" s="3034"/>
      <c r="AA206" s="3035"/>
      <c r="AB206" s="3035"/>
      <c r="AC206" s="3035"/>
      <c r="AD206" s="3035"/>
      <c r="AE206" s="3036"/>
      <c r="AF206" s="195"/>
      <c r="AG206" s="2200"/>
      <c r="AH206" t="b">
        <f>AH211</f>
        <v>0</v>
      </c>
    </row>
    <row r="207" spans="1:34" ht="13.5" customHeight="1">
      <c r="A207" s="1735" t="s">
        <v>1511</v>
      </c>
      <c r="B207" s="3020"/>
      <c r="C207" s="3021"/>
      <c r="D207" s="3021"/>
      <c r="E207" s="3021"/>
      <c r="F207" s="3021"/>
      <c r="G207" s="3022"/>
      <c r="H207" s="3020"/>
      <c r="I207" s="3021"/>
      <c r="J207" s="3021"/>
      <c r="K207" s="3021"/>
      <c r="L207" s="3021"/>
      <c r="M207" s="3022"/>
      <c r="N207" s="3020"/>
      <c r="O207" s="3021"/>
      <c r="P207" s="3021"/>
      <c r="Q207" s="3021"/>
      <c r="R207" s="3021"/>
      <c r="S207" s="3022"/>
      <c r="T207" s="3020"/>
      <c r="U207" s="3021"/>
      <c r="V207" s="3021"/>
      <c r="W207" s="3021"/>
      <c r="X207" s="3021"/>
      <c r="Y207" s="3022"/>
      <c r="Z207" s="3020"/>
      <c r="AA207" s="3021"/>
      <c r="AB207" s="3021"/>
      <c r="AC207" s="3021"/>
      <c r="AD207" s="3021"/>
      <c r="AE207" s="3022"/>
      <c r="AF207" s="195"/>
      <c r="AG207" s="2200"/>
      <c r="AH207" t="b">
        <f>AH211</f>
        <v>0</v>
      </c>
    </row>
    <row r="208" spans="1:34" ht="13.5" customHeight="1">
      <c r="A208" s="1736" t="s">
        <v>1512</v>
      </c>
      <c r="B208" s="3017"/>
      <c r="C208" s="3018"/>
      <c r="D208" s="3018"/>
      <c r="E208" s="3018"/>
      <c r="F208" s="3018"/>
      <c r="G208" s="3019"/>
      <c r="H208" s="3017"/>
      <c r="I208" s="3018"/>
      <c r="J208" s="3018"/>
      <c r="K208" s="3018"/>
      <c r="L208" s="3018"/>
      <c r="M208" s="3019"/>
      <c r="N208" s="3017"/>
      <c r="O208" s="3018"/>
      <c r="P208" s="3018"/>
      <c r="Q208" s="3018"/>
      <c r="R208" s="3018"/>
      <c r="S208" s="3019"/>
      <c r="T208" s="3017"/>
      <c r="U208" s="3018"/>
      <c r="V208" s="3018"/>
      <c r="W208" s="3018"/>
      <c r="X208" s="3018"/>
      <c r="Y208" s="3019"/>
      <c r="Z208" s="3017"/>
      <c r="AA208" s="3018"/>
      <c r="AB208" s="3018"/>
      <c r="AC208" s="3018"/>
      <c r="AD208" s="3018"/>
      <c r="AE208" s="3019"/>
      <c r="AF208" s="195"/>
      <c r="AG208" s="2200"/>
      <c r="AH208" t="b">
        <f>AH211</f>
        <v>0</v>
      </c>
    </row>
    <row r="209" spans="1:34" ht="13.5" customHeight="1" thickBot="1">
      <c r="A209" s="1733" t="s">
        <v>925</v>
      </c>
      <c r="B209" s="3028">
        <f>SUM(F190:F205)</f>
        <v>0</v>
      </c>
      <c r="C209" s="3029"/>
      <c r="D209" s="3029"/>
      <c r="E209" s="3029"/>
      <c r="F209" s="3029"/>
      <c r="G209" s="3030"/>
      <c r="H209" s="3028">
        <f>SUM(L190:L205)</f>
        <v>0</v>
      </c>
      <c r="I209" s="3029"/>
      <c r="J209" s="3029"/>
      <c r="K209" s="3029"/>
      <c r="L209" s="3029"/>
      <c r="M209" s="3030"/>
      <c r="N209" s="3028">
        <f>SUM(R190:R205)</f>
        <v>0</v>
      </c>
      <c r="O209" s="3029"/>
      <c r="P209" s="3029"/>
      <c r="Q209" s="3029"/>
      <c r="R209" s="3029"/>
      <c r="S209" s="3030"/>
      <c r="T209" s="3028">
        <f>SUM(X190:X205)</f>
        <v>0</v>
      </c>
      <c r="U209" s="3029"/>
      <c r="V209" s="3029"/>
      <c r="W209" s="3029"/>
      <c r="X209" s="3029"/>
      <c r="Y209" s="3030"/>
      <c r="Z209" s="3028">
        <f>SUM(AD190:AD205)</f>
        <v>0</v>
      </c>
      <c r="AA209" s="3029"/>
      <c r="AB209" s="3029"/>
      <c r="AC209" s="3029"/>
      <c r="AD209" s="3029"/>
      <c r="AE209" s="3030"/>
      <c r="AF209" s="2"/>
      <c r="AG209" s="2200"/>
      <c r="AH209" t="b">
        <f>AH211</f>
        <v>0</v>
      </c>
    </row>
    <row r="210" spans="1:34" ht="13.5" customHeight="1">
      <c r="A210" s="1733" t="s">
        <v>926</v>
      </c>
      <c r="B210" s="3028">
        <f>E220</f>
        <v>0</v>
      </c>
      <c r="C210" s="3029"/>
      <c r="D210" s="3029"/>
      <c r="E210" s="3029"/>
      <c r="F210" s="3029"/>
      <c r="G210" s="3030"/>
      <c r="H210" s="3028">
        <f t="shared" ref="H210" si="70">K220</f>
        <v>0</v>
      </c>
      <c r="I210" s="3029"/>
      <c r="J210" s="3029"/>
      <c r="K210" s="3029"/>
      <c r="L210" s="3029"/>
      <c r="M210" s="3030"/>
      <c r="N210" s="3028">
        <f t="shared" ref="N210" si="71">Q220</f>
        <v>0</v>
      </c>
      <c r="O210" s="3029"/>
      <c r="P210" s="3029"/>
      <c r="Q210" s="3029"/>
      <c r="R210" s="3029"/>
      <c r="S210" s="3030"/>
      <c r="T210" s="3028">
        <f t="shared" ref="T210" si="72">W220</f>
        <v>0</v>
      </c>
      <c r="U210" s="3029"/>
      <c r="V210" s="3029"/>
      <c r="W210" s="3029"/>
      <c r="X210" s="3029"/>
      <c r="Y210" s="3030"/>
      <c r="Z210" s="3028">
        <f t="shared" ref="Z210" si="73">AC220</f>
        <v>0</v>
      </c>
      <c r="AA210" s="3029"/>
      <c r="AB210" s="3029"/>
      <c r="AC210" s="3029"/>
      <c r="AD210" s="3029"/>
      <c r="AE210" s="3030"/>
      <c r="AF210" s="1732" t="s">
        <v>907</v>
      </c>
      <c r="AG210" s="2200"/>
      <c r="AH210" t="b">
        <f>AH211</f>
        <v>0</v>
      </c>
    </row>
    <row r="211" spans="1:34" ht="13.5" customHeight="1" thickBot="1">
      <c r="A211" s="1733" t="s">
        <v>933</v>
      </c>
      <c r="B211" s="3028">
        <f>B209-B210</f>
        <v>0</v>
      </c>
      <c r="C211" s="3029"/>
      <c r="D211" s="3029"/>
      <c r="E211" s="3029"/>
      <c r="F211" s="3029"/>
      <c r="G211" s="3030"/>
      <c r="H211" s="3028">
        <f>H209-H210</f>
        <v>0</v>
      </c>
      <c r="I211" s="3029"/>
      <c r="J211" s="3029"/>
      <c r="K211" s="3029"/>
      <c r="L211" s="3029"/>
      <c r="M211" s="3030"/>
      <c r="N211" s="3028">
        <f>N209-N210</f>
        <v>0</v>
      </c>
      <c r="O211" s="3029"/>
      <c r="P211" s="3029"/>
      <c r="Q211" s="3029"/>
      <c r="R211" s="3029"/>
      <c r="S211" s="3030"/>
      <c r="T211" s="3028">
        <f>T209-T210</f>
        <v>0</v>
      </c>
      <c r="U211" s="3029"/>
      <c r="V211" s="3029"/>
      <c r="W211" s="3029"/>
      <c r="X211" s="3029"/>
      <c r="Y211" s="3030"/>
      <c r="Z211" s="3028">
        <f>Z209-Z210</f>
        <v>0</v>
      </c>
      <c r="AA211" s="3029"/>
      <c r="AB211" s="3029"/>
      <c r="AC211" s="3029"/>
      <c r="AD211" s="3029"/>
      <c r="AE211" s="3029"/>
      <c r="AF211" s="196">
        <f>SUMIF(B206:AE206,"*",B211:AE211)-SUMIF(B206:AE206,"無し",B211:AE211)+SUMIF(B242:AE242,"*",B247:AE247)-SUMIF(B242:AE242,"無し",B247:AE247)</f>
        <v>0</v>
      </c>
      <c r="AG211" s="2200"/>
      <c r="AH211" t="b">
        <f>SUM(A211:AF211)&lt;&gt;0</f>
        <v>0</v>
      </c>
    </row>
    <row r="212" spans="1:34" ht="13.5" customHeight="1">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G212" s="2200"/>
      <c r="AH212" t="b">
        <f>AH220</f>
        <v>0</v>
      </c>
    </row>
    <row r="213" spans="1:34" ht="13.5" customHeight="1">
      <c r="A213" s="1737" t="s">
        <v>5548</v>
      </c>
      <c r="B213" s="3084" t="str">
        <f>B188</f>
        <v>（名称自由入力）</v>
      </c>
      <c r="C213" s="3085"/>
      <c r="D213" s="3085"/>
      <c r="E213" s="3085"/>
      <c r="F213" s="3085"/>
      <c r="G213" s="3086"/>
      <c r="H213" s="3084" t="str">
        <f t="shared" ref="H213" si="74">H188</f>
        <v>（名称自由入力）</v>
      </c>
      <c r="I213" s="3085"/>
      <c r="J213" s="3085"/>
      <c r="K213" s="3085"/>
      <c r="L213" s="3085"/>
      <c r="M213" s="3086"/>
      <c r="N213" s="3084" t="str">
        <f t="shared" ref="N213" si="75">N188</f>
        <v>（名称自由入力）</v>
      </c>
      <c r="O213" s="3085"/>
      <c r="P213" s="3085"/>
      <c r="Q213" s="3085"/>
      <c r="R213" s="3085"/>
      <c r="S213" s="3086"/>
      <c r="T213" s="3084" t="str">
        <f t="shared" ref="T213" si="76">T188</f>
        <v>（名称自由入力）</v>
      </c>
      <c r="U213" s="3085"/>
      <c r="V213" s="3085"/>
      <c r="W213" s="3085"/>
      <c r="X213" s="3085"/>
      <c r="Y213" s="3086"/>
      <c r="Z213" s="3084" t="str">
        <f t="shared" ref="Z213" si="77">Z188</f>
        <v>（名称自由入力）</v>
      </c>
      <c r="AA213" s="3085"/>
      <c r="AB213" s="3085"/>
      <c r="AC213" s="3085"/>
      <c r="AD213" s="3085"/>
      <c r="AE213" s="3086"/>
      <c r="AF213" s="195"/>
      <c r="AG213" s="2200"/>
      <c r="AH213" t="b">
        <f>AH220</f>
        <v>0</v>
      </c>
    </row>
    <row r="214" spans="1:34" ht="13.5" customHeight="1">
      <c r="A214" s="1738" t="s">
        <v>5547</v>
      </c>
      <c r="B214" s="3087"/>
      <c r="C214" s="3087"/>
      <c r="D214" s="3087"/>
      <c r="E214" s="3091">
        <f t="shared" ref="E214:E219" si="78">SUMIF(外部開口,B214,外部開口面積)</f>
        <v>0</v>
      </c>
      <c r="F214" s="3091"/>
      <c r="G214" s="3091"/>
      <c r="H214" s="3087"/>
      <c r="I214" s="3087"/>
      <c r="J214" s="3087"/>
      <c r="K214" s="3091">
        <f t="shared" ref="K214:K219" si="79">SUMIF(外部開口,H214,外部開口面積)</f>
        <v>0</v>
      </c>
      <c r="L214" s="3091"/>
      <c r="M214" s="3091"/>
      <c r="N214" s="3087"/>
      <c r="O214" s="3087"/>
      <c r="P214" s="3087"/>
      <c r="Q214" s="3091">
        <f t="shared" ref="Q214:Q219" si="80">SUMIF(外部開口,N214,外部開口面積)</f>
        <v>0</v>
      </c>
      <c r="R214" s="3091"/>
      <c r="S214" s="3091"/>
      <c r="T214" s="3087"/>
      <c r="U214" s="3087"/>
      <c r="V214" s="3087"/>
      <c r="W214" s="3091">
        <f t="shared" ref="W214:W219" si="81">SUMIF(外部開口,T214,外部開口面積)</f>
        <v>0</v>
      </c>
      <c r="X214" s="3091"/>
      <c r="Y214" s="3091"/>
      <c r="Z214" s="3087"/>
      <c r="AA214" s="3087"/>
      <c r="AB214" s="3087"/>
      <c r="AC214" s="3091">
        <f t="shared" ref="AC214:AC219" si="82">SUMIF(外部開口,Z214,外部開口面積)</f>
        <v>0</v>
      </c>
      <c r="AD214" s="3091"/>
      <c r="AE214" s="3091"/>
      <c r="AF214" s="195"/>
      <c r="AG214" s="2200"/>
      <c r="AH214" t="b">
        <f>SUM(B214:AE214)&lt;&gt;0</f>
        <v>0</v>
      </c>
    </row>
    <row r="215" spans="1:34" ht="13.5" customHeight="1">
      <c r="A215" s="1739"/>
      <c r="B215" s="3088"/>
      <c r="C215" s="3088"/>
      <c r="D215" s="3088"/>
      <c r="E215" s="3092">
        <f t="shared" si="78"/>
        <v>0</v>
      </c>
      <c r="F215" s="3092"/>
      <c r="G215" s="3092"/>
      <c r="H215" s="3088"/>
      <c r="I215" s="3088"/>
      <c r="J215" s="3088"/>
      <c r="K215" s="3092">
        <f t="shared" si="79"/>
        <v>0</v>
      </c>
      <c r="L215" s="3092"/>
      <c r="M215" s="3092"/>
      <c r="N215" s="3088"/>
      <c r="O215" s="3088"/>
      <c r="P215" s="3088"/>
      <c r="Q215" s="3092">
        <f t="shared" si="80"/>
        <v>0</v>
      </c>
      <c r="R215" s="3092"/>
      <c r="S215" s="3092"/>
      <c r="T215" s="3088"/>
      <c r="U215" s="3088"/>
      <c r="V215" s="3088"/>
      <c r="W215" s="3092">
        <f t="shared" si="81"/>
        <v>0</v>
      </c>
      <c r="X215" s="3092"/>
      <c r="Y215" s="3092"/>
      <c r="Z215" s="3088"/>
      <c r="AA215" s="3088"/>
      <c r="AB215" s="3088"/>
      <c r="AC215" s="3092">
        <f t="shared" si="82"/>
        <v>0</v>
      </c>
      <c r="AD215" s="3092"/>
      <c r="AE215" s="3092"/>
      <c r="AF215" s="195"/>
      <c r="AG215" s="2200"/>
      <c r="AH215" t="b">
        <f t="shared" ref="AH215:AH219" si="83">SUM(B215:AE215)&lt;&gt;0</f>
        <v>0</v>
      </c>
    </row>
    <row r="216" spans="1:34" ht="13.5" customHeight="1">
      <c r="A216" s="1739"/>
      <c r="B216" s="3088"/>
      <c r="C216" s="3088"/>
      <c r="D216" s="3088"/>
      <c r="E216" s="3092">
        <f t="shared" si="78"/>
        <v>0</v>
      </c>
      <c r="F216" s="3092"/>
      <c r="G216" s="3092"/>
      <c r="H216" s="3088"/>
      <c r="I216" s="3088"/>
      <c r="J216" s="3088"/>
      <c r="K216" s="3092">
        <f t="shared" si="79"/>
        <v>0</v>
      </c>
      <c r="L216" s="3092"/>
      <c r="M216" s="3092"/>
      <c r="N216" s="3088"/>
      <c r="O216" s="3088"/>
      <c r="P216" s="3088"/>
      <c r="Q216" s="3092">
        <f t="shared" si="80"/>
        <v>0</v>
      </c>
      <c r="R216" s="3092"/>
      <c r="S216" s="3092"/>
      <c r="T216" s="3088"/>
      <c r="U216" s="3088"/>
      <c r="V216" s="3088"/>
      <c r="W216" s="3092">
        <f t="shared" si="81"/>
        <v>0</v>
      </c>
      <c r="X216" s="3092"/>
      <c r="Y216" s="3092"/>
      <c r="Z216" s="3088"/>
      <c r="AA216" s="3088"/>
      <c r="AB216" s="3088"/>
      <c r="AC216" s="3092">
        <f t="shared" si="82"/>
        <v>0</v>
      </c>
      <c r="AD216" s="3092"/>
      <c r="AE216" s="3092"/>
      <c r="AF216" s="195"/>
      <c r="AG216" s="2200"/>
      <c r="AH216" t="b">
        <f t="shared" si="83"/>
        <v>0</v>
      </c>
    </row>
    <row r="217" spans="1:34" ht="13.5" customHeight="1">
      <c r="A217" s="1739"/>
      <c r="B217" s="3088"/>
      <c r="C217" s="3088"/>
      <c r="D217" s="3088"/>
      <c r="E217" s="3092">
        <f t="shared" si="78"/>
        <v>0</v>
      </c>
      <c r="F217" s="3092"/>
      <c r="G217" s="3092"/>
      <c r="H217" s="3088"/>
      <c r="I217" s="3088"/>
      <c r="J217" s="3088"/>
      <c r="K217" s="3092">
        <f t="shared" si="79"/>
        <v>0</v>
      </c>
      <c r="L217" s="3092"/>
      <c r="M217" s="3092"/>
      <c r="N217" s="3088"/>
      <c r="O217" s="3088"/>
      <c r="P217" s="3088"/>
      <c r="Q217" s="3092">
        <f t="shared" si="80"/>
        <v>0</v>
      </c>
      <c r="R217" s="3092"/>
      <c r="S217" s="3092"/>
      <c r="T217" s="3088"/>
      <c r="U217" s="3088"/>
      <c r="V217" s="3088"/>
      <c r="W217" s="3092">
        <f t="shared" si="81"/>
        <v>0</v>
      </c>
      <c r="X217" s="3092"/>
      <c r="Y217" s="3092"/>
      <c r="Z217" s="3088"/>
      <c r="AA217" s="3088"/>
      <c r="AB217" s="3088"/>
      <c r="AC217" s="3092">
        <f t="shared" si="82"/>
        <v>0</v>
      </c>
      <c r="AD217" s="3092"/>
      <c r="AE217" s="3092"/>
      <c r="AF217" s="195"/>
      <c r="AG217" s="2200"/>
      <c r="AH217" t="b">
        <f t="shared" si="83"/>
        <v>0</v>
      </c>
    </row>
    <row r="218" spans="1:34" ht="13.5" customHeight="1">
      <c r="A218" s="1739"/>
      <c r="B218" s="3088"/>
      <c r="C218" s="3088"/>
      <c r="D218" s="3088"/>
      <c r="E218" s="3092">
        <f t="shared" si="78"/>
        <v>0</v>
      </c>
      <c r="F218" s="3092"/>
      <c r="G218" s="3092"/>
      <c r="H218" s="3088"/>
      <c r="I218" s="3088"/>
      <c r="J218" s="3088"/>
      <c r="K218" s="3092">
        <f t="shared" si="79"/>
        <v>0</v>
      </c>
      <c r="L218" s="3092"/>
      <c r="M218" s="3092"/>
      <c r="N218" s="3088"/>
      <c r="O218" s="3088"/>
      <c r="P218" s="3088"/>
      <c r="Q218" s="3092">
        <f t="shared" si="80"/>
        <v>0</v>
      </c>
      <c r="R218" s="3092"/>
      <c r="S218" s="3092"/>
      <c r="T218" s="3088"/>
      <c r="U218" s="3088"/>
      <c r="V218" s="3088"/>
      <c r="W218" s="3092">
        <f t="shared" si="81"/>
        <v>0</v>
      </c>
      <c r="X218" s="3092"/>
      <c r="Y218" s="3092"/>
      <c r="Z218" s="3088"/>
      <c r="AA218" s="3088"/>
      <c r="AB218" s="3088"/>
      <c r="AC218" s="3092">
        <f t="shared" si="82"/>
        <v>0</v>
      </c>
      <c r="AD218" s="3092"/>
      <c r="AE218" s="3092"/>
      <c r="AF218" s="195"/>
      <c r="AG218" s="2200"/>
      <c r="AH218" t="b">
        <f t="shared" si="83"/>
        <v>0</v>
      </c>
    </row>
    <row r="219" spans="1:34" ht="13.5" customHeight="1">
      <c r="A219" s="1739"/>
      <c r="B219" s="3089"/>
      <c r="C219" s="3089"/>
      <c r="D219" s="3089"/>
      <c r="E219" s="3093">
        <f t="shared" si="78"/>
        <v>0</v>
      </c>
      <c r="F219" s="3093"/>
      <c r="G219" s="3093"/>
      <c r="H219" s="3089"/>
      <c r="I219" s="3089"/>
      <c r="J219" s="3089"/>
      <c r="K219" s="3093">
        <f t="shared" si="79"/>
        <v>0</v>
      </c>
      <c r="L219" s="3093"/>
      <c r="M219" s="3093"/>
      <c r="N219" s="3089"/>
      <c r="O219" s="3089"/>
      <c r="P219" s="3089"/>
      <c r="Q219" s="3093">
        <f t="shared" si="80"/>
        <v>0</v>
      </c>
      <c r="R219" s="3093"/>
      <c r="S219" s="3093"/>
      <c r="T219" s="3089"/>
      <c r="U219" s="3089"/>
      <c r="V219" s="3089"/>
      <c r="W219" s="3093">
        <f t="shared" si="81"/>
        <v>0</v>
      </c>
      <c r="X219" s="3093"/>
      <c r="Y219" s="3093"/>
      <c r="Z219" s="3089"/>
      <c r="AA219" s="3089"/>
      <c r="AB219" s="3089"/>
      <c r="AC219" s="3093">
        <f t="shared" si="82"/>
        <v>0</v>
      </c>
      <c r="AD219" s="3093"/>
      <c r="AE219" s="3093"/>
      <c r="AF219" s="195"/>
      <c r="AG219" s="2200"/>
      <c r="AH219" t="b">
        <f t="shared" si="83"/>
        <v>0</v>
      </c>
    </row>
    <row r="220" spans="1:34" ht="13.5" customHeight="1">
      <c r="A220" s="1740"/>
      <c r="B220" s="3090" t="s">
        <v>498</v>
      </c>
      <c r="C220" s="3090"/>
      <c r="D220" s="3090"/>
      <c r="E220" s="3094">
        <f>SUM(E214:E219)</f>
        <v>0</v>
      </c>
      <c r="F220" s="3094"/>
      <c r="G220" s="3094"/>
      <c r="H220" s="3090" t="s">
        <v>498</v>
      </c>
      <c r="I220" s="3090"/>
      <c r="J220" s="3090"/>
      <c r="K220" s="3094">
        <f t="shared" ref="K220" si="84">SUM(K214:K219)</f>
        <v>0</v>
      </c>
      <c r="L220" s="3094"/>
      <c r="M220" s="3094"/>
      <c r="N220" s="3090" t="s">
        <v>498</v>
      </c>
      <c r="O220" s="3090"/>
      <c r="P220" s="3090"/>
      <c r="Q220" s="3094">
        <f t="shared" ref="Q220" si="85">SUM(Q214:Q219)</f>
        <v>0</v>
      </c>
      <c r="R220" s="3094"/>
      <c r="S220" s="3094"/>
      <c r="T220" s="3090" t="s">
        <v>498</v>
      </c>
      <c r="U220" s="3090"/>
      <c r="V220" s="3090"/>
      <c r="W220" s="3094">
        <f t="shared" ref="W220" si="86">SUM(W214:W219)</f>
        <v>0</v>
      </c>
      <c r="X220" s="3094"/>
      <c r="Y220" s="3094"/>
      <c r="Z220" s="3090" t="s">
        <v>498</v>
      </c>
      <c r="AA220" s="3090"/>
      <c r="AB220" s="3090"/>
      <c r="AC220" s="3094">
        <f t="shared" ref="AC220" si="87">SUM(AC214:AC219)</f>
        <v>0</v>
      </c>
      <c r="AD220" s="3094"/>
      <c r="AE220" s="3094"/>
      <c r="AF220" s="195"/>
      <c r="AG220" s="2200"/>
      <c r="AH220" t="b">
        <f>SUM(A220:AE220)&gt;0</f>
        <v>0</v>
      </c>
    </row>
    <row r="221" spans="1:34" ht="13.5" customHeight="1">
      <c r="B221" s="1023" t="s">
        <v>5588</v>
      </c>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195"/>
      <c r="AG221" s="2200"/>
      <c r="AH221" t="b">
        <v>0</v>
      </c>
    </row>
    <row r="222" spans="1:34" ht="13.5" customHeight="1">
      <c r="B222" s="1023" t="s">
        <v>5587</v>
      </c>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195"/>
      <c r="AG222" s="2200"/>
      <c r="AH222" t="b">
        <v>0</v>
      </c>
    </row>
    <row r="223" spans="1:34" ht="13.5" customHeight="1">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G223" s="2200"/>
      <c r="AH223" t="b">
        <f>AH247</f>
        <v>0</v>
      </c>
    </row>
    <row r="224" spans="1:34" ht="13.5" customHeight="1">
      <c r="A224" s="3053" t="s">
        <v>5568</v>
      </c>
      <c r="B224" s="3056" t="s">
        <v>920</v>
      </c>
      <c r="C224" s="3057"/>
      <c r="D224" s="3057"/>
      <c r="E224" s="3057"/>
      <c r="F224" s="3057"/>
      <c r="G224" s="3058"/>
      <c r="H224" s="3056" t="s">
        <v>920</v>
      </c>
      <c r="I224" s="3057"/>
      <c r="J224" s="3057"/>
      <c r="K224" s="3057"/>
      <c r="L224" s="3057"/>
      <c r="M224" s="3058"/>
      <c r="N224" s="3056" t="s">
        <v>920</v>
      </c>
      <c r="O224" s="3057"/>
      <c r="P224" s="3057"/>
      <c r="Q224" s="3057"/>
      <c r="R224" s="3057"/>
      <c r="S224" s="3058"/>
      <c r="T224" s="3056" t="s">
        <v>920</v>
      </c>
      <c r="U224" s="3057"/>
      <c r="V224" s="3057"/>
      <c r="W224" s="3057"/>
      <c r="X224" s="3057"/>
      <c r="Y224" s="3058"/>
      <c r="Z224" s="3056" t="s">
        <v>920</v>
      </c>
      <c r="AA224" s="3057"/>
      <c r="AB224" s="3057"/>
      <c r="AC224" s="3057"/>
      <c r="AD224" s="3057"/>
      <c r="AE224" s="3058"/>
      <c r="AG224" s="2200"/>
      <c r="AH224" t="b">
        <f>AH247</f>
        <v>0</v>
      </c>
    </row>
    <row r="225" spans="1:34" ht="13.5" customHeight="1">
      <c r="A225" s="3054"/>
      <c r="B225" s="1728" t="s">
        <v>921</v>
      </c>
      <c r="C225" s="1728"/>
      <c r="D225" s="1729" t="s">
        <v>922</v>
      </c>
      <c r="E225" s="1730"/>
      <c r="F225" s="1731" t="s">
        <v>923</v>
      </c>
      <c r="G225" s="1728"/>
      <c r="H225" s="1731" t="s">
        <v>921</v>
      </c>
      <c r="I225" s="1728"/>
      <c r="J225" s="1729" t="s">
        <v>922</v>
      </c>
      <c r="K225" s="1730"/>
      <c r="L225" s="1731" t="s">
        <v>923</v>
      </c>
      <c r="M225" s="1728"/>
      <c r="N225" s="1731" t="s">
        <v>921</v>
      </c>
      <c r="O225" s="1728"/>
      <c r="P225" s="1729" t="s">
        <v>922</v>
      </c>
      <c r="Q225" s="1730"/>
      <c r="R225" s="1731" t="s">
        <v>923</v>
      </c>
      <c r="S225" s="1728"/>
      <c r="T225" s="1731" t="s">
        <v>921</v>
      </c>
      <c r="U225" s="1728"/>
      <c r="V225" s="1729" t="s">
        <v>922</v>
      </c>
      <c r="W225" s="1730"/>
      <c r="X225" s="1731" t="s">
        <v>923</v>
      </c>
      <c r="Y225" s="1728"/>
      <c r="Z225" s="1731" t="s">
        <v>921</v>
      </c>
      <c r="AA225" s="1728"/>
      <c r="AB225" s="1729" t="s">
        <v>922</v>
      </c>
      <c r="AC225" s="1730"/>
      <c r="AD225" s="1731" t="s">
        <v>923</v>
      </c>
      <c r="AE225" s="1730"/>
      <c r="AF225" s="195"/>
      <c r="AG225" s="2200"/>
      <c r="AH225" t="b">
        <f>AH247</f>
        <v>0</v>
      </c>
    </row>
    <row r="226" spans="1:34" ht="13.5" customHeight="1">
      <c r="A226" s="3054"/>
      <c r="B226" s="3059"/>
      <c r="C226" s="3060"/>
      <c r="D226" s="3061"/>
      <c r="E226" s="3062"/>
      <c r="F226" s="2243">
        <f t="shared" ref="F226:F241" si="88">ROUNDDOWN(B226*D226,2)</f>
        <v>0</v>
      </c>
      <c r="G226" s="2245"/>
      <c r="H226" s="3065"/>
      <c r="I226" s="3066"/>
      <c r="J226" s="3061"/>
      <c r="K226" s="3062"/>
      <c r="L226" s="2243">
        <f t="shared" ref="L226:L241" si="89">ROUNDDOWN(H226*J226,2)</f>
        <v>0</v>
      </c>
      <c r="M226" s="2245"/>
      <c r="N226" s="3065"/>
      <c r="O226" s="3066"/>
      <c r="P226" s="3061"/>
      <c r="Q226" s="3062"/>
      <c r="R226" s="2243">
        <f t="shared" ref="R226:R241" si="90">ROUNDDOWN(N226*P226,2)</f>
        <v>0</v>
      </c>
      <c r="S226" s="2245"/>
      <c r="T226" s="3065"/>
      <c r="U226" s="3060"/>
      <c r="V226" s="3061"/>
      <c r="W226" s="3062"/>
      <c r="X226" s="2243">
        <f t="shared" ref="X226:X241" si="91">ROUNDDOWN(T226*V226,2)</f>
        <v>0</v>
      </c>
      <c r="Y226" s="2245"/>
      <c r="Z226" s="3065"/>
      <c r="AA226" s="3060"/>
      <c r="AB226" s="3059"/>
      <c r="AC226" s="3062"/>
      <c r="AD226" s="3063">
        <f t="shared" ref="AD226:AD241" si="92">ROUNDDOWN(Z226*AB226,2)</f>
        <v>0</v>
      </c>
      <c r="AE226" s="3064"/>
      <c r="AF226" s="2"/>
      <c r="AG226" s="2200"/>
      <c r="AH226" t="b">
        <f t="shared" ref="AH226:AH241" si="93">SUM(B226:AE226)&lt;&gt;0</f>
        <v>0</v>
      </c>
    </row>
    <row r="227" spans="1:34" ht="13.5" customHeight="1">
      <c r="A227" s="3054"/>
      <c r="B227" s="3043"/>
      <c r="C227" s="3044"/>
      <c r="D227" s="3045"/>
      <c r="E227" s="3046"/>
      <c r="F227" s="2203">
        <f t="shared" si="88"/>
        <v>0</v>
      </c>
      <c r="G227" s="2205"/>
      <c r="H227" s="3047"/>
      <c r="I227" s="3048"/>
      <c r="J227" s="3045"/>
      <c r="K227" s="3046"/>
      <c r="L227" s="2203">
        <f t="shared" si="89"/>
        <v>0</v>
      </c>
      <c r="M227" s="2205"/>
      <c r="N227" s="3047"/>
      <c r="O227" s="3048"/>
      <c r="P227" s="3045"/>
      <c r="Q227" s="3046"/>
      <c r="R227" s="2203">
        <f t="shared" si="90"/>
        <v>0</v>
      </c>
      <c r="S227" s="2205"/>
      <c r="T227" s="3047"/>
      <c r="U227" s="3044"/>
      <c r="V227" s="3045"/>
      <c r="W227" s="3046"/>
      <c r="X227" s="2203">
        <f t="shared" si="91"/>
        <v>0</v>
      </c>
      <c r="Y227" s="2205"/>
      <c r="Z227" s="3047"/>
      <c r="AA227" s="3044"/>
      <c r="AB227" s="3043"/>
      <c r="AC227" s="3046"/>
      <c r="AD227" s="2203">
        <f t="shared" si="92"/>
        <v>0</v>
      </c>
      <c r="AE227" s="2205"/>
      <c r="AF227" s="2"/>
      <c r="AG227" s="2200"/>
      <c r="AH227" t="b">
        <f t="shared" si="93"/>
        <v>0</v>
      </c>
    </row>
    <row r="228" spans="1:34" ht="13.5" customHeight="1">
      <c r="A228" s="3054"/>
      <c r="B228" s="3043"/>
      <c r="C228" s="3044"/>
      <c r="D228" s="3045"/>
      <c r="E228" s="3046"/>
      <c r="F228" s="2203">
        <f t="shared" si="88"/>
        <v>0</v>
      </c>
      <c r="G228" s="2205"/>
      <c r="H228" s="3047"/>
      <c r="I228" s="3048"/>
      <c r="J228" s="3045"/>
      <c r="K228" s="3046"/>
      <c r="L228" s="2203">
        <f t="shared" si="89"/>
        <v>0</v>
      </c>
      <c r="M228" s="2205"/>
      <c r="N228" s="3047"/>
      <c r="O228" s="3048"/>
      <c r="P228" s="3045"/>
      <c r="Q228" s="3046"/>
      <c r="R228" s="2203">
        <f t="shared" si="90"/>
        <v>0</v>
      </c>
      <c r="S228" s="2205"/>
      <c r="T228" s="3047"/>
      <c r="U228" s="3044"/>
      <c r="V228" s="3045"/>
      <c r="W228" s="3046"/>
      <c r="X228" s="2203">
        <f t="shared" si="91"/>
        <v>0</v>
      </c>
      <c r="Y228" s="2205"/>
      <c r="Z228" s="3047"/>
      <c r="AA228" s="3044"/>
      <c r="AB228" s="3043"/>
      <c r="AC228" s="3046"/>
      <c r="AD228" s="2203">
        <f t="shared" si="92"/>
        <v>0</v>
      </c>
      <c r="AE228" s="2205"/>
      <c r="AF228" s="2"/>
      <c r="AG228" s="2200"/>
      <c r="AH228" t="b">
        <f t="shared" si="93"/>
        <v>0</v>
      </c>
    </row>
    <row r="229" spans="1:34" ht="13.5" customHeight="1">
      <c r="A229" s="3054"/>
      <c r="B229" s="3043"/>
      <c r="C229" s="3044"/>
      <c r="D229" s="3045"/>
      <c r="E229" s="3046"/>
      <c r="F229" s="2203">
        <f t="shared" si="88"/>
        <v>0</v>
      </c>
      <c r="G229" s="2205"/>
      <c r="H229" s="3047"/>
      <c r="I229" s="3048"/>
      <c r="J229" s="3045"/>
      <c r="K229" s="3046"/>
      <c r="L229" s="2203">
        <f t="shared" si="89"/>
        <v>0</v>
      </c>
      <c r="M229" s="2205"/>
      <c r="N229" s="3047"/>
      <c r="O229" s="3048"/>
      <c r="P229" s="3045"/>
      <c r="Q229" s="3046"/>
      <c r="R229" s="2203">
        <f t="shared" si="90"/>
        <v>0</v>
      </c>
      <c r="S229" s="2205"/>
      <c r="T229" s="3047"/>
      <c r="U229" s="3044"/>
      <c r="V229" s="3045"/>
      <c r="W229" s="3046"/>
      <c r="X229" s="2203">
        <f t="shared" si="91"/>
        <v>0</v>
      </c>
      <c r="Y229" s="2205"/>
      <c r="Z229" s="3047"/>
      <c r="AA229" s="3044"/>
      <c r="AB229" s="3043"/>
      <c r="AC229" s="3046"/>
      <c r="AD229" s="2203">
        <f t="shared" si="92"/>
        <v>0</v>
      </c>
      <c r="AE229" s="2205"/>
      <c r="AF229" s="2"/>
      <c r="AG229" s="2200"/>
      <c r="AH229" t="b">
        <f t="shared" si="93"/>
        <v>0</v>
      </c>
    </row>
    <row r="230" spans="1:34" ht="13.5" customHeight="1">
      <c r="A230" s="3054"/>
      <c r="B230" s="3043"/>
      <c r="C230" s="3044"/>
      <c r="D230" s="3045"/>
      <c r="E230" s="3046"/>
      <c r="F230" s="2203">
        <f t="shared" si="88"/>
        <v>0</v>
      </c>
      <c r="G230" s="2205"/>
      <c r="H230" s="3047"/>
      <c r="I230" s="3048"/>
      <c r="J230" s="3045"/>
      <c r="K230" s="3046"/>
      <c r="L230" s="2203">
        <f t="shared" si="89"/>
        <v>0</v>
      </c>
      <c r="M230" s="2205"/>
      <c r="N230" s="3047"/>
      <c r="O230" s="3048"/>
      <c r="P230" s="3045"/>
      <c r="Q230" s="3046"/>
      <c r="R230" s="2203">
        <f t="shared" si="90"/>
        <v>0</v>
      </c>
      <c r="S230" s="2205"/>
      <c r="T230" s="3047"/>
      <c r="U230" s="3044"/>
      <c r="V230" s="3045"/>
      <c r="W230" s="3046"/>
      <c r="X230" s="2203">
        <f t="shared" si="91"/>
        <v>0</v>
      </c>
      <c r="Y230" s="2205"/>
      <c r="Z230" s="3047"/>
      <c r="AA230" s="3044"/>
      <c r="AB230" s="3043"/>
      <c r="AC230" s="3046"/>
      <c r="AD230" s="2203">
        <f t="shared" si="92"/>
        <v>0</v>
      </c>
      <c r="AE230" s="2205"/>
      <c r="AF230" s="2"/>
      <c r="AG230" s="2200"/>
      <c r="AH230" t="b">
        <f t="shared" si="93"/>
        <v>0</v>
      </c>
    </row>
    <row r="231" spans="1:34" ht="13.5" customHeight="1">
      <c r="A231" s="3054"/>
      <c r="B231" s="3043"/>
      <c r="C231" s="3044"/>
      <c r="D231" s="3045"/>
      <c r="E231" s="3046"/>
      <c r="F231" s="2203">
        <f t="shared" si="88"/>
        <v>0</v>
      </c>
      <c r="G231" s="2205"/>
      <c r="H231" s="3047"/>
      <c r="I231" s="3048"/>
      <c r="J231" s="3045"/>
      <c r="K231" s="3046"/>
      <c r="L231" s="2203">
        <f t="shared" si="89"/>
        <v>0</v>
      </c>
      <c r="M231" s="2205"/>
      <c r="N231" s="3047"/>
      <c r="O231" s="3048"/>
      <c r="P231" s="3045"/>
      <c r="Q231" s="3046"/>
      <c r="R231" s="2203">
        <f t="shared" si="90"/>
        <v>0</v>
      </c>
      <c r="S231" s="2205"/>
      <c r="T231" s="3047"/>
      <c r="U231" s="3044"/>
      <c r="V231" s="3045"/>
      <c r="W231" s="3046"/>
      <c r="X231" s="2203">
        <f t="shared" si="91"/>
        <v>0</v>
      </c>
      <c r="Y231" s="2205"/>
      <c r="Z231" s="3047"/>
      <c r="AA231" s="3044"/>
      <c r="AB231" s="3043"/>
      <c r="AC231" s="3046"/>
      <c r="AD231" s="2203">
        <f t="shared" si="92"/>
        <v>0</v>
      </c>
      <c r="AE231" s="2205"/>
      <c r="AF231" s="2"/>
      <c r="AG231" s="2200"/>
      <c r="AH231" t="b">
        <f t="shared" si="93"/>
        <v>0</v>
      </c>
    </row>
    <row r="232" spans="1:34" ht="13.5" customHeight="1">
      <c r="A232" s="3054"/>
      <c r="B232" s="3043"/>
      <c r="C232" s="3044"/>
      <c r="D232" s="3045"/>
      <c r="E232" s="3046"/>
      <c r="F232" s="2203">
        <f t="shared" si="88"/>
        <v>0</v>
      </c>
      <c r="G232" s="2205"/>
      <c r="H232" s="3047"/>
      <c r="I232" s="3048"/>
      <c r="J232" s="3045"/>
      <c r="K232" s="3046"/>
      <c r="L232" s="2203">
        <f t="shared" si="89"/>
        <v>0</v>
      </c>
      <c r="M232" s="2205"/>
      <c r="N232" s="3047"/>
      <c r="O232" s="3048"/>
      <c r="P232" s="3045"/>
      <c r="Q232" s="3046"/>
      <c r="R232" s="2203">
        <f t="shared" si="90"/>
        <v>0</v>
      </c>
      <c r="S232" s="2205"/>
      <c r="T232" s="3047"/>
      <c r="U232" s="3044"/>
      <c r="V232" s="3045"/>
      <c r="W232" s="3046"/>
      <c r="X232" s="2203">
        <f t="shared" si="91"/>
        <v>0</v>
      </c>
      <c r="Y232" s="2205"/>
      <c r="Z232" s="3047"/>
      <c r="AA232" s="3044"/>
      <c r="AB232" s="3043"/>
      <c r="AC232" s="3046"/>
      <c r="AD232" s="2203">
        <f t="shared" si="92"/>
        <v>0</v>
      </c>
      <c r="AE232" s="2205"/>
      <c r="AF232" s="2"/>
      <c r="AG232" s="2200"/>
      <c r="AH232" t="b">
        <f t="shared" si="93"/>
        <v>0</v>
      </c>
    </row>
    <row r="233" spans="1:34" ht="13.5" customHeight="1">
      <c r="A233" s="3054"/>
      <c r="B233" s="3043"/>
      <c r="C233" s="3044"/>
      <c r="D233" s="3045"/>
      <c r="E233" s="3046"/>
      <c r="F233" s="2203">
        <f t="shared" si="88"/>
        <v>0</v>
      </c>
      <c r="G233" s="2205"/>
      <c r="H233" s="3047"/>
      <c r="I233" s="3048"/>
      <c r="J233" s="3045"/>
      <c r="K233" s="3046"/>
      <c r="L233" s="2203">
        <f t="shared" si="89"/>
        <v>0</v>
      </c>
      <c r="M233" s="2205"/>
      <c r="N233" s="3047"/>
      <c r="O233" s="3048"/>
      <c r="P233" s="3045"/>
      <c r="Q233" s="3046"/>
      <c r="R233" s="2203">
        <f t="shared" si="90"/>
        <v>0</v>
      </c>
      <c r="S233" s="2205"/>
      <c r="T233" s="3047"/>
      <c r="U233" s="3044"/>
      <c r="V233" s="3045"/>
      <c r="W233" s="3046"/>
      <c r="X233" s="2203">
        <f t="shared" si="91"/>
        <v>0</v>
      </c>
      <c r="Y233" s="2205"/>
      <c r="Z233" s="3047"/>
      <c r="AA233" s="3044"/>
      <c r="AB233" s="3043"/>
      <c r="AC233" s="3046"/>
      <c r="AD233" s="2203">
        <f t="shared" si="92"/>
        <v>0</v>
      </c>
      <c r="AE233" s="2205"/>
      <c r="AF233" s="2"/>
      <c r="AG233" s="2200"/>
      <c r="AH233" t="b">
        <f t="shared" si="93"/>
        <v>0</v>
      </c>
    </row>
    <row r="234" spans="1:34" ht="13.5" customHeight="1">
      <c r="A234" s="3054"/>
      <c r="B234" s="3043"/>
      <c r="C234" s="3044"/>
      <c r="D234" s="3045"/>
      <c r="E234" s="3046"/>
      <c r="F234" s="2203">
        <f t="shared" si="88"/>
        <v>0</v>
      </c>
      <c r="G234" s="2205"/>
      <c r="H234" s="3047"/>
      <c r="I234" s="3048"/>
      <c r="J234" s="3045"/>
      <c r="K234" s="3046"/>
      <c r="L234" s="2203">
        <f t="shared" si="89"/>
        <v>0</v>
      </c>
      <c r="M234" s="2205"/>
      <c r="N234" s="3047"/>
      <c r="O234" s="3048"/>
      <c r="P234" s="3045"/>
      <c r="Q234" s="3046"/>
      <c r="R234" s="2203">
        <f t="shared" si="90"/>
        <v>0</v>
      </c>
      <c r="S234" s="2205"/>
      <c r="T234" s="3047"/>
      <c r="U234" s="3044"/>
      <c r="V234" s="3045"/>
      <c r="W234" s="3046"/>
      <c r="X234" s="2203">
        <f t="shared" si="91"/>
        <v>0</v>
      </c>
      <c r="Y234" s="2205"/>
      <c r="Z234" s="3047"/>
      <c r="AA234" s="3044"/>
      <c r="AB234" s="3043"/>
      <c r="AC234" s="3046"/>
      <c r="AD234" s="2203">
        <f t="shared" si="92"/>
        <v>0</v>
      </c>
      <c r="AE234" s="2205"/>
      <c r="AF234" s="2"/>
      <c r="AG234" s="2200"/>
      <c r="AH234" t="b">
        <f t="shared" si="93"/>
        <v>0</v>
      </c>
    </row>
    <row r="235" spans="1:34" ht="13.5" customHeight="1">
      <c r="A235" s="3054"/>
      <c r="B235" s="3043"/>
      <c r="C235" s="3044"/>
      <c r="D235" s="3045"/>
      <c r="E235" s="3046"/>
      <c r="F235" s="2203">
        <f t="shared" si="88"/>
        <v>0</v>
      </c>
      <c r="G235" s="2205"/>
      <c r="H235" s="3047"/>
      <c r="I235" s="3048"/>
      <c r="J235" s="3045"/>
      <c r="K235" s="3046"/>
      <c r="L235" s="2203">
        <f t="shared" si="89"/>
        <v>0</v>
      </c>
      <c r="M235" s="2205"/>
      <c r="N235" s="3047"/>
      <c r="O235" s="3048"/>
      <c r="P235" s="3045"/>
      <c r="Q235" s="3046"/>
      <c r="R235" s="2203">
        <f t="shared" si="90"/>
        <v>0</v>
      </c>
      <c r="S235" s="2205"/>
      <c r="T235" s="3047"/>
      <c r="U235" s="3044"/>
      <c r="V235" s="3045"/>
      <c r="W235" s="3046"/>
      <c r="X235" s="2203">
        <f t="shared" si="91"/>
        <v>0</v>
      </c>
      <c r="Y235" s="2205"/>
      <c r="Z235" s="3047"/>
      <c r="AA235" s="3044"/>
      <c r="AB235" s="3043"/>
      <c r="AC235" s="3046"/>
      <c r="AD235" s="2203">
        <f t="shared" si="92"/>
        <v>0</v>
      </c>
      <c r="AE235" s="2205"/>
      <c r="AF235" s="2"/>
      <c r="AG235" s="2200"/>
      <c r="AH235" t="b">
        <f t="shared" si="93"/>
        <v>0</v>
      </c>
    </row>
    <row r="236" spans="1:34" ht="13.5" customHeight="1">
      <c r="A236" s="3054"/>
      <c r="B236" s="3043"/>
      <c r="C236" s="3044"/>
      <c r="D236" s="3045"/>
      <c r="E236" s="3046"/>
      <c r="F236" s="2203">
        <f t="shared" si="88"/>
        <v>0</v>
      </c>
      <c r="G236" s="2205"/>
      <c r="H236" s="3047"/>
      <c r="I236" s="3048"/>
      <c r="J236" s="3045"/>
      <c r="K236" s="3046"/>
      <c r="L236" s="2203">
        <f t="shared" si="89"/>
        <v>0</v>
      </c>
      <c r="M236" s="2205"/>
      <c r="N236" s="3047"/>
      <c r="O236" s="3048"/>
      <c r="P236" s="3045"/>
      <c r="Q236" s="3046"/>
      <c r="R236" s="2203">
        <f t="shared" si="90"/>
        <v>0</v>
      </c>
      <c r="S236" s="2205"/>
      <c r="T236" s="3047"/>
      <c r="U236" s="3044"/>
      <c r="V236" s="3045"/>
      <c r="W236" s="3046"/>
      <c r="X236" s="2203">
        <f t="shared" si="91"/>
        <v>0</v>
      </c>
      <c r="Y236" s="2205"/>
      <c r="Z236" s="3047"/>
      <c r="AA236" s="3044"/>
      <c r="AB236" s="3043"/>
      <c r="AC236" s="3046"/>
      <c r="AD236" s="2203">
        <f t="shared" si="92"/>
        <v>0</v>
      </c>
      <c r="AE236" s="2205"/>
      <c r="AF236" s="2"/>
      <c r="AG236" s="2200"/>
      <c r="AH236" t="b">
        <f t="shared" si="93"/>
        <v>0</v>
      </c>
    </row>
    <row r="237" spans="1:34" ht="13.5" customHeight="1">
      <c r="A237" s="3054"/>
      <c r="B237" s="3043"/>
      <c r="C237" s="3044"/>
      <c r="D237" s="3045"/>
      <c r="E237" s="3046"/>
      <c r="F237" s="2203">
        <f t="shared" si="88"/>
        <v>0</v>
      </c>
      <c r="G237" s="2205"/>
      <c r="H237" s="3047"/>
      <c r="I237" s="3048"/>
      <c r="J237" s="3045"/>
      <c r="K237" s="3046"/>
      <c r="L237" s="2203">
        <f t="shared" si="89"/>
        <v>0</v>
      </c>
      <c r="M237" s="2205"/>
      <c r="N237" s="3047"/>
      <c r="O237" s="3048"/>
      <c r="P237" s="3045"/>
      <c r="Q237" s="3046"/>
      <c r="R237" s="2203">
        <f t="shared" si="90"/>
        <v>0</v>
      </c>
      <c r="S237" s="2205"/>
      <c r="T237" s="3047"/>
      <c r="U237" s="3044"/>
      <c r="V237" s="3045"/>
      <c r="W237" s="3046"/>
      <c r="X237" s="2203">
        <f t="shared" si="91"/>
        <v>0</v>
      </c>
      <c r="Y237" s="2205"/>
      <c r="Z237" s="3047"/>
      <c r="AA237" s="3044"/>
      <c r="AB237" s="3043"/>
      <c r="AC237" s="3046"/>
      <c r="AD237" s="2203">
        <f t="shared" si="92"/>
        <v>0</v>
      </c>
      <c r="AE237" s="2205"/>
      <c r="AF237" s="2"/>
      <c r="AG237" s="2200"/>
      <c r="AH237" t="b">
        <f t="shared" si="93"/>
        <v>0</v>
      </c>
    </row>
    <row r="238" spans="1:34" ht="13.5" customHeight="1">
      <c r="A238" s="3054"/>
      <c r="B238" s="3043"/>
      <c r="C238" s="3044"/>
      <c r="D238" s="3045"/>
      <c r="E238" s="3046"/>
      <c r="F238" s="2203">
        <f t="shared" si="88"/>
        <v>0</v>
      </c>
      <c r="G238" s="2205"/>
      <c r="H238" s="3047"/>
      <c r="I238" s="3048"/>
      <c r="J238" s="3045"/>
      <c r="K238" s="3046"/>
      <c r="L238" s="2203">
        <f t="shared" si="89"/>
        <v>0</v>
      </c>
      <c r="M238" s="2205"/>
      <c r="N238" s="3047"/>
      <c r="O238" s="3048"/>
      <c r="P238" s="3045"/>
      <c r="Q238" s="3046"/>
      <c r="R238" s="2203">
        <f t="shared" si="90"/>
        <v>0</v>
      </c>
      <c r="S238" s="2205"/>
      <c r="T238" s="3047"/>
      <c r="U238" s="3044"/>
      <c r="V238" s="3045"/>
      <c r="W238" s="3046"/>
      <c r="X238" s="2203">
        <f t="shared" si="91"/>
        <v>0</v>
      </c>
      <c r="Y238" s="2205"/>
      <c r="Z238" s="3047"/>
      <c r="AA238" s="3044"/>
      <c r="AB238" s="3043"/>
      <c r="AC238" s="3046"/>
      <c r="AD238" s="2203">
        <f t="shared" si="92"/>
        <v>0</v>
      </c>
      <c r="AE238" s="2205"/>
      <c r="AF238" s="2"/>
      <c r="AG238" s="2200"/>
      <c r="AH238" t="b">
        <f t="shared" si="93"/>
        <v>0</v>
      </c>
    </row>
    <row r="239" spans="1:34" ht="13.5" customHeight="1">
      <c r="A239" s="3054"/>
      <c r="B239" s="3043"/>
      <c r="C239" s="3044"/>
      <c r="D239" s="3045"/>
      <c r="E239" s="3046"/>
      <c r="F239" s="2203">
        <f t="shared" si="88"/>
        <v>0</v>
      </c>
      <c r="G239" s="2205"/>
      <c r="H239" s="3047"/>
      <c r="I239" s="3048"/>
      <c r="J239" s="3045"/>
      <c r="K239" s="3046"/>
      <c r="L239" s="2203">
        <f t="shared" si="89"/>
        <v>0</v>
      </c>
      <c r="M239" s="2205"/>
      <c r="N239" s="3047"/>
      <c r="O239" s="3048"/>
      <c r="P239" s="3045"/>
      <c r="Q239" s="3046"/>
      <c r="R239" s="2203">
        <f t="shared" si="90"/>
        <v>0</v>
      </c>
      <c r="S239" s="2205"/>
      <c r="T239" s="3047"/>
      <c r="U239" s="3044"/>
      <c r="V239" s="3045"/>
      <c r="W239" s="3046"/>
      <c r="X239" s="2203">
        <f t="shared" si="91"/>
        <v>0</v>
      </c>
      <c r="Y239" s="2205"/>
      <c r="Z239" s="3047"/>
      <c r="AA239" s="3044"/>
      <c r="AB239" s="3043"/>
      <c r="AC239" s="3046"/>
      <c r="AD239" s="2203">
        <f t="shared" si="92"/>
        <v>0</v>
      </c>
      <c r="AE239" s="2205"/>
      <c r="AF239" s="2"/>
      <c r="AG239" s="2200"/>
      <c r="AH239" t="b">
        <f t="shared" si="93"/>
        <v>0</v>
      </c>
    </row>
    <row r="240" spans="1:34" ht="13.5" customHeight="1">
      <c r="A240" s="3054"/>
      <c r="B240" s="3043"/>
      <c r="C240" s="3044"/>
      <c r="D240" s="3045"/>
      <c r="E240" s="3046"/>
      <c r="F240" s="2203">
        <f t="shared" si="88"/>
        <v>0</v>
      </c>
      <c r="G240" s="2205"/>
      <c r="H240" s="3047"/>
      <c r="I240" s="3048"/>
      <c r="J240" s="3045"/>
      <c r="K240" s="3046"/>
      <c r="L240" s="2203">
        <f t="shared" si="89"/>
        <v>0</v>
      </c>
      <c r="M240" s="2205"/>
      <c r="N240" s="3047"/>
      <c r="O240" s="3048"/>
      <c r="P240" s="3045"/>
      <c r="Q240" s="3046"/>
      <c r="R240" s="2203">
        <f t="shared" si="90"/>
        <v>0</v>
      </c>
      <c r="S240" s="2205"/>
      <c r="T240" s="3047"/>
      <c r="U240" s="3044"/>
      <c r="V240" s="3045"/>
      <c r="W240" s="3046"/>
      <c r="X240" s="2203">
        <f t="shared" si="91"/>
        <v>0</v>
      </c>
      <c r="Y240" s="2205"/>
      <c r="Z240" s="3047"/>
      <c r="AA240" s="3044"/>
      <c r="AB240" s="3043"/>
      <c r="AC240" s="3046"/>
      <c r="AD240" s="2203">
        <f t="shared" si="92"/>
        <v>0</v>
      </c>
      <c r="AE240" s="2205"/>
      <c r="AF240" s="2"/>
      <c r="AG240" s="2200"/>
      <c r="AH240" t="b">
        <f t="shared" si="93"/>
        <v>0</v>
      </c>
    </row>
    <row r="241" spans="1:34" ht="13.5" customHeight="1">
      <c r="A241" s="3055"/>
      <c r="B241" s="3050"/>
      <c r="C241" s="3038"/>
      <c r="D241" s="3039"/>
      <c r="E241" s="3040"/>
      <c r="F241" s="2359">
        <f t="shared" si="88"/>
        <v>0</v>
      </c>
      <c r="G241" s="2940"/>
      <c r="H241" s="3037"/>
      <c r="I241" s="3049"/>
      <c r="J241" s="3039"/>
      <c r="K241" s="3040"/>
      <c r="L241" s="2359">
        <f t="shared" si="89"/>
        <v>0</v>
      </c>
      <c r="M241" s="2940"/>
      <c r="N241" s="3037"/>
      <c r="O241" s="3049"/>
      <c r="P241" s="3039"/>
      <c r="Q241" s="3040"/>
      <c r="R241" s="2359">
        <f t="shared" si="90"/>
        <v>0</v>
      </c>
      <c r="S241" s="2940"/>
      <c r="T241" s="3037"/>
      <c r="U241" s="3038"/>
      <c r="V241" s="3039"/>
      <c r="W241" s="3040"/>
      <c r="X241" s="2359">
        <f t="shared" si="91"/>
        <v>0</v>
      </c>
      <c r="Y241" s="2940"/>
      <c r="Z241" s="3051"/>
      <c r="AA241" s="3052"/>
      <c r="AB241" s="3041"/>
      <c r="AC241" s="3042"/>
      <c r="AD241" s="2359">
        <f t="shared" si="92"/>
        <v>0</v>
      </c>
      <c r="AE241" s="2940"/>
      <c r="AF241" s="2"/>
      <c r="AG241" s="2200"/>
      <c r="AH241" t="b">
        <f t="shared" si="93"/>
        <v>0</v>
      </c>
    </row>
    <row r="242" spans="1:34" ht="13.5" customHeight="1">
      <c r="A242" s="1733" t="s">
        <v>931</v>
      </c>
      <c r="B242" s="3034"/>
      <c r="C242" s="3035"/>
      <c r="D242" s="3035"/>
      <c r="E242" s="3035"/>
      <c r="F242" s="3035"/>
      <c r="G242" s="3036"/>
      <c r="H242" s="3034"/>
      <c r="I242" s="3035"/>
      <c r="J242" s="3035"/>
      <c r="K242" s="3035"/>
      <c r="L242" s="3035"/>
      <c r="M242" s="3036"/>
      <c r="N242" s="3034"/>
      <c r="O242" s="3035"/>
      <c r="P242" s="3035"/>
      <c r="Q242" s="3035"/>
      <c r="R242" s="3035"/>
      <c r="S242" s="3036"/>
      <c r="T242" s="3034"/>
      <c r="U242" s="3035"/>
      <c r="V242" s="3035"/>
      <c r="W242" s="3035"/>
      <c r="X242" s="3035"/>
      <c r="Y242" s="3036"/>
      <c r="Z242" s="3034"/>
      <c r="AA242" s="3035"/>
      <c r="AB242" s="3035"/>
      <c r="AC242" s="3035"/>
      <c r="AD242" s="3035"/>
      <c r="AE242" s="3036"/>
      <c r="AF242" s="2"/>
      <c r="AG242" s="2200"/>
      <c r="AH242" t="b">
        <f>AH247</f>
        <v>0</v>
      </c>
    </row>
    <row r="243" spans="1:34" ht="13.5" customHeight="1">
      <c r="A243" s="1735" t="s">
        <v>1511</v>
      </c>
      <c r="B243" s="3020"/>
      <c r="C243" s="3021"/>
      <c r="D243" s="3021"/>
      <c r="E243" s="3021"/>
      <c r="F243" s="3021"/>
      <c r="G243" s="3022"/>
      <c r="H243" s="3020"/>
      <c r="I243" s="3021"/>
      <c r="J243" s="3021"/>
      <c r="K243" s="3021"/>
      <c r="L243" s="3021"/>
      <c r="M243" s="3022"/>
      <c r="N243" s="3020"/>
      <c r="O243" s="3021"/>
      <c r="P243" s="3021"/>
      <c r="Q243" s="3021"/>
      <c r="R243" s="3021"/>
      <c r="S243" s="3022"/>
      <c r="T243" s="3020"/>
      <c r="U243" s="3021"/>
      <c r="V243" s="3021"/>
      <c r="W243" s="3021"/>
      <c r="X243" s="3021"/>
      <c r="Y243" s="3022"/>
      <c r="Z243" s="3020"/>
      <c r="AA243" s="3021"/>
      <c r="AB243" s="3021"/>
      <c r="AC243" s="3021"/>
      <c r="AD243" s="3021"/>
      <c r="AE243" s="3022"/>
      <c r="AF243" s="195"/>
      <c r="AG243" s="2200"/>
      <c r="AH243" t="b">
        <f>AH247</f>
        <v>0</v>
      </c>
    </row>
    <row r="244" spans="1:34" ht="13.5" customHeight="1">
      <c r="A244" s="1736" t="s">
        <v>1512</v>
      </c>
      <c r="B244" s="3017"/>
      <c r="C244" s="3018"/>
      <c r="D244" s="3018"/>
      <c r="E244" s="3018"/>
      <c r="F244" s="3018"/>
      <c r="G244" s="3019"/>
      <c r="H244" s="3017"/>
      <c r="I244" s="3018"/>
      <c r="J244" s="3018"/>
      <c r="K244" s="3018"/>
      <c r="L244" s="3018"/>
      <c r="M244" s="3019"/>
      <c r="N244" s="3017"/>
      <c r="O244" s="3018"/>
      <c r="P244" s="3018"/>
      <c r="Q244" s="3018"/>
      <c r="R244" s="3018"/>
      <c r="S244" s="3019"/>
      <c r="T244" s="3017"/>
      <c r="U244" s="3018"/>
      <c r="V244" s="3018"/>
      <c r="W244" s="3018"/>
      <c r="X244" s="3018"/>
      <c r="Y244" s="3019"/>
      <c r="Z244" s="3017"/>
      <c r="AA244" s="3018"/>
      <c r="AB244" s="3018"/>
      <c r="AC244" s="3018"/>
      <c r="AD244" s="3018"/>
      <c r="AE244" s="3019"/>
      <c r="AF244" s="195"/>
      <c r="AG244" s="2200"/>
      <c r="AH244" t="b">
        <f>AH247</f>
        <v>0</v>
      </c>
    </row>
    <row r="245" spans="1:34" ht="13.5" customHeight="1">
      <c r="A245" s="1733" t="s">
        <v>925</v>
      </c>
      <c r="B245" s="3028">
        <f>SUM(F226:F241)</f>
        <v>0</v>
      </c>
      <c r="C245" s="3029"/>
      <c r="D245" s="3029"/>
      <c r="E245" s="3029"/>
      <c r="F245" s="3029"/>
      <c r="G245" s="3030"/>
      <c r="H245" s="3028">
        <f>SUM(L226:L241)</f>
        <v>0</v>
      </c>
      <c r="I245" s="3029"/>
      <c r="J245" s="3029"/>
      <c r="K245" s="3029"/>
      <c r="L245" s="3029"/>
      <c r="M245" s="3030"/>
      <c r="N245" s="3028">
        <f>SUM(R226:R241)</f>
        <v>0</v>
      </c>
      <c r="O245" s="3029"/>
      <c r="P245" s="3029"/>
      <c r="Q245" s="3029"/>
      <c r="R245" s="3029"/>
      <c r="S245" s="3030"/>
      <c r="T245" s="3028">
        <f>SUM(X226:X241)</f>
        <v>0</v>
      </c>
      <c r="U245" s="3029"/>
      <c r="V245" s="3029"/>
      <c r="W245" s="3029"/>
      <c r="X245" s="3029"/>
      <c r="Y245" s="3030"/>
      <c r="Z245" s="3028">
        <f>SUM(AD226:AD241)</f>
        <v>0</v>
      </c>
      <c r="AA245" s="3029"/>
      <c r="AB245" s="3029"/>
      <c r="AC245" s="3029"/>
      <c r="AD245" s="3029"/>
      <c r="AE245" s="3030"/>
      <c r="AF245" s="2"/>
      <c r="AG245" s="2200"/>
      <c r="AH245" t="b">
        <f>AH247</f>
        <v>0</v>
      </c>
    </row>
    <row r="246" spans="1:34" ht="13.5" customHeight="1">
      <c r="A246" s="1733" t="s">
        <v>926</v>
      </c>
      <c r="B246" s="3028">
        <f>E256</f>
        <v>0</v>
      </c>
      <c r="C246" s="3029"/>
      <c r="D246" s="3029"/>
      <c r="E246" s="3029"/>
      <c r="F246" s="3029"/>
      <c r="G246" s="3030"/>
      <c r="H246" s="3028">
        <f t="shared" ref="H246" si="94">K256</f>
        <v>0</v>
      </c>
      <c r="I246" s="3029"/>
      <c r="J246" s="3029"/>
      <c r="K246" s="3029"/>
      <c r="L246" s="3029"/>
      <c r="M246" s="3030"/>
      <c r="N246" s="3028">
        <f t="shared" ref="N246" si="95">Q256</f>
        <v>0</v>
      </c>
      <c r="O246" s="3029"/>
      <c r="P246" s="3029"/>
      <c r="Q246" s="3029"/>
      <c r="R246" s="3029"/>
      <c r="S246" s="3030"/>
      <c r="T246" s="3028">
        <f t="shared" ref="T246" si="96">W256</f>
        <v>0</v>
      </c>
      <c r="U246" s="3029"/>
      <c r="V246" s="3029"/>
      <c r="W246" s="3029"/>
      <c r="X246" s="3029"/>
      <c r="Y246" s="3030"/>
      <c r="Z246" s="3028">
        <f t="shared" ref="Z246" si="97">AC256</f>
        <v>0</v>
      </c>
      <c r="AA246" s="3029"/>
      <c r="AB246" s="3029"/>
      <c r="AC246" s="3029"/>
      <c r="AD246" s="3029"/>
      <c r="AE246" s="3030"/>
      <c r="AF246" s="2"/>
      <c r="AG246" s="2200"/>
      <c r="AH246" t="b">
        <f>AH247</f>
        <v>0</v>
      </c>
    </row>
    <row r="247" spans="1:34" ht="13.5" customHeight="1">
      <c r="A247" s="1733" t="s">
        <v>933</v>
      </c>
      <c r="B247" s="3028">
        <f>B245-B246</f>
        <v>0</v>
      </c>
      <c r="C247" s="3029"/>
      <c r="D247" s="3029"/>
      <c r="E247" s="3029"/>
      <c r="F247" s="3029"/>
      <c r="G247" s="3030"/>
      <c r="H247" s="3028">
        <f>H245-H246</f>
        <v>0</v>
      </c>
      <c r="I247" s="3029"/>
      <c r="J247" s="3029"/>
      <c r="K247" s="3029"/>
      <c r="L247" s="3029"/>
      <c r="M247" s="3030"/>
      <c r="N247" s="3028">
        <f>N245-N246</f>
        <v>0</v>
      </c>
      <c r="O247" s="3029"/>
      <c r="P247" s="3029"/>
      <c r="Q247" s="3029"/>
      <c r="R247" s="3029"/>
      <c r="S247" s="3030"/>
      <c r="T247" s="3028">
        <f>T245-T246</f>
        <v>0</v>
      </c>
      <c r="U247" s="3029"/>
      <c r="V247" s="3029"/>
      <c r="W247" s="3029"/>
      <c r="X247" s="3029"/>
      <c r="Y247" s="3030"/>
      <c r="Z247" s="3028">
        <f>Z245-Z246</f>
        <v>0</v>
      </c>
      <c r="AA247" s="3029"/>
      <c r="AB247" s="3029"/>
      <c r="AC247" s="3029"/>
      <c r="AD247" s="3029"/>
      <c r="AE247" s="3030"/>
      <c r="AF247" s="2"/>
      <c r="AG247" s="2200"/>
      <c r="AH247" t="b">
        <f>SUM(A247:AF247)&lt;&gt;0</f>
        <v>0</v>
      </c>
    </row>
    <row r="248" spans="1:34" ht="13.5" customHeight="1">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G248" s="2200"/>
      <c r="AH248" t="b">
        <f>AH256</f>
        <v>0</v>
      </c>
    </row>
    <row r="249" spans="1:34" ht="13.5" customHeight="1">
      <c r="A249" s="1737" t="s">
        <v>5548</v>
      </c>
      <c r="B249" s="3084" t="str">
        <f>B224</f>
        <v>（名称自由入力）</v>
      </c>
      <c r="C249" s="3085"/>
      <c r="D249" s="3085"/>
      <c r="E249" s="3085"/>
      <c r="F249" s="3085"/>
      <c r="G249" s="3086"/>
      <c r="H249" s="3084" t="str">
        <f t="shared" ref="H249" si="98">H224</f>
        <v>（名称自由入力）</v>
      </c>
      <c r="I249" s="3085"/>
      <c r="J249" s="3085"/>
      <c r="K249" s="3085"/>
      <c r="L249" s="3085"/>
      <c r="M249" s="3086"/>
      <c r="N249" s="3084" t="str">
        <f t="shared" ref="N249" si="99">N224</f>
        <v>（名称自由入力）</v>
      </c>
      <c r="O249" s="3085"/>
      <c r="P249" s="3085"/>
      <c r="Q249" s="3085"/>
      <c r="R249" s="3085"/>
      <c r="S249" s="3086"/>
      <c r="T249" s="3084" t="str">
        <f t="shared" ref="T249" si="100">T224</f>
        <v>（名称自由入力）</v>
      </c>
      <c r="U249" s="3085"/>
      <c r="V249" s="3085"/>
      <c r="W249" s="3085"/>
      <c r="X249" s="3085"/>
      <c r="Y249" s="3086"/>
      <c r="Z249" s="3084" t="str">
        <f t="shared" ref="Z249" si="101">Z224</f>
        <v>（名称自由入力）</v>
      </c>
      <c r="AA249" s="3085"/>
      <c r="AB249" s="3085"/>
      <c r="AC249" s="3085"/>
      <c r="AD249" s="3085"/>
      <c r="AE249" s="3086"/>
      <c r="AF249" s="195"/>
      <c r="AG249" s="2200"/>
      <c r="AH249" t="b">
        <f>AH256</f>
        <v>0</v>
      </c>
    </row>
    <row r="250" spans="1:34" ht="13.5" customHeight="1">
      <c r="A250" s="1738" t="s">
        <v>5547</v>
      </c>
      <c r="B250" s="3087"/>
      <c r="C250" s="3087"/>
      <c r="D250" s="3087"/>
      <c r="E250" s="3091">
        <f t="shared" ref="E250:E255" si="102">SUMIF(外部開口,B250,外部開口面積)</f>
        <v>0</v>
      </c>
      <c r="F250" s="3091"/>
      <c r="G250" s="3091"/>
      <c r="H250" s="3087"/>
      <c r="I250" s="3087"/>
      <c r="J250" s="3087"/>
      <c r="K250" s="3091">
        <f t="shared" ref="K250:K255" si="103">SUMIF(外部開口,H250,外部開口面積)</f>
        <v>0</v>
      </c>
      <c r="L250" s="3091"/>
      <c r="M250" s="3091"/>
      <c r="N250" s="3087"/>
      <c r="O250" s="3087"/>
      <c r="P250" s="3087"/>
      <c r="Q250" s="3091">
        <f t="shared" ref="Q250:Q255" si="104">SUMIF(外部開口,N250,外部開口面積)</f>
        <v>0</v>
      </c>
      <c r="R250" s="3091"/>
      <c r="S250" s="3091"/>
      <c r="T250" s="3087"/>
      <c r="U250" s="3087"/>
      <c r="V250" s="3087"/>
      <c r="W250" s="3091">
        <f t="shared" ref="W250:W255" si="105">SUMIF(外部開口,T250,外部開口面積)</f>
        <v>0</v>
      </c>
      <c r="X250" s="3091"/>
      <c r="Y250" s="3091"/>
      <c r="Z250" s="3087"/>
      <c r="AA250" s="3087"/>
      <c r="AB250" s="3087"/>
      <c r="AC250" s="3091">
        <f t="shared" ref="AC250:AC255" si="106">SUMIF(外部開口,Z250,外部開口面積)</f>
        <v>0</v>
      </c>
      <c r="AD250" s="3091"/>
      <c r="AE250" s="3091"/>
      <c r="AF250" s="195"/>
      <c r="AG250" s="2200"/>
      <c r="AH250" t="b">
        <f>SUM(B250:AE250)&lt;&gt;0</f>
        <v>0</v>
      </c>
    </row>
    <row r="251" spans="1:34" ht="13.5" customHeight="1">
      <c r="A251" s="1739"/>
      <c r="B251" s="3088"/>
      <c r="C251" s="3088"/>
      <c r="D251" s="3088"/>
      <c r="E251" s="3092">
        <f t="shared" si="102"/>
        <v>0</v>
      </c>
      <c r="F251" s="3092"/>
      <c r="G251" s="3092"/>
      <c r="H251" s="3088"/>
      <c r="I251" s="3088"/>
      <c r="J251" s="3088"/>
      <c r="K251" s="3092">
        <f t="shared" si="103"/>
        <v>0</v>
      </c>
      <c r="L251" s="3092"/>
      <c r="M251" s="3092"/>
      <c r="N251" s="3088"/>
      <c r="O251" s="3088"/>
      <c r="P251" s="3088"/>
      <c r="Q251" s="3092">
        <f t="shared" si="104"/>
        <v>0</v>
      </c>
      <c r="R251" s="3092"/>
      <c r="S251" s="3092"/>
      <c r="T251" s="3088"/>
      <c r="U251" s="3088"/>
      <c r="V251" s="3088"/>
      <c r="W251" s="3092">
        <f t="shared" si="105"/>
        <v>0</v>
      </c>
      <c r="X251" s="3092"/>
      <c r="Y251" s="3092"/>
      <c r="Z251" s="3088"/>
      <c r="AA251" s="3088"/>
      <c r="AB251" s="3088"/>
      <c r="AC251" s="3092">
        <f t="shared" si="106"/>
        <v>0</v>
      </c>
      <c r="AD251" s="3092"/>
      <c r="AE251" s="3092"/>
      <c r="AF251" s="195"/>
      <c r="AG251" s="2200"/>
      <c r="AH251" t="b">
        <f t="shared" ref="AH251:AH255" si="107">SUM(B251:AE251)&lt;&gt;0</f>
        <v>0</v>
      </c>
    </row>
    <row r="252" spans="1:34" ht="13.5" customHeight="1">
      <c r="A252" s="1739"/>
      <c r="B252" s="3088"/>
      <c r="C252" s="3088"/>
      <c r="D252" s="3088"/>
      <c r="E252" s="3092">
        <f t="shared" si="102"/>
        <v>0</v>
      </c>
      <c r="F252" s="3092"/>
      <c r="G252" s="3092"/>
      <c r="H252" s="3088"/>
      <c r="I252" s="3088"/>
      <c r="J252" s="3088"/>
      <c r="K252" s="3092">
        <f t="shared" si="103"/>
        <v>0</v>
      </c>
      <c r="L252" s="3092"/>
      <c r="M252" s="3092"/>
      <c r="N252" s="3088"/>
      <c r="O252" s="3088"/>
      <c r="P252" s="3088"/>
      <c r="Q252" s="3092">
        <f t="shared" si="104"/>
        <v>0</v>
      </c>
      <c r="R252" s="3092"/>
      <c r="S252" s="3092"/>
      <c r="T252" s="3088"/>
      <c r="U252" s="3088"/>
      <c r="V252" s="3088"/>
      <c r="W252" s="3092">
        <f t="shared" si="105"/>
        <v>0</v>
      </c>
      <c r="X252" s="3092"/>
      <c r="Y252" s="3092"/>
      <c r="Z252" s="3088"/>
      <c r="AA252" s="3088"/>
      <c r="AB252" s="3088"/>
      <c r="AC252" s="3092">
        <f t="shared" si="106"/>
        <v>0</v>
      </c>
      <c r="AD252" s="3092"/>
      <c r="AE252" s="3092"/>
      <c r="AF252" s="195"/>
      <c r="AG252" s="2200"/>
      <c r="AH252" t="b">
        <f t="shared" si="107"/>
        <v>0</v>
      </c>
    </row>
    <row r="253" spans="1:34" ht="13.5" customHeight="1">
      <c r="A253" s="1739"/>
      <c r="B253" s="3088"/>
      <c r="C253" s="3088"/>
      <c r="D253" s="3088"/>
      <c r="E253" s="3092">
        <f t="shared" si="102"/>
        <v>0</v>
      </c>
      <c r="F253" s="3092"/>
      <c r="G253" s="3092"/>
      <c r="H253" s="3088"/>
      <c r="I253" s="3088"/>
      <c r="J253" s="3088"/>
      <c r="K253" s="3092">
        <f t="shared" si="103"/>
        <v>0</v>
      </c>
      <c r="L253" s="3092"/>
      <c r="M253" s="3092"/>
      <c r="N253" s="3088"/>
      <c r="O253" s="3088"/>
      <c r="P253" s="3088"/>
      <c r="Q253" s="3092">
        <f t="shared" si="104"/>
        <v>0</v>
      </c>
      <c r="R253" s="3092"/>
      <c r="S253" s="3092"/>
      <c r="T253" s="3088"/>
      <c r="U253" s="3088"/>
      <c r="V253" s="3088"/>
      <c r="W253" s="3092">
        <f t="shared" si="105"/>
        <v>0</v>
      </c>
      <c r="X253" s="3092"/>
      <c r="Y253" s="3092"/>
      <c r="Z253" s="3088"/>
      <c r="AA253" s="3088"/>
      <c r="AB253" s="3088"/>
      <c r="AC253" s="3092">
        <f t="shared" si="106"/>
        <v>0</v>
      </c>
      <c r="AD253" s="3092"/>
      <c r="AE253" s="3092"/>
      <c r="AF253" s="195"/>
      <c r="AG253" s="2200"/>
      <c r="AH253" t="b">
        <f t="shared" si="107"/>
        <v>0</v>
      </c>
    </row>
    <row r="254" spans="1:34" ht="13.5" customHeight="1">
      <c r="A254" s="1739"/>
      <c r="B254" s="3088"/>
      <c r="C254" s="3088"/>
      <c r="D254" s="3088"/>
      <c r="E254" s="3092">
        <f t="shared" si="102"/>
        <v>0</v>
      </c>
      <c r="F254" s="3092"/>
      <c r="G254" s="3092"/>
      <c r="H254" s="3088"/>
      <c r="I254" s="3088"/>
      <c r="J254" s="3088"/>
      <c r="K254" s="3092">
        <f t="shared" si="103"/>
        <v>0</v>
      </c>
      <c r="L254" s="3092"/>
      <c r="M254" s="3092"/>
      <c r="N254" s="3088"/>
      <c r="O254" s="3088"/>
      <c r="P254" s="3088"/>
      <c r="Q254" s="3092">
        <f t="shared" si="104"/>
        <v>0</v>
      </c>
      <c r="R254" s="3092"/>
      <c r="S254" s="3092"/>
      <c r="T254" s="3088"/>
      <c r="U254" s="3088"/>
      <c r="V254" s="3088"/>
      <c r="W254" s="3092">
        <f t="shared" si="105"/>
        <v>0</v>
      </c>
      <c r="X254" s="3092"/>
      <c r="Y254" s="3092"/>
      <c r="Z254" s="3088"/>
      <c r="AA254" s="3088"/>
      <c r="AB254" s="3088"/>
      <c r="AC254" s="3092">
        <f t="shared" si="106"/>
        <v>0</v>
      </c>
      <c r="AD254" s="3092"/>
      <c r="AE254" s="3092"/>
      <c r="AF254" s="195"/>
      <c r="AG254" s="2200"/>
      <c r="AH254" t="b">
        <f t="shared" si="107"/>
        <v>0</v>
      </c>
    </row>
    <row r="255" spans="1:34" ht="13.5" customHeight="1">
      <c r="A255" s="1739"/>
      <c r="B255" s="3089"/>
      <c r="C255" s="3089"/>
      <c r="D255" s="3089"/>
      <c r="E255" s="3093">
        <f t="shared" si="102"/>
        <v>0</v>
      </c>
      <c r="F255" s="3093"/>
      <c r="G255" s="3093"/>
      <c r="H255" s="3089"/>
      <c r="I255" s="3089"/>
      <c r="J255" s="3089"/>
      <c r="K255" s="3093">
        <f t="shared" si="103"/>
        <v>0</v>
      </c>
      <c r="L255" s="3093"/>
      <c r="M255" s="3093"/>
      <c r="N255" s="3089"/>
      <c r="O255" s="3089"/>
      <c r="P255" s="3089"/>
      <c r="Q255" s="3093">
        <f t="shared" si="104"/>
        <v>0</v>
      </c>
      <c r="R255" s="3093"/>
      <c r="S255" s="3093"/>
      <c r="T255" s="3089"/>
      <c r="U255" s="3089"/>
      <c r="V255" s="3089"/>
      <c r="W255" s="3093">
        <f t="shared" si="105"/>
        <v>0</v>
      </c>
      <c r="X255" s="3093"/>
      <c r="Y255" s="3093"/>
      <c r="Z255" s="3089"/>
      <c r="AA255" s="3089"/>
      <c r="AB255" s="3089"/>
      <c r="AC255" s="3093">
        <f t="shared" si="106"/>
        <v>0</v>
      </c>
      <c r="AD255" s="3093"/>
      <c r="AE255" s="3093"/>
      <c r="AF255" s="195"/>
      <c r="AG255" s="2200"/>
      <c r="AH255" t="b">
        <f t="shared" si="107"/>
        <v>0</v>
      </c>
    </row>
    <row r="256" spans="1:34" ht="13.5" customHeight="1">
      <c r="A256" s="1740"/>
      <c r="B256" s="3090" t="s">
        <v>498</v>
      </c>
      <c r="C256" s="3090"/>
      <c r="D256" s="3090"/>
      <c r="E256" s="3094">
        <f>SUM(E250:E255)</f>
        <v>0</v>
      </c>
      <c r="F256" s="3094"/>
      <c r="G256" s="3094"/>
      <c r="H256" s="3090" t="s">
        <v>498</v>
      </c>
      <c r="I256" s="3090"/>
      <c r="J256" s="3090"/>
      <c r="K256" s="3094">
        <f t="shared" ref="K256" si="108">SUM(K250:K255)</f>
        <v>0</v>
      </c>
      <c r="L256" s="3094"/>
      <c r="M256" s="3094"/>
      <c r="N256" s="3090" t="s">
        <v>498</v>
      </c>
      <c r="O256" s="3090"/>
      <c r="P256" s="3090"/>
      <c r="Q256" s="3094">
        <f t="shared" ref="Q256" si="109">SUM(Q250:Q255)</f>
        <v>0</v>
      </c>
      <c r="R256" s="3094"/>
      <c r="S256" s="3094"/>
      <c r="T256" s="3090" t="s">
        <v>498</v>
      </c>
      <c r="U256" s="3090"/>
      <c r="V256" s="3090"/>
      <c r="W256" s="3094">
        <f t="shared" ref="W256" si="110">SUM(W250:W255)</f>
        <v>0</v>
      </c>
      <c r="X256" s="3094"/>
      <c r="Y256" s="3094"/>
      <c r="Z256" s="3090" t="s">
        <v>498</v>
      </c>
      <c r="AA256" s="3090"/>
      <c r="AB256" s="3090"/>
      <c r="AC256" s="3094">
        <f t="shared" ref="AC256" si="111">SUM(AC250:AC255)</f>
        <v>0</v>
      </c>
      <c r="AD256" s="3094"/>
      <c r="AE256" s="3094"/>
      <c r="AF256" s="195"/>
      <c r="AG256" s="2200"/>
      <c r="AH256" t="b">
        <f>SUM(A256:AE256)&gt;0</f>
        <v>0</v>
      </c>
    </row>
    <row r="257" spans="2:34" ht="13.5" customHeight="1">
      <c r="B257" s="1023" t="s">
        <v>5588</v>
      </c>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195"/>
      <c r="AG257" s="2200"/>
      <c r="AH257" t="b">
        <v>0</v>
      </c>
    </row>
    <row r="258" spans="2:34" ht="13.5" customHeight="1">
      <c r="B258" s="1023" t="s">
        <v>5587</v>
      </c>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195"/>
      <c r="AG258" s="2200"/>
      <c r="AH258" t="b">
        <v>0</v>
      </c>
    </row>
  </sheetData>
  <autoFilter ref="AH1:AH257" xr:uid="{00000000-0009-0000-0000-000006000000}"/>
  <customSheetViews>
    <customSheetView guid="{6CFAA980-29D1-42A9-8342-BF14629EBE3B}" showGridLines="0" fitToPage="1" showAutoFilter="1">
      <pane ySplit="2" topLeftCell="A3" activePane="bottomLeft" state="frozen"/>
      <selection pane="bottomLeft" activeCell="AL19" sqref="AL19"/>
      <pageMargins left="0.75" right="0.2" top="0.56000000000000005" bottom="0.41" header="0.22" footer="0.19"/>
      <pageSetup paperSize="9" scale="28" orientation="portrait" r:id="rId1"/>
      <headerFooter alignWithMargins="0">
        <oddFooter>&amp;R&amp;"ＭＳ ゴシック,標準"&amp;D　&amp;T</oddFooter>
      </headerFooter>
      <autoFilter ref="AG1:AG257" xr:uid="{71689B71-0A72-43D2-AB13-3C7AD18F5C04}"/>
    </customSheetView>
  </customSheetViews>
  <mergeCells count="2595">
    <mergeCell ref="B255:D255"/>
    <mergeCell ref="E255:G255"/>
    <mergeCell ref="H255:J255"/>
    <mergeCell ref="K255:M255"/>
    <mergeCell ref="N255:P255"/>
    <mergeCell ref="Q255:S255"/>
    <mergeCell ref="T255:V255"/>
    <mergeCell ref="W255:Y255"/>
    <mergeCell ref="Z255:AB255"/>
    <mergeCell ref="AC255:AE255"/>
    <mergeCell ref="B256:D256"/>
    <mergeCell ref="E256:G256"/>
    <mergeCell ref="H256:J256"/>
    <mergeCell ref="K256:M256"/>
    <mergeCell ref="N256:P256"/>
    <mergeCell ref="Q256:S256"/>
    <mergeCell ref="T256:V256"/>
    <mergeCell ref="W256:Y256"/>
    <mergeCell ref="Z256:AB256"/>
    <mergeCell ref="AC256:AE256"/>
    <mergeCell ref="B253:D253"/>
    <mergeCell ref="E253:G253"/>
    <mergeCell ref="H253:J253"/>
    <mergeCell ref="K253:M253"/>
    <mergeCell ref="N253:P253"/>
    <mergeCell ref="Q253:S253"/>
    <mergeCell ref="T253:V253"/>
    <mergeCell ref="W253:Y253"/>
    <mergeCell ref="Z253:AB253"/>
    <mergeCell ref="AC253:AE253"/>
    <mergeCell ref="B254:D254"/>
    <mergeCell ref="E254:G254"/>
    <mergeCell ref="H254:J254"/>
    <mergeCell ref="K254:M254"/>
    <mergeCell ref="N254:P254"/>
    <mergeCell ref="Q254:S254"/>
    <mergeCell ref="T254:V254"/>
    <mergeCell ref="W254:Y254"/>
    <mergeCell ref="Z254:AB254"/>
    <mergeCell ref="AC254:AE254"/>
    <mergeCell ref="B251:D251"/>
    <mergeCell ref="E251:G251"/>
    <mergeCell ref="H251:J251"/>
    <mergeCell ref="K251:M251"/>
    <mergeCell ref="N251:P251"/>
    <mergeCell ref="Q251:S251"/>
    <mergeCell ref="T251:V251"/>
    <mergeCell ref="W251:Y251"/>
    <mergeCell ref="Z251:AB251"/>
    <mergeCell ref="AC251:AE251"/>
    <mergeCell ref="B252:D252"/>
    <mergeCell ref="E252:G252"/>
    <mergeCell ref="H252:J252"/>
    <mergeCell ref="K252:M252"/>
    <mergeCell ref="N252:P252"/>
    <mergeCell ref="Q252:S252"/>
    <mergeCell ref="T252:V252"/>
    <mergeCell ref="W252:Y252"/>
    <mergeCell ref="Z252:AB252"/>
    <mergeCell ref="AC252:AE252"/>
    <mergeCell ref="B249:G249"/>
    <mergeCell ref="H249:M249"/>
    <mergeCell ref="N249:S249"/>
    <mergeCell ref="T249:Y249"/>
    <mergeCell ref="Z249:AE249"/>
    <mergeCell ref="B250:D250"/>
    <mergeCell ref="E250:G250"/>
    <mergeCell ref="H250:J250"/>
    <mergeCell ref="K250:M250"/>
    <mergeCell ref="N250:P250"/>
    <mergeCell ref="Q250:S250"/>
    <mergeCell ref="T250:V250"/>
    <mergeCell ref="W250:Y250"/>
    <mergeCell ref="Z250:AB250"/>
    <mergeCell ref="AC250:AE250"/>
    <mergeCell ref="B219:D219"/>
    <mergeCell ref="E219:G219"/>
    <mergeCell ref="H219:J219"/>
    <mergeCell ref="K219:M219"/>
    <mergeCell ref="N219:P219"/>
    <mergeCell ref="Q219:S219"/>
    <mergeCell ref="T219:V219"/>
    <mergeCell ref="W219:Y219"/>
    <mergeCell ref="Z219:AB219"/>
    <mergeCell ref="AC219:AE219"/>
    <mergeCell ref="B220:D220"/>
    <mergeCell ref="E220:G220"/>
    <mergeCell ref="H220:J220"/>
    <mergeCell ref="K220:M220"/>
    <mergeCell ref="N220:P220"/>
    <mergeCell ref="Q220:S220"/>
    <mergeCell ref="T220:V220"/>
    <mergeCell ref="W220:Y220"/>
    <mergeCell ref="Z220:AB220"/>
    <mergeCell ref="AC220:AE220"/>
    <mergeCell ref="B217:D217"/>
    <mergeCell ref="E217:G217"/>
    <mergeCell ref="H217:J217"/>
    <mergeCell ref="K217:M217"/>
    <mergeCell ref="N217:P217"/>
    <mergeCell ref="Q217:S217"/>
    <mergeCell ref="T217:V217"/>
    <mergeCell ref="W217:Y217"/>
    <mergeCell ref="Z217:AB217"/>
    <mergeCell ref="AC217:AE217"/>
    <mergeCell ref="B218:D218"/>
    <mergeCell ref="E218:G218"/>
    <mergeCell ref="H218:J218"/>
    <mergeCell ref="K218:M218"/>
    <mergeCell ref="N218:P218"/>
    <mergeCell ref="Q218:S218"/>
    <mergeCell ref="T218:V218"/>
    <mergeCell ref="W218:Y218"/>
    <mergeCell ref="Z218:AB218"/>
    <mergeCell ref="AC218:AE218"/>
    <mergeCell ref="B215:D215"/>
    <mergeCell ref="E215:G215"/>
    <mergeCell ref="H215:J215"/>
    <mergeCell ref="K215:M215"/>
    <mergeCell ref="N215:P215"/>
    <mergeCell ref="Q215:S215"/>
    <mergeCell ref="T215:V215"/>
    <mergeCell ref="W215:Y215"/>
    <mergeCell ref="Z215:AB215"/>
    <mergeCell ref="AC215:AE215"/>
    <mergeCell ref="B216:D216"/>
    <mergeCell ref="E216:G216"/>
    <mergeCell ref="H216:J216"/>
    <mergeCell ref="K216:M216"/>
    <mergeCell ref="N216:P216"/>
    <mergeCell ref="Q216:S216"/>
    <mergeCell ref="T216:V216"/>
    <mergeCell ref="W216:Y216"/>
    <mergeCell ref="Z216:AB216"/>
    <mergeCell ref="AC216:AE216"/>
    <mergeCell ref="B184:D184"/>
    <mergeCell ref="E184:G184"/>
    <mergeCell ref="H184:J184"/>
    <mergeCell ref="K184:M184"/>
    <mergeCell ref="N184:P184"/>
    <mergeCell ref="Q184:S184"/>
    <mergeCell ref="T184:V184"/>
    <mergeCell ref="W184:Y184"/>
    <mergeCell ref="Z184:AB184"/>
    <mergeCell ref="AC184:AE184"/>
    <mergeCell ref="B213:G213"/>
    <mergeCell ref="H213:M213"/>
    <mergeCell ref="N213:S213"/>
    <mergeCell ref="T213:Y213"/>
    <mergeCell ref="Z213:AE213"/>
    <mergeCell ref="B214:D214"/>
    <mergeCell ref="E214:G214"/>
    <mergeCell ref="H214:J214"/>
    <mergeCell ref="K214:M214"/>
    <mergeCell ref="N214:P214"/>
    <mergeCell ref="Q214:S214"/>
    <mergeCell ref="T214:V214"/>
    <mergeCell ref="W214:Y214"/>
    <mergeCell ref="Z214:AB214"/>
    <mergeCell ref="AC214:AE214"/>
    <mergeCell ref="L198:M198"/>
    <mergeCell ref="H190:I190"/>
    <mergeCell ref="J190:K190"/>
    <mergeCell ref="L190:M190"/>
    <mergeCell ref="H191:I191"/>
    <mergeCell ref="J191:K191"/>
    <mergeCell ref="L191:M191"/>
    <mergeCell ref="B182:D182"/>
    <mergeCell ref="E182:G182"/>
    <mergeCell ref="H182:J182"/>
    <mergeCell ref="K182:M182"/>
    <mergeCell ref="N182:P182"/>
    <mergeCell ref="Q182:S182"/>
    <mergeCell ref="T182:V182"/>
    <mergeCell ref="W182:Y182"/>
    <mergeCell ref="Z182:AB182"/>
    <mergeCell ref="AC182:AE182"/>
    <mergeCell ref="B183:D183"/>
    <mergeCell ref="E183:G183"/>
    <mergeCell ref="H183:J183"/>
    <mergeCell ref="K183:M183"/>
    <mergeCell ref="N183:P183"/>
    <mergeCell ref="Q183:S183"/>
    <mergeCell ref="T183:V183"/>
    <mergeCell ref="W183:Y183"/>
    <mergeCell ref="Z183:AB183"/>
    <mergeCell ref="AC183:AE183"/>
    <mergeCell ref="B180:D180"/>
    <mergeCell ref="E180:G180"/>
    <mergeCell ref="H180:J180"/>
    <mergeCell ref="K180:M180"/>
    <mergeCell ref="N180:P180"/>
    <mergeCell ref="Q180:S180"/>
    <mergeCell ref="T180:V180"/>
    <mergeCell ref="W180:Y180"/>
    <mergeCell ref="Z180:AB180"/>
    <mergeCell ref="AC180:AE180"/>
    <mergeCell ref="B181:D181"/>
    <mergeCell ref="E181:G181"/>
    <mergeCell ref="H181:J181"/>
    <mergeCell ref="K181:M181"/>
    <mergeCell ref="N181:P181"/>
    <mergeCell ref="Q181:S181"/>
    <mergeCell ref="T181:V181"/>
    <mergeCell ref="W181:Y181"/>
    <mergeCell ref="Z181:AB181"/>
    <mergeCell ref="AC181:AE181"/>
    <mergeCell ref="B178:D178"/>
    <mergeCell ref="E178:G178"/>
    <mergeCell ref="H178:J178"/>
    <mergeCell ref="K178:M178"/>
    <mergeCell ref="N178:P178"/>
    <mergeCell ref="Q178:S178"/>
    <mergeCell ref="T178:V178"/>
    <mergeCell ref="W178:Y178"/>
    <mergeCell ref="Z178:AB178"/>
    <mergeCell ref="AC178:AE178"/>
    <mergeCell ref="B179:D179"/>
    <mergeCell ref="E179:G179"/>
    <mergeCell ref="H179:J179"/>
    <mergeCell ref="K179:M179"/>
    <mergeCell ref="N179:P179"/>
    <mergeCell ref="Q179:S179"/>
    <mergeCell ref="T179:V179"/>
    <mergeCell ref="W179:Y179"/>
    <mergeCell ref="Z179:AB179"/>
    <mergeCell ref="AC179:AE179"/>
    <mergeCell ref="T149:V149"/>
    <mergeCell ref="W149:Y149"/>
    <mergeCell ref="Z149:AB149"/>
    <mergeCell ref="AC149:AE149"/>
    <mergeCell ref="H150:J150"/>
    <mergeCell ref="K150:M150"/>
    <mergeCell ref="N150:P150"/>
    <mergeCell ref="Q150:S150"/>
    <mergeCell ref="T150:V150"/>
    <mergeCell ref="W150:Y150"/>
    <mergeCell ref="Z150:AB150"/>
    <mergeCell ref="AC150:AE150"/>
    <mergeCell ref="B177:G177"/>
    <mergeCell ref="H177:M177"/>
    <mergeCell ref="N177:S177"/>
    <mergeCell ref="T177:Y177"/>
    <mergeCell ref="Z177:AE177"/>
    <mergeCell ref="J163:K163"/>
    <mergeCell ref="L163:M163"/>
    <mergeCell ref="N156:O156"/>
    <mergeCell ref="P156:Q156"/>
    <mergeCell ref="V156:W156"/>
    <mergeCell ref="X156:Y156"/>
    <mergeCell ref="Z156:AA156"/>
    <mergeCell ref="Z154:AE154"/>
    <mergeCell ref="AB156:AC156"/>
    <mergeCell ref="AD156:AE156"/>
    <mergeCell ref="D157:E157"/>
    <mergeCell ref="F157:G157"/>
    <mergeCell ref="H157:I157"/>
    <mergeCell ref="J157:K157"/>
    <mergeCell ref="L157:M157"/>
    <mergeCell ref="T146:V146"/>
    <mergeCell ref="W146:Y146"/>
    <mergeCell ref="Z146:AB146"/>
    <mergeCell ref="AC146:AE146"/>
    <mergeCell ref="H147:J147"/>
    <mergeCell ref="K147:M147"/>
    <mergeCell ref="N147:P147"/>
    <mergeCell ref="Q147:S147"/>
    <mergeCell ref="T147:V147"/>
    <mergeCell ref="W147:Y147"/>
    <mergeCell ref="Z147:AB147"/>
    <mergeCell ref="AC147:AE147"/>
    <mergeCell ref="H148:J148"/>
    <mergeCell ref="K148:M148"/>
    <mergeCell ref="N148:P148"/>
    <mergeCell ref="Q148:S148"/>
    <mergeCell ref="T148:V148"/>
    <mergeCell ref="W148:Y148"/>
    <mergeCell ref="Z148:AB148"/>
    <mergeCell ref="AC148:AE148"/>
    <mergeCell ref="T143:Y143"/>
    <mergeCell ref="Z143:AE143"/>
    <mergeCell ref="H144:J144"/>
    <mergeCell ref="K144:M144"/>
    <mergeCell ref="N144:P144"/>
    <mergeCell ref="Q144:S144"/>
    <mergeCell ref="T144:V144"/>
    <mergeCell ref="W144:Y144"/>
    <mergeCell ref="Z144:AB144"/>
    <mergeCell ref="AC144:AE144"/>
    <mergeCell ref="H145:J145"/>
    <mergeCell ref="K145:M145"/>
    <mergeCell ref="N145:P145"/>
    <mergeCell ref="Q145:S145"/>
    <mergeCell ref="T145:V145"/>
    <mergeCell ref="W145:Y145"/>
    <mergeCell ref="Z145:AB145"/>
    <mergeCell ref="AC145:AE145"/>
    <mergeCell ref="B148:D148"/>
    <mergeCell ref="B149:D149"/>
    <mergeCell ref="B150:D150"/>
    <mergeCell ref="E144:G144"/>
    <mergeCell ref="E145:G145"/>
    <mergeCell ref="E146:G146"/>
    <mergeCell ref="E147:G147"/>
    <mergeCell ref="E148:G148"/>
    <mergeCell ref="E149:G149"/>
    <mergeCell ref="E150:G150"/>
    <mergeCell ref="H143:M143"/>
    <mergeCell ref="H146:J146"/>
    <mergeCell ref="K146:M146"/>
    <mergeCell ref="H149:J149"/>
    <mergeCell ref="K149:M149"/>
    <mergeCell ref="N143:S143"/>
    <mergeCell ref="N146:P146"/>
    <mergeCell ref="Q146:S146"/>
    <mergeCell ref="N149:P149"/>
    <mergeCell ref="Q149:S149"/>
    <mergeCell ref="Q14:R14"/>
    <mergeCell ref="T14:U14"/>
    <mergeCell ref="W14:X14"/>
    <mergeCell ref="Z14:AA14"/>
    <mergeCell ref="AC14:AD14"/>
    <mergeCell ref="AC13:AD13"/>
    <mergeCell ref="AE13:AE14"/>
    <mergeCell ref="AF13:AF14"/>
    <mergeCell ref="N200:O200"/>
    <mergeCell ref="P200:Q200"/>
    <mergeCell ref="R200:S200"/>
    <mergeCell ref="D201:E201"/>
    <mergeCell ref="F201:G201"/>
    <mergeCell ref="N201:O201"/>
    <mergeCell ref="P201:Q201"/>
    <mergeCell ref="T188:Y188"/>
    <mergeCell ref="Z188:AE188"/>
    <mergeCell ref="L199:M199"/>
    <mergeCell ref="H200:I200"/>
    <mergeCell ref="J200:K200"/>
    <mergeCell ref="Z67:AE67"/>
    <mergeCell ref="L200:M200"/>
    <mergeCell ref="H201:I201"/>
    <mergeCell ref="J201:K201"/>
    <mergeCell ref="L201:M201"/>
    <mergeCell ref="H198:I198"/>
    <mergeCell ref="J198:K198"/>
    <mergeCell ref="B143:G143"/>
    <mergeCell ref="B144:D144"/>
    <mergeCell ref="B145:D145"/>
    <mergeCell ref="B146:D146"/>
    <mergeCell ref="B147:D147"/>
    <mergeCell ref="A12:A14"/>
    <mergeCell ref="B13:C13"/>
    <mergeCell ref="E13:F13"/>
    <mergeCell ref="H13:I13"/>
    <mergeCell ref="K13:L13"/>
    <mergeCell ref="N13:O13"/>
    <mergeCell ref="Q13:R13"/>
    <mergeCell ref="T13:U13"/>
    <mergeCell ref="W13:X13"/>
    <mergeCell ref="Z13:AA13"/>
    <mergeCell ref="T19:Y19"/>
    <mergeCell ref="Z19:AE19"/>
    <mergeCell ref="A19:A36"/>
    <mergeCell ref="B19:G19"/>
    <mergeCell ref="H19:M19"/>
    <mergeCell ref="N19:S19"/>
    <mergeCell ref="H33:I33"/>
    <mergeCell ref="J33:K33"/>
    <mergeCell ref="L33:M33"/>
    <mergeCell ref="L36:M36"/>
    <mergeCell ref="H21:I21"/>
    <mergeCell ref="L31:M31"/>
    <mergeCell ref="H32:I32"/>
    <mergeCell ref="Z25:AA25"/>
    <mergeCell ref="Z26:AA26"/>
    <mergeCell ref="Z29:AA29"/>
    <mergeCell ref="Z32:AA32"/>
    <mergeCell ref="Z30:AA30"/>
    <mergeCell ref="Z23:AA23"/>
    <mergeCell ref="Z24:AA24"/>
    <mergeCell ref="R21:S21"/>
    <mergeCell ref="R22:S22"/>
    <mergeCell ref="A120:A137"/>
    <mergeCell ref="B120:G120"/>
    <mergeCell ref="H120:M120"/>
    <mergeCell ref="N120:S120"/>
    <mergeCell ref="T120:Y120"/>
    <mergeCell ref="Z120:AE120"/>
    <mergeCell ref="H81:I81"/>
    <mergeCell ref="J81:K81"/>
    <mergeCell ref="L81:M81"/>
    <mergeCell ref="J123:K123"/>
    <mergeCell ref="L136:M136"/>
    <mergeCell ref="H137:I137"/>
    <mergeCell ref="A188:A205"/>
    <mergeCell ref="B188:G188"/>
    <mergeCell ref="H188:M188"/>
    <mergeCell ref="N188:S188"/>
    <mergeCell ref="H67:M67"/>
    <mergeCell ref="N67:S67"/>
    <mergeCell ref="H136:I136"/>
    <mergeCell ref="J136:K136"/>
    <mergeCell ref="H202:I202"/>
    <mergeCell ref="J202:K202"/>
    <mergeCell ref="L202:M202"/>
    <mergeCell ref="H203:I203"/>
    <mergeCell ref="J203:K203"/>
    <mergeCell ref="L203:M203"/>
    <mergeCell ref="H204:I204"/>
    <mergeCell ref="J204:K204"/>
    <mergeCell ref="L204:M204"/>
    <mergeCell ref="H205:I205"/>
    <mergeCell ref="J205:K205"/>
    <mergeCell ref="L205:M205"/>
    <mergeCell ref="T67:Y67"/>
    <mergeCell ref="L32:M32"/>
    <mergeCell ref="H70:I70"/>
    <mergeCell ref="J70:K70"/>
    <mergeCell ref="J21:K21"/>
    <mergeCell ref="L21:M21"/>
    <mergeCell ref="H22:I22"/>
    <mergeCell ref="J22:K22"/>
    <mergeCell ref="L22:M22"/>
    <mergeCell ref="H34:I34"/>
    <mergeCell ref="J34:K34"/>
    <mergeCell ref="H23:I23"/>
    <mergeCell ref="J23:K23"/>
    <mergeCell ref="L23:M23"/>
    <mergeCell ref="H24:I24"/>
    <mergeCell ref="J24:K24"/>
    <mergeCell ref="L24:M24"/>
    <mergeCell ref="L70:M70"/>
    <mergeCell ref="H37:M37"/>
    <mergeCell ref="H38:M38"/>
    <mergeCell ref="H40:M40"/>
    <mergeCell ref="H41:M41"/>
    <mergeCell ref="H69:I69"/>
    <mergeCell ref="J69:K69"/>
    <mergeCell ref="L69:M69"/>
    <mergeCell ref="T29:U29"/>
    <mergeCell ref="J32:K32"/>
    <mergeCell ref="P46:Q46"/>
    <mergeCell ref="N62:S62"/>
    <mergeCell ref="T62:Y62"/>
    <mergeCell ref="X27:Y27"/>
    <mergeCell ref="P32:Q32"/>
    <mergeCell ref="R198:S198"/>
    <mergeCell ref="T198:U198"/>
    <mergeCell ref="V197:W197"/>
    <mergeCell ref="X197:Y197"/>
    <mergeCell ref="H6:I6"/>
    <mergeCell ref="K6:L6"/>
    <mergeCell ref="H7:I7"/>
    <mergeCell ref="K7:L7"/>
    <mergeCell ref="H8:I8"/>
    <mergeCell ref="K8:L8"/>
    <mergeCell ref="T195:U195"/>
    <mergeCell ref="V195:W195"/>
    <mergeCell ref="X195:Y195"/>
    <mergeCell ref="T38:Y38"/>
    <mergeCell ref="R25:S25"/>
    <mergeCell ref="R26:S26"/>
    <mergeCell ref="R27:S27"/>
    <mergeCell ref="R28:S28"/>
    <mergeCell ref="R29:S29"/>
    <mergeCell ref="R30:S30"/>
    <mergeCell ref="H27:I27"/>
    <mergeCell ref="R32:S32"/>
    <mergeCell ref="R33:S33"/>
    <mergeCell ref="R34:S34"/>
    <mergeCell ref="T32:U32"/>
    <mergeCell ref="T33:U33"/>
    <mergeCell ref="L34:M34"/>
    <mergeCell ref="L35:M35"/>
    <mergeCell ref="H31:I31"/>
    <mergeCell ref="J31:K31"/>
    <mergeCell ref="R23:S23"/>
    <mergeCell ref="R24:S24"/>
    <mergeCell ref="Z197:AA197"/>
    <mergeCell ref="AB197:AC197"/>
    <mergeCell ref="Z196:AA196"/>
    <mergeCell ref="AB196:AC196"/>
    <mergeCell ref="AD197:AE197"/>
    <mergeCell ref="B198:C198"/>
    <mergeCell ref="D198:E198"/>
    <mergeCell ref="F198:G198"/>
    <mergeCell ref="N198:O198"/>
    <mergeCell ref="P198:Q198"/>
    <mergeCell ref="V196:W196"/>
    <mergeCell ref="X196:Y196"/>
    <mergeCell ref="AD196:AE196"/>
    <mergeCell ref="B197:C197"/>
    <mergeCell ref="D197:E197"/>
    <mergeCell ref="F197:G197"/>
    <mergeCell ref="N197:O197"/>
    <mergeCell ref="P197:Q197"/>
    <mergeCell ref="R197:S197"/>
    <mergeCell ref="T197:U197"/>
    <mergeCell ref="D196:E196"/>
    <mergeCell ref="F196:G196"/>
    <mergeCell ref="N196:O196"/>
    <mergeCell ref="P196:Q196"/>
    <mergeCell ref="R196:S196"/>
    <mergeCell ref="T196:U196"/>
    <mergeCell ref="H196:I196"/>
    <mergeCell ref="J196:K196"/>
    <mergeCell ref="L196:M196"/>
    <mergeCell ref="H197:I197"/>
    <mergeCell ref="J197:K197"/>
    <mergeCell ref="L197:M197"/>
    <mergeCell ref="Z195:AA195"/>
    <mergeCell ref="AB195:AC195"/>
    <mergeCell ref="AD195:AE195"/>
    <mergeCell ref="V194:W194"/>
    <mergeCell ref="X194:Y194"/>
    <mergeCell ref="Z194:AA194"/>
    <mergeCell ref="AB194:AC194"/>
    <mergeCell ref="AD194:AE194"/>
    <mergeCell ref="B195:C195"/>
    <mergeCell ref="D195:E195"/>
    <mergeCell ref="F195:G195"/>
    <mergeCell ref="N195:O195"/>
    <mergeCell ref="P195:Q195"/>
    <mergeCell ref="Z193:AA193"/>
    <mergeCell ref="AB193:AC193"/>
    <mergeCell ref="AD193:AE193"/>
    <mergeCell ref="B194:C194"/>
    <mergeCell ref="D194:E194"/>
    <mergeCell ref="F194:G194"/>
    <mergeCell ref="N194:O194"/>
    <mergeCell ref="P194:Q194"/>
    <mergeCell ref="R194:S194"/>
    <mergeCell ref="T194:U194"/>
    <mergeCell ref="H193:I193"/>
    <mergeCell ref="J193:K193"/>
    <mergeCell ref="L193:M193"/>
    <mergeCell ref="H194:I194"/>
    <mergeCell ref="J194:K194"/>
    <mergeCell ref="L194:M194"/>
    <mergeCell ref="H195:I195"/>
    <mergeCell ref="J195:K195"/>
    <mergeCell ref="L195:M195"/>
    <mergeCell ref="AD192:AE192"/>
    <mergeCell ref="B193:C193"/>
    <mergeCell ref="D193:E193"/>
    <mergeCell ref="F193:G193"/>
    <mergeCell ref="N193:O193"/>
    <mergeCell ref="P193:Q193"/>
    <mergeCell ref="R193:S193"/>
    <mergeCell ref="T193:U193"/>
    <mergeCell ref="V193:W193"/>
    <mergeCell ref="X193:Y193"/>
    <mergeCell ref="T192:U192"/>
    <mergeCell ref="V192:W192"/>
    <mergeCell ref="X192:Y192"/>
    <mergeCell ref="Z192:AA192"/>
    <mergeCell ref="AB192:AC192"/>
    <mergeCell ref="R191:S191"/>
    <mergeCell ref="T191:U191"/>
    <mergeCell ref="V191:W191"/>
    <mergeCell ref="H192:I192"/>
    <mergeCell ref="J192:K192"/>
    <mergeCell ref="L192:M192"/>
    <mergeCell ref="AD190:AE190"/>
    <mergeCell ref="X191:Y191"/>
    <mergeCell ref="Z191:AA191"/>
    <mergeCell ref="AB191:AC191"/>
    <mergeCell ref="AD191:AE191"/>
    <mergeCell ref="X190:Y190"/>
    <mergeCell ref="Z190:AA190"/>
    <mergeCell ref="AB190:AC190"/>
    <mergeCell ref="N191:O191"/>
    <mergeCell ref="P191:Q191"/>
    <mergeCell ref="N190:O190"/>
    <mergeCell ref="P190:Q190"/>
    <mergeCell ref="B207:G207"/>
    <mergeCell ref="N207:S207"/>
    <mergeCell ref="N192:O192"/>
    <mergeCell ref="R192:S192"/>
    <mergeCell ref="R195:S195"/>
    <mergeCell ref="B196:C196"/>
    <mergeCell ref="B190:C190"/>
    <mergeCell ref="D190:E190"/>
    <mergeCell ref="R190:S190"/>
    <mergeCell ref="T200:U200"/>
    <mergeCell ref="H199:I199"/>
    <mergeCell ref="J199:K199"/>
    <mergeCell ref="V200:W200"/>
    <mergeCell ref="X200:Y200"/>
    <mergeCell ref="Z200:AA200"/>
    <mergeCell ref="AB200:AC200"/>
    <mergeCell ref="Z199:AA199"/>
    <mergeCell ref="AB199:AC199"/>
    <mergeCell ref="AD200:AE200"/>
    <mergeCell ref="B201:C201"/>
    <mergeCell ref="D125:E125"/>
    <mergeCell ref="H122:I122"/>
    <mergeCell ref="J122:K122"/>
    <mergeCell ref="T190:U190"/>
    <mergeCell ref="P192:Q192"/>
    <mergeCell ref="T40:Y40"/>
    <mergeCell ref="V190:W190"/>
    <mergeCell ref="V122:W122"/>
    <mergeCell ref="X122:Y122"/>
    <mergeCell ref="V123:W123"/>
    <mergeCell ref="X123:Y123"/>
    <mergeCell ref="V124:W124"/>
    <mergeCell ref="T122:U122"/>
    <mergeCell ref="B40:G40"/>
    <mergeCell ref="B41:G41"/>
    <mergeCell ref="N40:S40"/>
    <mergeCell ref="N41:S41"/>
    <mergeCell ref="N122:O122"/>
    <mergeCell ref="P122:Q122"/>
    <mergeCell ref="R122:S122"/>
    <mergeCell ref="L122:M122"/>
    <mergeCell ref="B128:C128"/>
    <mergeCell ref="D128:E128"/>
    <mergeCell ref="F128:G128"/>
    <mergeCell ref="N128:O128"/>
    <mergeCell ref="H128:I128"/>
    <mergeCell ref="J128:K128"/>
    <mergeCell ref="T126:U126"/>
    <mergeCell ref="V126:W126"/>
    <mergeCell ref="T125:U125"/>
    <mergeCell ref="V125:W125"/>
    <mergeCell ref="X125:Y125"/>
    <mergeCell ref="B38:G38"/>
    <mergeCell ref="N38:S38"/>
    <mergeCell ref="F192:G192"/>
    <mergeCell ref="AB21:AC21"/>
    <mergeCell ref="AB25:AC25"/>
    <mergeCell ref="AB26:AC26"/>
    <mergeCell ref="AB27:AC27"/>
    <mergeCell ref="AB28:AC28"/>
    <mergeCell ref="AB29:AC29"/>
    <mergeCell ref="AB30:AC30"/>
    <mergeCell ref="F190:G190"/>
    <mergeCell ref="F191:G191"/>
    <mergeCell ref="B192:C192"/>
    <mergeCell ref="D192:E192"/>
    <mergeCell ref="B191:C191"/>
    <mergeCell ref="D191:E191"/>
    <mergeCell ref="D33:E33"/>
    <mergeCell ref="D34:E34"/>
    <mergeCell ref="D35:E35"/>
    <mergeCell ref="Z27:AA27"/>
    <mergeCell ref="Z28:AA28"/>
    <mergeCell ref="AB31:AC31"/>
    <mergeCell ref="AB32:AC32"/>
    <mergeCell ref="AB33:AC33"/>
    <mergeCell ref="AB34:AC34"/>
    <mergeCell ref="V36:W36"/>
    <mergeCell ref="V30:W30"/>
    <mergeCell ref="V31:W31"/>
    <mergeCell ref="V35:W35"/>
    <mergeCell ref="V32:W32"/>
    <mergeCell ref="V33:W33"/>
    <mergeCell ref="F21:G21"/>
    <mergeCell ref="B21:C21"/>
    <mergeCell ref="D21:E21"/>
    <mergeCell ref="E7:F7"/>
    <mergeCell ref="E8:F8"/>
    <mergeCell ref="E9:F9"/>
    <mergeCell ref="B6:C6"/>
    <mergeCell ref="B7:C7"/>
    <mergeCell ref="E10:F10"/>
    <mergeCell ref="N8:O8"/>
    <mergeCell ref="V21:W21"/>
    <mergeCell ref="V22:W22"/>
    <mergeCell ref="V23:W23"/>
    <mergeCell ref="V24:W24"/>
    <mergeCell ref="T21:U21"/>
    <mergeCell ref="T22:U22"/>
    <mergeCell ref="B8:C8"/>
    <mergeCell ref="B9:C9"/>
    <mergeCell ref="B10:C10"/>
    <mergeCell ref="H9:I9"/>
    <mergeCell ref="K9:L9"/>
    <mergeCell ref="H10:I10"/>
    <mergeCell ref="K10:L10"/>
    <mergeCell ref="H17:I17"/>
    <mergeCell ref="K17:L17"/>
    <mergeCell ref="B22:C22"/>
    <mergeCell ref="B23:C23"/>
    <mergeCell ref="B24:C24"/>
    <mergeCell ref="B14:C14"/>
    <mergeCell ref="E14:F14"/>
    <mergeCell ref="H14:I14"/>
    <mergeCell ref="K14:L14"/>
    <mergeCell ref="N14:O14"/>
    <mergeCell ref="T35:U35"/>
    <mergeCell ref="T36:U36"/>
    <mergeCell ref="P21:Q21"/>
    <mergeCell ref="P22:Q22"/>
    <mergeCell ref="P23:Q23"/>
    <mergeCell ref="P24:Q24"/>
    <mergeCell ref="P25:Q25"/>
    <mergeCell ref="P26:Q26"/>
    <mergeCell ref="P27:Q27"/>
    <mergeCell ref="P28:Q28"/>
    <mergeCell ref="AB35:AC35"/>
    <mergeCell ref="AB36:AC36"/>
    <mergeCell ref="Z34:AA34"/>
    <mergeCell ref="X30:Y30"/>
    <mergeCell ref="X31:Y31"/>
    <mergeCell ref="X32:Y32"/>
    <mergeCell ref="X33:Y33"/>
    <mergeCell ref="X34:Y34"/>
    <mergeCell ref="X21:Y21"/>
    <mergeCell ref="X22:Y22"/>
    <mergeCell ref="X23:Y23"/>
    <mergeCell ref="X24:Y24"/>
    <mergeCell ref="X25:Y25"/>
    <mergeCell ref="X26:Y26"/>
    <mergeCell ref="V25:W25"/>
    <mergeCell ref="V26:W26"/>
    <mergeCell ref="V27:W27"/>
    <mergeCell ref="V28:W28"/>
    <mergeCell ref="V29:W29"/>
    <mergeCell ref="Z36:AA36"/>
    <mergeCell ref="B32:C32"/>
    <mergeCell ref="H30:I30"/>
    <mergeCell ref="J30:K30"/>
    <mergeCell ref="L30:M30"/>
    <mergeCell ref="F29:G29"/>
    <mergeCell ref="F30:G30"/>
    <mergeCell ref="H29:I29"/>
    <mergeCell ref="J29:K29"/>
    <mergeCell ref="F22:G22"/>
    <mergeCell ref="F23:G23"/>
    <mergeCell ref="F24:G24"/>
    <mergeCell ref="F28:G28"/>
    <mergeCell ref="F25:G25"/>
    <mergeCell ref="F26:G26"/>
    <mergeCell ref="F27:G27"/>
    <mergeCell ref="D22:E22"/>
    <mergeCell ref="D23:E23"/>
    <mergeCell ref="D24:E24"/>
    <mergeCell ref="J27:K27"/>
    <mergeCell ref="L27:M27"/>
    <mergeCell ref="H28:I28"/>
    <mergeCell ref="J28:K28"/>
    <mergeCell ref="L28:M28"/>
    <mergeCell ref="H25:I25"/>
    <mergeCell ref="J25:K25"/>
    <mergeCell ref="L25:M25"/>
    <mergeCell ref="H26:I26"/>
    <mergeCell ref="B25:C25"/>
    <mergeCell ref="B31:C31"/>
    <mergeCell ref="F34:G34"/>
    <mergeCell ref="H35:I35"/>
    <mergeCell ref="J35:K35"/>
    <mergeCell ref="P35:Q35"/>
    <mergeCell ref="N35:O35"/>
    <mergeCell ref="J36:K36"/>
    <mergeCell ref="D31:E31"/>
    <mergeCell ref="D29:E29"/>
    <mergeCell ref="D30:E30"/>
    <mergeCell ref="D25:E25"/>
    <mergeCell ref="D26:E26"/>
    <mergeCell ref="D27:E27"/>
    <mergeCell ref="D28:E28"/>
    <mergeCell ref="B33:C33"/>
    <mergeCell ref="B26:C26"/>
    <mergeCell ref="B27:C27"/>
    <mergeCell ref="B30:C30"/>
    <mergeCell ref="B28:C28"/>
    <mergeCell ref="B29:C29"/>
    <mergeCell ref="J26:K26"/>
    <mergeCell ref="L26:M26"/>
    <mergeCell ref="N27:O27"/>
    <mergeCell ref="N30:O30"/>
    <mergeCell ref="N28:O28"/>
    <mergeCell ref="N29:O29"/>
    <mergeCell ref="P33:Q33"/>
    <mergeCell ref="P34:Q34"/>
    <mergeCell ref="N32:O32"/>
    <mergeCell ref="N33:O33"/>
    <mergeCell ref="N34:O34"/>
    <mergeCell ref="P29:Q29"/>
    <mergeCell ref="N25:O25"/>
    <mergeCell ref="Z38:AE38"/>
    <mergeCell ref="Z40:AE40"/>
    <mergeCell ref="Z41:AE41"/>
    <mergeCell ref="N36:O36"/>
    <mergeCell ref="T41:Y41"/>
    <mergeCell ref="N37:S37"/>
    <mergeCell ref="T37:Y37"/>
    <mergeCell ref="R36:S36"/>
    <mergeCell ref="X36:Y36"/>
    <mergeCell ref="AD25:AE25"/>
    <mergeCell ref="AD35:AE35"/>
    <mergeCell ref="AD36:AE36"/>
    <mergeCell ref="B37:G37"/>
    <mergeCell ref="Z37:AE37"/>
    <mergeCell ref="B36:C36"/>
    <mergeCell ref="R35:S35"/>
    <mergeCell ref="Z35:AA35"/>
    <mergeCell ref="X35:Y35"/>
    <mergeCell ref="H36:I36"/>
    <mergeCell ref="AD26:AE26"/>
    <mergeCell ref="AD27:AE27"/>
    <mergeCell ref="D36:E36"/>
    <mergeCell ref="D32:E32"/>
    <mergeCell ref="F35:G35"/>
    <mergeCell ref="F36:G36"/>
    <mergeCell ref="F31:G31"/>
    <mergeCell ref="F32:G32"/>
    <mergeCell ref="F33:G33"/>
    <mergeCell ref="L29:M29"/>
    <mergeCell ref="P36:Q36"/>
    <mergeCell ref="B34:C34"/>
    <mergeCell ref="B35:C35"/>
    <mergeCell ref="AE6:AE10"/>
    <mergeCell ref="V34:W34"/>
    <mergeCell ref="Z31:AA31"/>
    <mergeCell ref="X29:Y29"/>
    <mergeCell ref="Q8:R8"/>
    <mergeCell ref="Q9:R9"/>
    <mergeCell ref="Z6:AA6"/>
    <mergeCell ref="Z7:AA7"/>
    <mergeCell ref="Z8:AA8"/>
    <mergeCell ref="Z9:AA9"/>
    <mergeCell ref="N6:O6"/>
    <mergeCell ref="N7:O7"/>
    <mergeCell ref="N21:O21"/>
    <mergeCell ref="N22:O22"/>
    <mergeCell ref="N23:O23"/>
    <mergeCell ref="N24:O24"/>
    <mergeCell ref="N26:O26"/>
    <mergeCell ref="R31:S31"/>
    <mergeCell ref="T34:U34"/>
    <mergeCell ref="T23:U23"/>
    <mergeCell ref="T24:U24"/>
    <mergeCell ref="T30:U30"/>
    <mergeCell ref="T31:U31"/>
    <mergeCell ref="T25:U25"/>
    <mergeCell ref="T26:U26"/>
    <mergeCell ref="T27:U27"/>
    <mergeCell ref="T28:U28"/>
    <mergeCell ref="Z21:AA21"/>
    <mergeCell ref="Z22:AA22"/>
    <mergeCell ref="Z33:AA33"/>
    <mergeCell ref="P30:Q30"/>
    <mergeCell ref="P31:Q31"/>
    <mergeCell ref="AD122:AE122"/>
    <mergeCell ref="B123:C123"/>
    <mergeCell ref="D123:E123"/>
    <mergeCell ref="AF6:AF10"/>
    <mergeCell ref="Z17:AA17"/>
    <mergeCell ref="AC17:AD17"/>
    <mergeCell ref="Z10:AA10"/>
    <mergeCell ref="AC6:AD6"/>
    <mergeCell ref="AC7:AD7"/>
    <mergeCell ref="AC8:AD8"/>
    <mergeCell ref="AC9:AD9"/>
    <mergeCell ref="AC10:AD10"/>
    <mergeCell ref="AD24:AE24"/>
    <mergeCell ref="N17:O17"/>
    <mergeCell ref="Q17:R17"/>
    <mergeCell ref="AD28:AE28"/>
    <mergeCell ref="N10:O10"/>
    <mergeCell ref="Q10:R10"/>
    <mergeCell ref="W10:X10"/>
    <mergeCell ref="AD21:AE21"/>
    <mergeCell ref="AD22:AE22"/>
    <mergeCell ref="AD23:AE23"/>
    <mergeCell ref="X28:Y28"/>
    <mergeCell ref="AB22:AC22"/>
    <mergeCell ref="AB23:AC23"/>
    <mergeCell ref="AB24:AC24"/>
    <mergeCell ref="T8:U8"/>
    <mergeCell ref="T9:U9"/>
    <mergeCell ref="Q6:R6"/>
    <mergeCell ref="Q7:R7"/>
    <mergeCell ref="AD32:AE32"/>
    <mergeCell ref="AD33:AE33"/>
    <mergeCell ref="F200:G200"/>
    <mergeCell ref="Z203:AA203"/>
    <mergeCell ref="AB203:AC203"/>
    <mergeCell ref="R201:S201"/>
    <mergeCell ref="T201:U201"/>
    <mergeCell ref="V201:W201"/>
    <mergeCell ref="X201:Y201"/>
    <mergeCell ref="AD201:AE201"/>
    <mergeCell ref="N9:O9"/>
    <mergeCell ref="W9:X9"/>
    <mergeCell ref="T6:U6"/>
    <mergeCell ref="T7:U7"/>
    <mergeCell ref="A5:A10"/>
    <mergeCell ref="A16:A17"/>
    <mergeCell ref="T17:U17"/>
    <mergeCell ref="W17:X17"/>
    <mergeCell ref="B17:C17"/>
    <mergeCell ref="E17:F17"/>
    <mergeCell ref="T10:U10"/>
    <mergeCell ref="W6:X6"/>
    <mergeCell ref="W7:X7"/>
    <mergeCell ref="W8:X8"/>
    <mergeCell ref="E6:F6"/>
    <mergeCell ref="AD34:AE34"/>
    <mergeCell ref="N31:O31"/>
    <mergeCell ref="AD29:AE29"/>
    <mergeCell ref="AD30:AE30"/>
    <mergeCell ref="AD31:AE31"/>
    <mergeCell ref="Z201:AA201"/>
    <mergeCell ref="AB201:AC201"/>
    <mergeCell ref="Z122:AA122"/>
    <mergeCell ref="AB122:AC122"/>
    <mergeCell ref="T202:U202"/>
    <mergeCell ref="V202:W202"/>
    <mergeCell ref="X202:Y202"/>
    <mergeCell ref="Z202:AA202"/>
    <mergeCell ref="AB202:AC202"/>
    <mergeCell ref="AD202:AE202"/>
    <mergeCell ref="B203:C203"/>
    <mergeCell ref="D203:E203"/>
    <mergeCell ref="F203:G203"/>
    <mergeCell ref="N203:O203"/>
    <mergeCell ref="P203:Q203"/>
    <mergeCell ref="R203:S203"/>
    <mergeCell ref="T203:U203"/>
    <mergeCell ref="V203:W203"/>
    <mergeCell ref="X203:Y203"/>
    <mergeCell ref="V198:W198"/>
    <mergeCell ref="X198:Y198"/>
    <mergeCell ref="Z198:AA198"/>
    <mergeCell ref="AB198:AC198"/>
    <mergeCell ref="AD198:AE198"/>
    <mergeCell ref="B199:C199"/>
    <mergeCell ref="D199:E199"/>
    <mergeCell ref="F199:G199"/>
    <mergeCell ref="N199:O199"/>
    <mergeCell ref="P199:Q199"/>
    <mergeCell ref="R199:S199"/>
    <mergeCell ref="T199:U199"/>
    <mergeCell ref="V199:W199"/>
    <mergeCell ref="X199:Y199"/>
    <mergeCell ref="AD199:AE199"/>
    <mergeCell ref="B200:C200"/>
    <mergeCell ref="D200:E200"/>
    <mergeCell ref="H210:M210"/>
    <mergeCell ref="B209:G209"/>
    <mergeCell ref="N209:S209"/>
    <mergeCell ref="T209:Y209"/>
    <mergeCell ref="Z209:AE209"/>
    <mergeCell ref="Z205:AA205"/>
    <mergeCell ref="AB205:AC205"/>
    <mergeCell ref="AD205:AE205"/>
    <mergeCell ref="B206:G206"/>
    <mergeCell ref="N206:S206"/>
    <mergeCell ref="AB204:AC204"/>
    <mergeCell ref="AD203:AE203"/>
    <mergeCell ref="B204:C204"/>
    <mergeCell ref="D204:E204"/>
    <mergeCell ref="F204:G204"/>
    <mergeCell ref="N204:O204"/>
    <mergeCell ref="P204:Q204"/>
    <mergeCell ref="R204:S204"/>
    <mergeCell ref="T205:U205"/>
    <mergeCell ref="V205:W205"/>
    <mergeCell ref="X205:Y205"/>
    <mergeCell ref="V204:W204"/>
    <mergeCell ref="X204:Y204"/>
    <mergeCell ref="Z204:AA204"/>
    <mergeCell ref="T204:U204"/>
    <mergeCell ref="T207:Y207"/>
    <mergeCell ref="Z207:AE207"/>
    <mergeCell ref="H207:M207"/>
    <mergeCell ref="H209:M209"/>
    <mergeCell ref="Z125:AA125"/>
    <mergeCell ref="B126:C126"/>
    <mergeCell ref="D126:E126"/>
    <mergeCell ref="F126:G126"/>
    <mergeCell ref="N126:O126"/>
    <mergeCell ref="P126:Q126"/>
    <mergeCell ref="R126:S126"/>
    <mergeCell ref="H126:I126"/>
    <mergeCell ref="J126:K126"/>
    <mergeCell ref="L126:M126"/>
    <mergeCell ref="X126:Y126"/>
    <mergeCell ref="T206:Y206"/>
    <mergeCell ref="Z206:AE206"/>
    <mergeCell ref="H206:M206"/>
    <mergeCell ref="AD204:AE204"/>
    <mergeCell ref="B205:C205"/>
    <mergeCell ref="D205:E205"/>
    <mergeCell ref="F205:G205"/>
    <mergeCell ref="N205:O205"/>
    <mergeCell ref="P205:Q205"/>
    <mergeCell ref="R205:S205"/>
    <mergeCell ref="B202:C202"/>
    <mergeCell ref="D202:E202"/>
    <mergeCell ref="F202:G202"/>
    <mergeCell ref="N202:O202"/>
    <mergeCell ref="P202:Q202"/>
    <mergeCell ref="R202:S202"/>
    <mergeCell ref="X128:Y128"/>
    <mergeCell ref="Z128:AA128"/>
    <mergeCell ref="AB128:AC128"/>
    <mergeCell ref="AD128:AE128"/>
    <mergeCell ref="P128:Q128"/>
    <mergeCell ref="N123:O123"/>
    <mergeCell ref="P123:Q123"/>
    <mergeCell ref="R123:S123"/>
    <mergeCell ref="B124:C124"/>
    <mergeCell ref="D124:E124"/>
    <mergeCell ref="F124:G124"/>
    <mergeCell ref="N124:O124"/>
    <mergeCell ref="P124:Q124"/>
    <mergeCell ref="R124:S124"/>
    <mergeCell ref="X124:Y124"/>
    <mergeCell ref="Z124:AA124"/>
    <mergeCell ref="AB124:AC124"/>
    <mergeCell ref="AD124:AE124"/>
    <mergeCell ref="Z123:AA123"/>
    <mergeCell ref="AB123:AC123"/>
    <mergeCell ref="AD123:AE123"/>
    <mergeCell ref="B211:G211"/>
    <mergeCell ref="N211:S211"/>
    <mergeCell ref="T211:Y211"/>
    <mergeCell ref="Z211:AE211"/>
    <mergeCell ref="H211:M211"/>
    <mergeCell ref="B210:G210"/>
    <mergeCell ref="N210:S210"/>
    <mergeCell ref="T210:Y210"/>
    <mergeCell ref="Z210:AE210"/>
    <mergeCell ref="T123:U123"/>
    <mergeCell ref="F125:G125"/>
    <mergeCell ref="N125:O125"/>
    <mergeCell ref="P125:Q125"/>
    <mergeCell ref="R125:S125"/>
    <mergeCell ref="H123:I123"/>
    <mergeCell ref="T124:U124"/>
    <mergeCell ref="B122:C122"/>
    <mergeCell ref="D122:E122"/>
    <mergeCell ref="F122:G122"/>
    <mergeCell ref="L123:M123"/>
    <mergeCell ref="H124:I124"/>
    <mergeCell ref="J124:K124"/>
    <mergeCell ref="L124:M124"/>
    <mergeCell ref="Z126:AA126"/>
    <mergeCell ref="AB126:AC126"/>
    <mergeCell ref="AD126:AE126"/>
    <mergeCell ref="AB125:AC125"/>
    <mergeCell ref="AD125:AE125"/>
    <mergeCell ref="B127:C127"/>
    <mergeCell ref="D127:E127"/>
    <mergeCell ref="F127:G127"/>
    <mergeCell ref="N127:O127"/>
    <mergeCell ref="H127:I127"/>
    <mergeCell ref="J127:K127"/>
    <mergeCell ref="L127:M127"/>
    <mergeCell ref="X127:Y127"/>
    <mergeCell ref="Z127:AA127"/>
    <mergeCell ref="AB127:AC127"/>
    <mergeCell ref="AD127:AE127"/>
    <mergeCell ref="P127:Q127"/>
    <mergeCell ref="R127:S127"/>
    <mergeCell ref="T127:U127"/>
    <mergeCell ref="V127:W127"/>
    <mergeCell ref="B125:C125"/>
    <mergeCell ref="H125:I125"/>
    <mergeCell ref="J125:K125"/>
    <mergeCell ref="L125:M125"/>
    <mergeCell ref="F123:G123"/>
    <mergeCell ref="R128:S128"/>
    <mergeCell ref="T128:U128"/>
    <mergeCell ref="V128:W128"/>
    <mergeCell ref="B129:C129"/>
    <mergeCell ref="D129:E129"/>
    <mergeCell ref="F129:G129"/>
    <mergeCell ref="N129:O129"/>
    <mergeCell ref="H129:I129"/>
    <mergeCell ref="J129:K129"/>
    <mergeCell ref="L129:M129"/>
    <mergeCell ref="X129:Y129"/>
    <mergeCell ref="Z129:AA129"/>
    <mergeCell ref="AB129:AC129"/>
    <mergeCell ref="AD129:AE129"/>
    <mergeCell ref="P129:Q129"/>
    <mergeCell ref="R129:S129"/>
    <mergeCell ref="T129:U129"/>
    <mergeCell ref="V129:W129"/>
    <mergeCell ref="L128:M128"/>
    <mergeCell ref="B130:C130"/>
    <mergeCell ref="D130:E130"/>
    <mergeCell ref="F130:G130"/>
    <mergeCell ref="N130:O130"/>
    <mergeCell ref="H130:I130"/>
    <mergeCell ref="J130:K130"/>
    <mergeCell ref="L130:M130"/>
    <mergeCell ref="X130:Y130"/>
    <mergeCell ref="Z130:AA130"/>
    <mergeCell ref="AB130:AC130"/>
    <mergeCell ref="AD130:AE130"/>
    <mergeCell ref="P130:Q130"/>
    <mergeCell ref="R130:S130"/>
    <mergeCell ref="T130:U130"/>
    <mergeCell ref="V130:W130"/>
    <mergeCell ref="B131:C131"/>
    <mergeCell ref="D131:E131"/>
    <mergeCell ref="F131:G131"/>
    <mergeCell ref="N131:O131"/>
    <mergeCell ref="H131:I131"/>
    <mergeCell ref="J131:K131"/>
    <mergeCell ref="L131:M131"/>
    <mergeCell ref="X131:Y131"/>
    <mergeCell ref="Z131:AA131"/>
    <mergeCell ref="AB131:AC131"/>
    <mergeCell ref="AD131:AE131"/>
    <mergeCell ref="P131:Q131"/>
    <mergeCell ref="R131:S131"/>
    <mergeCell ref="T131:U131"/>
    <mergeCell ref="V131:W131"/>
    <mergeCell ref="B132:C132"/>
    <mergeCell ref="D132:E132"/>
    <mergeCell ref="F132:G132"/>
    <mergeCell ref="N132:O132"/>
    <mergeCell ref="H132:I132"/>
    <mergeCell ref="J132:K132"/>
    <mergeCell ref="L132:M132"/>
    <mergeCell ref="X132:Y132"/>
    <mergeCell ref="Z132:AA132"/>
    <mergeCell ref="AB132:AC132"/>
    <mergeCell ref="AD132:AE132"/>
    <mergeCell ref="P132:Q132"/>
    <mergeCell ref="R132:S132"/>
    <mergeCell ref="T132:U132"/>
    <mergeCell ref="V132:W132"/>
    <mergeCell ref="B133:C133"/>
    <mergeCell ref="D133:E133"/>
    <mergeCell ref="F133:G133"/>
    <mergeCell ref="N133:O133"/>
    <mergeCell ref="H133:I133"/>
    <mergeCell ref="J133:K133"/>
    <mergeCell ref="L133:M133"/>
    <mergeCell ref="X133:Y133"/>
    <mergeCell ref="Z133:AA133"/>
    <mergeCell ref="AB133:AC133"/>
    <mergeCell ref="AD133:AE133"/>
    <mergeCell ref="P133:Q133"/>
    <mergeCell ref="R133:S133"/>
    <mergeCell ref="T133:U133"/>
    <mergeCell ref="V133:W133"/>
    <mergeCell ref="AD134:AE134"/>
    <mergeCell ref="P134:Q134"/>
    <mergeCell ref="R134:S134"/>
    <mergeCell ref="T134:U134"/>
    <mergeCell ref="V134:W134"/>
    <mergeCell ref="B134:C134"/>
    <mergeCell ref="D134:E134"/>
    <mergeCell ref="F134:G134"/>
    <mergeCell ref="N134:O134"/>
    <mergeCell ref="H134:I134"/>
    <mergeCell ref="H135:I135"/>
    <mergeCell ref="J135:K135"/>
    <mergeCell ref="L135:M135"/>
    <mergeCell ref="X134:Y134"/>
    <mergeCell ref="Z134:AA134"/>
    <mergeCell ref="AB134:AC134"/>
    <mergeCell ref="J134:K134"/>
    <mergeCell ref="L134:M134"/>
    <mergeCell ref="AB135:AC135"/>
    <mergeCell ref="AD135:AE135"/>
    <mergeCell ref="P135:Q135"/>
    <mergeCell ref="R135:S135"/>
    <mergeCell ref="T135:U135"/>
    <mergeCell ref="V135:W135"/>
    <mergeCell ref="B136:C136"/>
    <mergeCell ref="D136:E136"/>
    <mergeCell ref="F136:G136"/>
    <mergeCell ref="N136:O136"/>
    <mergeCell ref="X135:Y135"/>
    <mergeCell ref="Z135:AA135"/>
    <mergeCell ref="B135:C135"/>
    <mergeCell ref="D135:E135"/>
    <mergeCell ref="F135:G135"/>
    <mergeCell ref="N135:O135"/>
    <mergeCell ref="X136:Y136"/>
    <mergeCell ref="Z136:AA136"/>
    <mergeCell ref="AB136:AC136"/>
    <mergeCell ref="AD136:AE136"/>
    <mergeCell ref="P136:Q136"/>
    <mergeCell ref="R136:S136"/>
    <mergeCell ref="T136:U136"/>
    <mergeCell ref="V136:W136"/>
    <mergeCell ref="X137:Y137"/>
    <mergeCell ref="Z137:AA137"/>
    <mergeCell ref="AB137:AC137"/>
    <mergeCell ref="B137:C137"/>
    <mergeCell ref="D137:E137"/>
    <mergeCell ref="F137:G137"/>
    <mergeCell ref="N137:O137"/>
    <mergeCell ref="B138:G138"/>
    <mergeCell ref="N138:S138"/>
    <mergeCell ref="T138:Y138"/>
    <mergeCell ref="Z138:AE138"/>
    <mergeCell ref="H138:M138"/>
    <mergeCell ref="P137:Q137"/>
    <mergeCell ref="R137:S137"/>
    <mergeCell ref="T137:U137"/>
    <mergeCell ref="AD137:AE137"/>
    <mergeCell ref="V137:W137"/>
    <mergeCell ref="J137:K137"/>
    <mergeCell ref="L137:M137"/>
    <mergeCell ref="N140:S140"/>
    <mergeCell ref="T140:Y140"/>
    <mergeCell ref="Z140:AE140"/>
    <mergeCell ref="H140:M140"/>
    <mergeCell ref="B139:G139"/>
    <mergeCell ref="N139:S139"/>
    <mergeCell ref="T139:Y139"/>
    <mergeCell ref="Z139:AE139"/>
    <mergeCell ref="H139:M139"/>
    <mergeCell ref="N87:S87"/>
    <mergeCell ref="T87:Y87"/>
    <mergeCell ref="Z87:AE87"/>
    <mergeCell ref="H87:M87"/>
    <mergeCell ref="B141:G141"/>
    <mergeCell ref="N141:S141"/>
    <mergeCell ref="T141:Y141"/>
    <mergeCell ref="Z141:AE141"/>
    <mergeCell ref="H141:M141"/>
    <mergeCell ref="B140:G140"/>
    <mergeCell ref="B88:G88"/>
    <mergeCell ref="N88:S88"/>
    <mergeCell ref="T88:Y88"/>
    <mergeCell ref="Z88:AE88"/>
    <mergeCell ref="H88:M88"/>
    <mergeCell ref="B91:G91"/>
    <mergeCell ref="N91:S91"/>
    <mergeCell ref="T91:Y91"/>
    <mergeCell ref="Z91:AE91"/>
    <mergeCell ref="H91:M91"/>
    <mergeCell ref="B90:G90"/>
    <mergeCell ref="N90:S90"/>
    <mergeCell ref="T90:Y90"/>
    <mergeCell ref="B69:C69"/>
    <mergeCell ref="D69:E69"/>
    <mergeCell ref="F69:G69"/>
    <mergeCell ref="A67:A84"/>
    <mergeCell ref="B67:G67"/>
    <mergeCell ref="B87:G87"/>
    <mergeCell ref="V69:W69"/>
    <mergeCell ref="X69:Y69"/>
    <mergeCell ref="Z69:AA69"/>
    <mergeCell ref="AB69:AC69"/>
    <mergeCell ref="N69:O69"/>
    <mergeCell ref="P69:Q69"/>
    <mergeCell ref="R69:S69"/>
    <mergeCell ref="T69:U69"/>
    <mergeCell ref="AD69:AE69"/>
    <mergeCell ref="B70:C70"/>
    <mergeCell ref="D70:E70"/>
    <mergeCell ref="F70:G70"/>
    <mergeCell ref="N70:O70"/>
    <mergeCell ref="P70:Q70"/>
    <mergeCell ref="R70:S70"/>
    <mergeCell ref="T70:U70"/>
    <mergeCell ref="V70:W70"/>
    <mergeCell ref="X70:Y70"/>
    <mergeCell ref="AD70:AE70"/>
    <mergeCell ref="B71:C71"/>
    <mergeCell ref="D71:E71"/>
    <mergeCell ref="F71:G71"/>
    <mergeCell ref="N71:O71"/>
    <mergeCell ref="P71:Q71"/>
    <mergeCell ref="R71:S71"/>
    <mergeCell ref="T71:U71"/>
    <mergeCell ref="V71:W71"/>
    <mergeCell ref="X71:Y71"/>
    <mergeCell ref="Z71:AA71"/>
    <mergeCell ref="AB71:AC71"/>
    <mergeCell ref="Z70:AA70"/>
    <mergeCell ref="AB70:AC70"/>
    <mergeCell ref="AD71:AE71"/>
    <mergeCell ref="B72:C72"/>
    <mergeCell ref="D72:E72"/>
    <mergeCell ref="F72:G72"/>
    <mergeCell ref="N72:O72"/>
    <mergeCell ref="P72:Q72"/>
    <mergeCell ref="R72:S72"/>
    <mergeCell ref="T72:U72"/>
    <mergeCell ref="V72:W72"/>
    <mergeCell ref="X72:Y72"/>
    <mergeCell ref="AD72:AE72"/>
    <mergeCell ref="H71:I71"/>
    <mergeCell ref="J71:K71"/>
    <mergeCell ref="L71:M71"/>
    <mergeCell ref="H72:I72"/>
    <mergeCell ref="J72:K72"/>
    <mergeCell ref="L72:M72"/>
    <mergeCell ref="B73:C73"/>
    <mergeCell ref="D73:E73"/>
    <mergeCell ref="F73:G73"/>
    <mergeCell ref="N73:O73"/>
    <mergeCell ref="P73:Q73"/>
    <mergeCell ref="R73:S73"/>
    <mergeCell ref="T73:U73"/>
    <mergeCell ref="H73:I73"/>
    <mergeCell ref="J73:K73"/>
    <mergeCell ref="V73:W73"/>
    <mergeCell ref="X73:Y73"/>
    <mergeCell ref="Z73:AA73"/>
    <mergeCell ref="AB73:AC73"/>
    <mergeCell ref="Z72:AA72"/>
    <mergeCell ref="AB72:AC72"/>
    <mergeCell ref="AD73:AE73"/>
    <mergeCell ref="B74:C74"/>
    <mergeCell ref="D74:E74"/>
    <mergeCell ref="F74:G74"/>
    <mergeCell ref="N74:O74"/>
    <mergeCell ref="P74:Q74"/>
    <mergeCell ref="R74:S74"/>
    <mergeCell ref="T74:U74"/>
    <mergeCell ref="V74:W74"/>
    <mergeCell ref="X74:Y74"/>
    <mergeCell ref="AD74:AE74"/>
    <mergeCell ref="L73:M73"/>
    <mergeCell ref="H74:I74"/>
    <mergeCell ref="J74:K74"/>
    <mergeCell ref="L74:M74"/>
    <mergeCell ref="B75:C75"/>
    <mergeCell ref="D75:E75"/>
    <mergeCell ref="F75:G75"/>
    <mergeCell ref="N75:O75"/>
    <mergeCell ref="P75:Q75"/>
    <mergeCell ref="R75:S75"/>
    <mergeCell ref="T75:U75"/>
    <mergeCell ref="V75:W75"/>
    <mergeCell ref="X75:Y75"/>
    <mergeCell ref="Z75:AA75"/>
    <mergeCell ref="AB75:AC75"/>
    <mergeCell ref="Z74:AA74"/>
    <mergeCell ref="AB74:AC74"/>
    <mergeCell ref="AD75:AE75"/>
    <mergeCell ref="B76:C76"/>
    <mergeCell ref="D76:E76"/>
    <mergeCell ref="F76:G76"/>
    <mergeCell ref="N76:O76"/>
    <mergeCell ref="P76:Q76"/>
    <mergeCell ref="R76:S76"/>
    <mergeCell ref="T76:U76"/>
    <mergeCell ref="V76:W76"/>
    <mergeCell ref="X76:Y76"/>
    <mergeCell ref="AD76:AE76"/>
    <mergeCell ref="L76:M76"/>
    <mergeCell ref="H75:I75"/>
    <mergeCell ref="J75:K75"/>
    <mergeCell ref="L75:M75"/>
    <mergeCell ref="B77:C77"/>
    <mergeCell ref="D77:E77"/>
    <mergeCell ref="F77:G77"/>
    <mergeCell ref="N77:O77"/>
    <mergeCell ref="P77:Q77"/>
    <mergeCell ref="R77:S77"/>
    <mergeCell ref="T77:U77"/>
    <mergeCell ref="H76:I76"/>
    <mergeCell ref="J76:K76"/>
    <mergeCell ref="V77:W77"/>
    <mergeCell ref="X77:Y77"/>
    <mergeCell ref="Z77:AA77"/>
    <mergeCell ref="AB77:AC77"/>
    <mergeCell ref="Z76:AA76"/>
    <mergeCell ref="AB76:AC76"/>
    <mergeCell ref="AD77:AE77"/>
    <mergeCell ref="B78:C78"/>
    <mergeCell ref="D78:E78"/>
    <mergeCell ref="F78:G78"/>
    <mergeCell ref="N78:O78"/>
    <mergeCell ref="P78:Q78"/>
    <mergeCell ref="R78:S78"/>
    <mergeCell ref="T78:U78"/>
    <mergeCell ref="V78:W78"/>
    <mergeCell ref="X78:Y78"/>
    <mergeCell ref="AD78:AE78"/>
    <mergeCell ref="H77:I77"/>
    <mergeCell ref="J77:K77"/>
    <mergeCell ref="L77:M77"/>
    <mergeCell ref="H78:I78"/>
    <mergeCell ref="J78:K78"/>
    <mergeCell ref="L78:M78"/>
    <mergeCell ref="B79:C79"/>
    <mergeCell ref="D79:E79"/>
    <mergeCell ref="F79:G79"/>
    <mergeCell ref="N79:O79"/>
    <mergeCell ref="P79:Q79"/>
    <mergeCell ref="R79:S79"/>
    <mergeCell ref="T79:U79"/>
    <mergeCell ref="H79:I79"/>
    <mergeCell ref="J79:K79"/>
    <mergeCell ref="V79:W79"/>
    <mergeCell ref="X79:Y79"/>
    <mergeCell ref="Z79:AA79"/>
    <mergeCell ref="AB79:AC79"/>
    <mergeCell ref="Z78:AA78"/>
    <mergeCell ref="AB78:AC78"/>
    <mergeCell ref="AD79:AE79"/>
    <mergeCell ref="B80:C80"/>
    <mergeCell ref="D80:E80"/>
    <mergeCell ref="F80:G80"/>
    <mergeCell ref="N80:O80"/>
    <mergeCell ref="P80:Q80"/>
    <mergeCell ref="R80:S80"/>
    <mergeCell ref="T80:U80"/>
    <mergeCell ref="V80:W80"/>
    <mergeCell ref="X80:Y80"/>
    <mergeCell ref="AD80:AE80"/>
    <mergeCell ref="L80:M80"/>
    <mergeCell ref="L79:M79"/>
    <mergeCell ref="H80:I80"/>
    <mergeCell ref="J80:K80"/>
    <mergeCell ref="B81:C81"/>
    <mergeCell ref="D81:E81"/>
    <mergeCell ref="F81:G81"/>
    <mergeCell ref="N81:O81"/>
    <mergeCell ref="P81:Q81"/>
    <mergeCell ref="R81:S81"/>
    <mergeCell ref="T81:U81"/>
    <mergeCell ref="V81:W81"/>
    <mergeCell ref="X81:Y81"/>
    <mergeCell ref="Z81:AA81"/>
    <mergeCell ref="AB81:AC81"/>
    <mergeCell ref="Z80:AA80"/>
    <mergeCell ref="AB80:AC80"/>
    <mergeCell ref="T83:U83"/>
    <mergeCell ref="AD81:AE81"/>
    <mergeCell ref="B82:C82"/>
    <mergeCell ref="D82:E82"/>
    <mergeCell ref="F82:G82"/>
    <mergeCell ref="N82:O82"/>
    <mergeCell ref="P82:Q82"/>
    <mergeCell ref="R82:S82"/>
    <mergeCell ref="T82:U82"/>
    <mergeCell ref="V82:W82"/>
    <mergeCell ref="B83:C83"/>
    <mergeCell ref="D83:E83"/>
    <mergeCell ref="F83:G83"/>
    <mergeCell ref="N83:O83"/>
    <mergeCell ref="P83:Q83"/>
    <mergeCell ref="R83:S83"/>
    <mergeCell ref="X83:Y83"/>
    <mergeCell ref="Z83:AA83"/>
    <mergeCell ref="AB83:AC83"/>
    <mergeCell ref="Z82:AA82"/>
    <mergeCell ref="AB82:AC82"/>
    <mergeCell ref="AD82:AE82"/>
    <mergeCell ref="X82:Y82"/>
    <mergeCell ref="B84:C84"/>
    <mergeCell ref="D84:E84"/>
    <mergeCell ref="F84:G84"/>
    <mergeCell ref="N84:O84"/>
    <mergeCell ref="P84:Q84"/>
    <mergeCell ref="R84:S84"/>
    <mergeCell ref="T85:Y85"/>
    <mergeCell ref="Z85:AE85"/>
    <mergeCell ref="H84:I84"/>
    <mergeCell ref="J84:K84"/>
    <mergeCell ref="L84:M84"/>
    <mergeCell ref="AD83:AE83"/>
    <mergeCell ref="T84:U84"/>
    <mergeCell ref="V84:W84"/>
    <mergeCell ref="X84:Y84"/>
    <mergeCell ref="V83:W83"/>
    <mergeCell ref="Z84:AA84"/>
    <mergeCell ref="AB84:AC84"/>
    <mergeCell ref="AD84:AE84"/>
    <mergeCell ref="B85:G85"/>
    <mergeCell ref="N85:S85"/>
    <mergeCell ref="H85:M85"/>
    <mergeCell ref="H82:I82"/>
    <mergeCell ref="J82:K82"/>
    <mergeCell ref="L82:M82"/>
    <mergeCell ref="H83:I83"/>
    <mergeCell ref="J83:K83"/>
    <mergeCell ref="L83:M83"/>
    <mergeCell ref="Z90:AE90"/>
    <mergeCell ref="H90:M90"/>
    <mergeCell ref="N226:O226"/>
    <mergeCell ref="P226:Q226"/>
    <mergeCell ref="A224:A241"/>
    <mergeCell ref="B224:G224"/>
    <mergeCell ref="H224:M224"/>
    <mergeCell ref="N224:S224"/>
    <mergeCell ref="R226:S226"/>
    <mergeCell ref="R227:S227"/>
    <mergeCell ref="R228:S228"/>
    <mergeCell ref="R229:S229"/>
    <mergeCell ref="B226:C226"/>
    <mergeCell ref="D226:E226"/>
    <mergeCell ref="F226:G226"/>
    <mergeCell ref="H226:I226"/>
    <mergeCell ref="J226:K226"/>
    <mergeCell ref="L226:M226"/>
    <mergeCell ref="T226:U226"/>
    <mergeCell ref="V226:W226"/>
    <mergeCell ref="X226:Y226"/>
    <mergeCell ref="Z226:AA226"/>
    <mergeCell ref="T224:Y224"/>
    <mergeCell ref="Z224:AE224"/>
    <mergeCell ref="AB226:AC226"/>
    <mergeCell ref="AD226:AE226"/>
    <mergeCell ref="B227:C227"/>
    <mergeCell ref="D227:E227"/>
    <mergeCell ref="F227:G227"/>
    <mergeCell ref="H227:I227"/>
    <mergeCell ref="J227:K227"/>
    <mergeCell ref="L227:M227"/>
    <mergeCell ref="N227:O227"/>
    <mergeCell ref="P227:Q227"/>
    <mergeCell ref="N228:O228"/>
    <mergeCell ref="P228:Q228"/>
    <mergeCell ref="T227:U227"/>
    <mergeCell ref="V227:W227"/>
    <mergeCell ref="X227:Y227"/>
    <mergeCell ref="Z227:AA227"/>
    <mergeCell ref="B228:C228"/>
    <mergeCell ref="D228:E228"/>
    <mergeCell ref="F228:G228"/>
    <mergeCell ref="H228:I228"/>
    <mergeCell ref="J228:K228"/>
    <mergeCell ref="L228:M228"/>
    <mergeCell ref="T228:U228"/>
    <mergeCell ref="V228:W228"/>
    <mergeCell ref="X228:Y228"/>
    <mergeCell ref="Z228:AA228"/>
    <mergeCell ref="AB227:AC227"/>
    <mergeCell ref="AD227:AE227"/>
    <mergeCell ref="AB228:AC228"/>
    <mergeCell ref="AD228:AE228"/>
    <mergeCell ref="B229:C229"/>
    <mergeCell ref="D229:E229"/>
    <mergeCell ref="F229:G229"/>
    <mergeCell ref="H229:I229"/>
    <mergeCell ref="J229:K229"/>
    <mergeCell ref="L229:M229"/>
    <mergeCell ref="N229:O229"/>
    <mergeCell ref="P229:Q229"/>
    <mergeCell ref="N230:O230"/>
    <mergeCell ref="P230:Q230"/>
    <mergeCell ref="T229:U229"/>
    <mergeCell ref="V229:W229"/>
    <mergeCell ref="X229:Y229"/>
    <mergeCell ref="Z229:AA229"/>
    <mergeCell ref="R230:S230"/>
    <mergeCell ref="B230:C230"/>
    <mergeCell ref="D230:E230"/>
    <mergeCell ref="F230:G230"/>
    <mergeCell ref="H230:I230"/>
    <mergeCell ref="J230:K230"/>
    <mergeCell ref="L230:M230"/>
    <mergeCell ref="T230:U230"/>
    <mergeCell ref="V230:W230"/>
    <mergeCell ref="X230:Y230"/>
    <mergeCell ref="Z230:AA230"/>
    <mergeCell ref="AB229:AC229"/>
    <mergeCell ref="AD229:AE229"/>
    <mergeCell ref="AB230:AC230"/>
    <mergeCell ref="AD230:AE230"/>
    <mergeCell ref="B231:C231"/>
    <mergeCell ref="D231:E231"/>
    <mergeCell ref="F231:G231"/>
    <mergeCell ref="H231:I231"/>
    <mergeCell ref="J231:K231"/>
    <mergeCell ref="L231:M231"/>
    <mergeCell ref="N231:O231"/>
    <mergeCell ref="P231:Q231"/>
    <mergeCell ref="N232:O232"/>
    <mergeCell ref="P232:Q232"/>
    <mergeCell ref="T231:U231"/>
    <mergeCell ref="V231:W231"/>
    <mergeCell ref="X231:Y231"/>
    <mergeCell ref="Z231:AA231"/>
    <mergeCell ref="R231:S231"/>
    <mergeCell ref="B232:C232"/>
    <mergeCell ref="D232:E232"/>
    <mergeCell ref="F232:G232"/>
    <mergeCell ref="H232:I232"/>
    <mergeCell ref="J232:K232"/>
    <mergeCell ref="L232:M232"/>
    <mergeCell ref="R232:S232"/>
    <mergeCell ref="T232:U232"/>
    <mergeCell ref="V232:W232"/>
    <mergeCell ref="X232:Y232"/>
    <mergeCell ref="AB231:AC231"/>
    <mergeCell ref="AD231:AE231"/>
    <mergeCell ref="Z232:AA232"/>
    <mergeCell ref="AB232:AC232"/>
    <mergeCell ref="AD232:AE232"/>
    <mergeCell ref="AB236:AC236"/>
    <mergeCell ref="AD236:AE236"/>
    <mergeCell ref="B233:C233"/>
    <mergeCell ref="D233:E233"/>
    <mergeCell ref="F233:G233"/>
    <mergeCell ref="H233:I233"/>
    <mergeCell ref="J233:K233"/>
    <mergeCell ref="L233:M233"/>
    <mergeCell ref="N233:O233"/>
    <mergeCell ref="AB233:AC233"/>
    <mergeCell ref="AD233:AE233"/>
    <mergeCell ref="P233:Q233"/>
    <mergeCell ref="R233:S233"/>
    <mergeCell ref="T233:U233"/>
    <mergeCell ref="V233:W233"/>
    <mergeCell ref="B234:C234"/>
    <mergeCell ref="D234:E234"/>
    <mergeCell ref="F234:G234"/>
    <mergeCell ref="H234:I234"/>
    <mergeCell ref="X233:Y233"/>
    <mergeCell ref="Z233:AA233"/>
    <mergeCell ref="R234:S234"/>
    <mergeCell ref="T234:U234"/>
    <mergeCell ref="V234:W234"/>
    <mergeCell ref="X234:Y234"/>
    <mergeCell ref="J234:K234"/>
    <mergeCell ref="L234:M234"/>
    <mergeCell ref="N234:O234"/>
    <mergeCell ref="P234:Q234"/>
    <mergeCell ref="Z234:AA234"/>
    <mergeCell ref="AB234:AC234"/>
    <mergeCell ref="AD234:AE234"/>
    <mergeCell ref="P238:Q238"/>
    <mergeCell ref="Z238:AA238"/>
    <mergeCell ref="AB238:AC238"/>
    <mergeCell ref="AD238:AE238"/>
    <mergeCell ref="B235:C235"/>
    <mergeCell ref="D235:E235"/>
    <mergeCell ref="F235:G235"/>
    <mergeCell ref="H235:I235"/>
    <mergeCell ref="J235:K235"/>
    <mergeCell ref="L235:M235"/>
    <mergeCell ref="N235:O235"/>
    <mergeCell ref="AB235:AC235"/>
    <mergeCell ref="AD235:AE235"/>
    <mergeCell ref="P235:Q235"/>
    <mergeCell ref="R235:S235"/>
    <mergeCell ref="T235:U235"/>
    <mergeCell ref="V235:W235"/>
    <mergeCell ref="B236:C236"/>
    <mergeCell ref="D236:E236"/>
    <mergeCell ref="F236:G236"/>
    <mergeCell ref="H236:I236"/>
    <mergeCell ref="X235:Y235"/>
    <mergeCell ref="Z235:AA235"/>
    <mergeCell ref="R236:S236"/>
    <mergeCell ref="T236:U236"/>
    <mergeCell ref="V236:W236"/>
    <mergeCell ref="X236:Y236"/>
    <mergeCell ref="J236:K236"/>
    <mergeCell ref="L236:M236"/>
    <mergeCell ref="N236:O236"/>
    <mergeCell ref="P236:Q236"/>
    <mergeCell ref="Z236:AA236"/>
    <mergeCell ref="V240:W240"/>
    <mergeCell ref="X240:Y240"/>
    <mergeCell ref="J240:K240"/>
    <mergeCell ref="L240:M240"/>
    <mergeCell ref="N240:O240"/>
    <mergeCell ref="P240:Q240"/>
    <mergeCell ref="B237:C237"/>
    <mergeCell ref="D237:E237"/>
    <mergeCell ref="F237:G237"/>
    <mergeCell ref="H237:I237"/>
    <mergeCell ref="J237:K237"/>
    <mergeCell ref="L237:M237"/>
    <mergeCell ref="N237:O237"/>
    <mergeCell ref="AB237:AC237"/>
    <mergeCell ref="AD237:AE237"/>
    <mergeCell ref="P237:Q237"/>
    <mergeCell ref="R237:S237"/>
    <mergeCell ref="T237:U237"/>
    <mergeCell ref="V237:W237"/>
    <mergeCell ref="B238:C238"/>
    <mergeCell ref="D238:E238"/>
    <mergeCell ref="F238:G238"/>
    <mergeCell ref="H238:I238"/>
    <mergeCell ref="X237:Y237"/>
    <mergeCell ref="Z237:AA237"/>
    <mergeCell ref="R238:S238"/>
    <mergeCell ref="T238:U238"/>
    <mergeCell ref="V238:W238"/>
    <mergeCell ref="X238:Y238"/>
    <mergeCell ref="J238:K238"/>
    <mergeCell ref="L238:M238"/>
    <mergeCell ref="N238:O238"/>
    <mergeCell ref="H242:M242"/>
    <mergeCell ref="N242:S242"/>
    <mergeCell ref="T242:Y242"/>
    <mergeCell ref="X241:Y241"/>
    <mergeCell ref="Z241:AA241"/>
    <mergeCell ref="AB241:AC241"/>
    <mergeCell ref="AD241:AE241"/>
    <mergeCell ref="P241:Q241"/>
    <mergeCell ref="B239:C239"/>
    <mergeCell ref="D239:E239"/>
    <mergeCell ref="F239:G239"/>
    <mergeCell ref="H239:I239"/>
    <mergeCell ref="J239:K239"/>
    <mergeCell ref="L239:M239"/>
    <mergeCell ref="N239:O239"/>
    <mergeCell ref="AB239:AC239"/>
    <mergeCell ref="AD239:AE239"/>
    <mergeCell ref="P239:Q239"/>
    <mergeCell ref="R239:S239"/>
    <mergeCell ref="T239:U239"/>
    <mergeCell ref="V239:W239"/>
    <mergeCell ref="B240:C240"/>
    <mergeCell ref="D240:E240"/>
    <mergeCell ref="F240:G240"/>
    <mergeCell ref="H240:I240"/>
    <mergeCell ref="X239:Y239"/>
    <mergeCell ref="Z239:AA239"/>
    <mergeCell ref="Z240:AA240"/>
    <mergeCell ref="AB240:AC240"/>
    <mergeCell ref="AD240:AE240"/>
    <mergeCell ref="R240:S240"/>
    <mergeCell ref="T240:U240"/>
    <mergeCell ref="Z246:AE246"/>
    <mergeCell ref="B245:G245"/>
    <mergeCell ref="H245:M245"/>
    <mergeCell ref="N245:S245"/>
    <mergeCell ref="T245:Y245"/>
    <mergeCell ref="Z242:AE242"/>
    <mergeCell ref="B244:G244"/>
    <mergeCell ref="H244:M244"/>
    <mergeCell ref="N244:S244"/>
    <mergeCell ref="T244:Y244"/>
    <mergeCell ref="N241:O241"/>
    <mergeCell ref="Z247:AE247"/>
    <mergeCell ref="B247:G247"/>
    <mergeCell ref="H247:M247"/>
    <mergeCell ref="N247:S247"/>
    <mergeCell ref="T247:Y247"/>
    <mergeCell ref="Z245:AE245"/>
    <mergeCell ref="B246:G246"/>
    <mergeCell ref="H246:M246"/>
    <mergeCell ref="N246:S246"/>
    <mergeCell ref="T246:Y246"/>
    <mergeCell ref="B241:C241"/>
    <mergeCell ref="D241:E241"/>
    <mergeCell ref="F241:G241"/>
    <mergeCell ref="H241:I241"/>
    <mergeCell ref="J241:K241"/>
    <mergeCell ref="L241:M241"/>
    <mergeCell ref="R241:S241"/>
    <mergeCell ref="T241:U241"/>
    <mergeCell ref="V241:W241"/>
    <mergeCell ref="Z244:AE244"/>
    <mergeCell ref="B242:G242"/>
    <mergeCell ref="A154:A171"/>
    <mergeCell ref="B154:G154"/>
    <mergeCell ref="H154:M154"/>
    <mergeCell ref="N154:S154"/>
    <mergeCell ref="R156:S156"/>
    <mergeCell ref="R157:S157"/>
    <mergeCell ref="R158:S158"/>
    <mergeCell ref="R159:S159"/>
    <mergeCell ref="B156:C156"/>
    <mergeCell ref="D156:E156"/>
    <mergeCell ref="F156:G156"/>
    <mergeCell ref="H156:I156"/>
    <mergeCell ref="J156:K156"/>
    <mergeCell ref="L156:M156"/>
    <mergeCell ref="T156:U156"/>
    <mergeCell ref="B161:C161"/>
    <mergeCell ref="D161:E161"/>
    <mergeCell ref="F161:G161"/>
    <mergeCell ref="H161:I161"/>
    <mergeCell ref="J161:K161"/>
    <mergeCell ref="L161:M161"/>
    <mergeCell ref="N161:O161"/>
    <mergeCell ref="P161:Q161"/>
    <mergeCell ref="N162:O162"/>
    <mergeCell ref="P162:Q162"/>
    <mergeCell ref="T161:U161"/>
    <mergeCell ref="B163:C163"/>
    <mergeCell ref="D163:E163"/>
    <mergeCell ref="F163:G163"/>
    <mergeCell ref="H163:I163"/>
    <mergeCell ref="T154:Y154"/>
    <mergeCell ref="B157:C157"/>
    <mergeCell ref="N157:O157"/>
    <mergeCell ref="P157:Q157"/>
    <mergeCell ref="N158:O158"/>
    <mergeCell ref="P158:Q158"/>
    <mergeCell ref="T157:U157"/>
    <mergeCell ref="V157:W157"/>
    <mergeCell ref="X157:Y157"/>
    <mergeCell ref="Z157:AA157"/>
    <mergeCell ref="B158:C158"/>
    <mergeCell ref="D158:E158"/>
    <mergeCell ref="F158:G158"/>
    <mergeCell ref="H158:I158"/>
    <mergeCell ref="J158:K158"/>
    <mergeCell ref="L158:M158"/>
    <mergeCell ref="T158:U158"/>
    <mergeCell ref="V158:W158"/>
    <mergeCell ref="X158:Y158"/>
    <mergeCell ref="Z158:AA158"/>
    <mergeCell ref="AB157:AC157"/>
    <mergeCell ref="AD157:AE157"/>
    <mergeCell ref="AB158:AC158"/>
    <mergeCell ref="AD158:AE158"/>
    <mergeCell ref="B159:C159"/>
    <mergeCell ref="D159:E159"/>
    <mergeCell ref="F159:G159"/>
    <mergeCell ref="H159:I159"/>
    <mergeCell ref="J159:K159"/>
    <mergeCell ref="L159:M159"/>
    <mergeCell ref="N159:O159"/>
    <mergeCell ref="P159:Q159"/>
    <mergeCell ref="N160:O160"/>
    <mergeCell ref="P160:Q160"/>
    <mergeCell ref="T159:U159"/>
    <mergeCell ref="V159:W159"/>
    <mergeCell ref="X159:Y159"/>
    <mergeCell ref="Z159:AA159"/>
    <mergeCell ref="R160:S160"/>
    <mergeCell ref="B160:C160"/>
    <mergeCell ref="D160:E160"/>
    <mergeCell ref="F160:G160"/>
    <mergeCell ref="H160:I160"/>
    <mergeCell ref="J160:K160"/>
    <mergeCell ref="L160:M160"/>
    <mergeCell ref="T160:U160"/>
    <mergeCell ref="V160:W160"/>
    <mergeCell ref="X160:Y160"/>
    <mergeCell ref="Z160:AA160"/>
    <mergeCell ref="AB159:AC159"/>
    <mergeCell ref="AD159:AE159"/>
    <mergeCell ref="AB160:AC160"/>
    <mergeCell ref="AD160:AE160"/>
    <mergeCell ref="V161:W161"/>
    <mergeCell ref="X161:Y161"/>
    <mergeCell ref="Z161:AA161"/>
    <mergeCell ref="R161:S161"/>
    <mergeCell ref="B162:C162"/>
    <mergeCell ref="D162:E162"/>
    <mergeCell ref="F162:G162"/>
    <mergeCell ref="H162:I162"/>
    <mergeCell ref="J162:K162"/>
    <mergeCell ref="L162:M162"/>
    <mergeCell ref="R162:S162"/>
    <mergeCell ref="T162:U162"/>
    <mergeCell ref="V162:W162"/>
    <mergeCell ref="X162:Y162"/>
    <mergeCell ref="AB161:AC161"/>
    <mergeCell ref="AD161:AE161"/>
    <mergeCell ref="Z162:AA162"/>
    <mergeCell ref="AB162:AC162"/>
    <mergeCell ref="AD162:AE162"/>
    <mergeCell ref="N163:O163"/>
    <mergeCell ref="AB163:AC163"/>
    <mergeCell ref="AD163:AE163"/>
    <mergeCell ref="P163:Q163"/>
    <mergeCell ref="R163:S163"/>
    <mergeCell ref="T163:U163"/>
    <mergeCell ref="V163:W163"/>
    <mergeCell ref="B164:C164"/>
    <mergeCell ref="D164:E164"/>
    <mergeCell ref="F164:G164"/>
    <mergeCell ref="H164:I164"/>
    <mergeCell ref="X163:Y163"/>
    <mergeCell ref="Z163:AA163"/>
    <mergeCell ref="R164:S164"/>
    <mergeCell ref="T164:U164"/>
    <mergeCell ref="V164:W164"/>
    <mergeCell ref="X164:Y164"/>
    <mergeCell ref="J164:K164"/>
    <mergeCell ref="L164:M164"/>
    <mergeCell ref="N164:O164"/>
    <mergeCell ref="P164:Q164"/>
    <mergeCell ref="Z164:AA164"/>
    <mergeCell ref="AB164:AC164"/>
    <mergeCell ref="AD164:AE164"/>
    <mergeCell ref="B165:C165"/>
    <mergeCell ref="D165:E165"/>
    <mergeCell ref="F165:G165"/>
    <mergeCell ref="H165:I165"/>
    <mergeCell ref="J165:K165"/>
    <mergeCell ref="L165:M165"/>
    <mergeCell ref="N165:O165"/>
    <mergeCell ref="AB165:AC165"/>
    <mergeCell ref="AD165:AE165"/>
    <mergeCell ref="P165:Q165"/>
    <mergeCell ref="R165:S165"/>
    <mergeCell ref="T165:U165"/>
    <mergeCell ref="V165:W165"/>
    <mergeCell ref="B166:C166"/>
    <mergeCell ref="D166:E166"/>
    <mergeCell ref="F166:G166"/>
    <mergeCell ref="H166:I166"/>
    <mergeCell ref="X165:Y165"/>
    <mergeCell ref="Z165:AA165"/>
    <mergeCell ref="R166:S166"/>
    <mergeCell ref="T166:U166"/>
    <mergeCell ref="V166:W166"/>
    <mergeCell ref="X166:Y166"/>
    <mergeCell ref="J166:K166"/>
    <mergeCell ref="L166:M166"/>
    <mergeCell ref="N166:O166"/>
    <mergeCell ref="P166:Q166"/>
    <mergeCell ref="Z166:AA166"/>
    <mergeCell ref="AB166:AC166"/>
    <mergeCell ref="AD166:AE166"/>
    <mergeCell ref="B167:C167"/>
    <mergeCell ref="D167:E167"/>
    <mergeCell ref="F167:G167"/>
    <mergeCell ref="H167:I167"/>
    <mergeCell ref="J167:K167"/>
    <mergeCell ref="L167:M167"/>
    <mergeCell ref="N167:O167"/>
    <mergeCell ref="AB167:AC167"/>
    <mergeCell ref="AD167:AE167"/>
    <mergeCell ref="P167:Q167"/>
    <mergeCell ref="R167:S167"/>
    <mergeCell ref="T167:U167"/>
    <mergeCell ref="V167:W167"/>
    <mergeCell ref="B168:C168"/>
    <mergeCell ref="D168:E168"/>
    <mergeCell ref="F168:G168"/>
    <mergeCell ref="H168:I168"/>
    <mergeCell ref="X167:Y167"/>
    <mergeCell ref="Z167:AA167"/>
    <mergeCell ref="R168:S168"/>
    <mergeCell ref="T168:U168"/>
    <mergeCell ref="V168:W168"/>
    <mergeCell ref="X168:Y168"/>
    <mergeCell ref="J168:K168"/>
    <mergeCell ref="L168:M168"/>
    <mergeCell ref="N168:O168"/>
    <mergeCell ref="P168:Q168"/>
    <mergeCell ref="Z168:AA168"/>
    <mergeCell ref="AB168:AC168"/>
    <mergeCell ref="AD168:AE168"/>
    <mergeCell ref="B169:C169"/>
    <mergeCell ref="D169:E169"/>
    <mergeCell ref="F169:G169"/>
    <mergeCell ref="H169:I169"/>
    <mergeCell ref="J169:K169"/>
    <mergeCell ref="L169:M169"/>
    <mergeCell ref="N169:O169"/>
    <mergeCell ref="AB169:AC169"/>
    <mergeCell ref="AD169:AE169"/>
    <mergeCell ref="P169:Q169"/>
    <mergeCell ref="R169:S169"/>
    <mergeCell ref="T169:U169"/>
    <mergeCell ref="V169:W169"/>
    <mergeCell ref="B170:C170"/>
    <mergeCell ref="D170:E170"/>
    <mergeCell ref="F170:G170"/>
    <mergeCell ref="H170:I170"/>
    <mergeCell ref="X169:Y169"/>
    <mergeCell ref="Z169:AA169"/>
    <mergeCell ref="R170:S170"/>
    <mergeCell ref="T170:U170"/>
    <mergeCell ref="V170:W170"/>
    <mergeCell ref="X170:Y170"/>
    <mergeCell ref="J170:K170"/>
    <mergeCell ref="L170:M170"/>
    <mergeCell ref="N170:O170"/>
    <mergeCell ref="P170:Q170"/>
    <mergeCell ref="Z170:AA170"/>
    <mergeCell ref="AB170:AC170"/>
    <mergeCell ref="AD170:AE170"/>
    <mergeCell ref="B171:C171"/>
    <mergeCell ref="D171:E171"/>
    <mergeCell ref="F171:G171"/>
    <mergeCell ref="H171:I171"/>
    <mergeCell ref="J171:K171"/>
    <mergeCell ref="L171:M171"/>
    <mergeCell ref="N171:O171"/>
    <mergeCell ref="X171:Y171"/>
    <mergeCell ref="Z171:AA171"/>
    <mergeCell ref="AB171:AC171"/>
    <mergeCell ref="AD171:AE171"/>
    <mergeCell ref="P171:Q171"/>
    <mergeCell ref="R171:S171"/>
    <mergeCell ref="T171:U171"/>
    <mergeCell ref="V171:W171"/>
    <mergeCell ref="Z172:AE172"/>
    <mergeCell ref="B173:G173"/>
    <mergeCell ref="H173:M173"/>
    <mergeCell ref="N173:S173"/>
    <mergeCell ref="T173:Y173"/>
    <mergeCell ref="Z173:AE173"/>
    <mergeCell ref="B172:G172"/>
    <mergeCell ref="H172:M172"/>
    <mergeCell ref="N172:S172"/>
    <mergeCell ref="T172:Y172"/>
    <mergeCell ref="Z174:AE174"/>
    <mergeCell ref="B175:G175"/>
    <mergeCell ref="H175:M175"/>
    <mergeCell ref="N175:S175"/>
    <mergeCell ref="T175:Y175"/>
    <mergeCell ref="Z175:AE175"/>
    <mergeCell ref="B174:G174"/>
    <mergeCell ref="H174:M174"/>
    <mergeCell ref="N174:S174"/>
    <mergeCell ref="T174:Y174"/>
    <mergeCell ref="N95:O95"/>
    <mergeCell ref="P95:Q95"/>
    <mergeCell ref="A93:A110"/>
    <mergeCell ref="B93:G93"/>
    <mergeCell ref="H93:M93"/>
    <mergeCell ref="N93:S93"/>
    <mergeCell ref="R95:S95"/>
    <mergeCell ref="R96:S96"/>
    <mergeCell ref="R97:S97"/>
    <mergeCell ref="R98:S98"/>
    <mergeCell ref="B95:C95"/>
    <mergeCell ref="D95:E95"/>
    <mergeCell ref="F95:G95"/>
    <mergeCell ref="H95:I95"/>
    <mergeCell ref="J95:K95"/>
    <mergeCell ref="L95:M95"/>
    <mergeCell ref="T95:U95"/>
    <mergeCell ref="V95:W95"/>
    <mergeCell ref="X95:Y95"/>
    <mergeCell ref="Z95:AA95"/>
    <mergeCell ref="T93:Y93"/>
    <mergeCell ref="Z93:AE93"/>
    <mergeCell ref="AB95:AC95"/>
    <mergeCell ref="AD95:AE95"/>
    <mergeCell ref="B96:C96"/>
    <mergeCell ref="D96:E96"/>
    <mergeCell ref="F96:G96"/>
    <mergeCell ref="H96:I96"/>
    <mergeCell ref="J96:K96"/>
    <mergeCell ref="L96:M96"/>
    <mergeCell ref="N96:O96"/>
    <mergeCell ref="P96:Q96"/>
    <mergeCell ref="N97:O97"/>
    <mergeCell ref="P97:Q97"/>
    <mergeCell ref="T96:U96"/>
    <mergeCell ref="V96:W96"/>
    <mergeCell ref="X96:Y96"/>
    <mergeCell ref="Z96:AA96"/>
    <mergeCell ref="B97:C97"/>
    <mergeCell ref="D97:E97"/>
    <mergeCell ref="F97:G97"/>
    <mergeCell ref="H97:I97"/>
    <mergeCell ref="J97:K97"/>
    <mergeCell ref="L97:M97"/>
    <mergeCell ref="T97:U97"/>
    <mergeCell ref="V97:W97"/>
    <mergeCell ref="X97:Y97"/>
    <mergeCell ref="Z97:AA97"/>
    <mergeCell ref="AB96:AC96"/>
    <mergeCell ref="AD96:AE96"/>
    <mergeCell ref="AB97:AC97"/>
    <mergeCell ref="AD97:AE97"/>
    <mergeCell ref="B98:C98"/>
    <mergeCell ref="D98:E98"/>
    <mergeCell ref="F98:G98"/>
    <mergeCell ref="H98:I98"/>
    <mergeCell ref="J98:K98"/>
    <mergeCell ref="L98:M98"/>
    <mergeCell ref="N98:O98"/>
    <mergeCell ref="P98:Q98"/>
    <mergeCell ref="N99:O99"/>
    <mergeCell ref="P99:Q99"/>
    <mergeCell ref="T98:U98"/>
    <mergeCell ref="V98:W98"/>
    <mergeCell ref="X98:Y98"/>
    <mergeCell ref="Z98:AA98"/>
    <mergeCell ref="R99:S99"/>
    <mergeCell ref="B99:C99"/>
    <mergeCell ref="D99:E99"/>
    <mergeCell ref="F99:G99"/>
    <mergeCell ref="H99:I99"/>
    <mergeCell ref="J99:K99"/>
    <mergeCell ref="L99:M99"/>
    <mergeCell ref="T99:U99"/>
    <mergeCell ref="V99:W99"/>
    <mergeCell ref="X99:Y99"/>
    <mergeCell ref="Z99:AA99"/>
    <mergeCell ref="AB98:AC98"/>
    <mergeCell ref="AD98:AE98"/>
    <mergeCell ref="AB99:AC99"/>
    <mergeCell ref="AD99:AE99"/>
    <mergeCell ref="B100:C100"/>
    <mergeCell ref="D100:E100"/>
    <mergeCell ref="F100:G100"/>
    <mergeCell ref="H100:I100"/>
    <mergeCell ref="J100:K100"/>
    <mergeCell ref="L100:M100"/>
    <mergeCell ref="N100:O100"/>
    <mergeCell ref="P100:Q100"/>
    <mergeCell ref="N101:O101"/>
    <mergeCell ref="P101:Q101"/>
    <mergeCell ref="T100:U100"/>
    <mergeCell ref="V100:W100"/>
    <mergeCell ref="X100:Y100"/>
    <mergeCell ref="Z100:AA100"/>
    <mergeCell ref="R100:S100"/>
    <mergeCell ref="B101:C101"/>
    <mergeCell ref="D101:E101"/>
    <mergeCell ref="F101:G101"/>
    <mergeCell ref="H101:I101"/>
    <mergeCell ref="J101:K101"/>
    <mergeCell ref="L101:M101"/>
    <mergeCell ref="R101:S101"/>
    <mergeCell ref="T101:U101"/>
    <mergeCell ref="V101:W101"/>
    <mergeCell ref="X101:Y101"/>
    <mergeCell ref="AB100:AC100"/>
    <mergeCell ref="AD100:AE100"/>
    <mergeCell ref="Z101:AA101"/>
    <mergeCell ref="AB101:AC101"/>
    <mergeCell ref="AD101:AE101"/>
    <mergeCell ref="B102:C102"/>
    <mergeCell ref="D102:E102"/>
    <mergeCell ref="F102:G102"/>
    <mergeCell ref="H102:I102"/>
    <mergeCell ref="J102:K102"/>
    <mergeCell ref="L102:M102"/>
    <mergeCell ref="N102:O102"/>
    <mergeCell ref="AB102:AC102"/>
    <mergeCell ref="AD102:AE102"/>
    <mergeCell ref="P102:Q102"/>
    <mergeCell ref="R102:S102"/>
    <mergeCell ref="T102:U102"/>
    <mergeCell ref="V102:W102"/>
    <mergeCell ref="B103:C103"/>
    <mergeCell ref="D103:E103"/>
    <mergeCell ref="F103:G103"/>
    <mergeCell ref="H103:I103"/>
    <mergeCell ref="X102:Y102"/>
    <mergeCell ref="Z102:AA102"/>
    <mergeCell ref="R103:S103"/>
    <mergeCell ref="T103:U103"/>
    <mergeCell ref="V103:W103"/>
    <mergeCell ref="X103:Y103"/>
    <mergeCell ref="J103:K103"/>
    <mergeCell ref="L103:M103"/>
    <mergeCell ref="N103:O103"/>
    <mergeCell ref="P103:Q103"/>
    <mergeCell ref="Z103:AA103"/>
    <mergeCell ref="AB103:AC103"/>
    <mergeCell ref="AD103:AE103"/>
    <mergeCell ref="B104:C104"/>
    <mergeCell ref="D104:E104"/>
    <mergeCell ref="F104:G104"/>
    <mergeCell ref="H104:I104"/>
    <mergeCell ref="J104:K104"/>
    <mergeCell ref="L104:M104"/>
    <mergeCell ref="N104:O104"/>
    <mergeCell ref="AB104:AC104"/>
    <mergeCell ref="AD104:AE104"/>
    <mergeCell ref="P104:Q104"/>
    <mergeCell ref="R104:S104"/>
    <mergeCell ref="T104:U104"/>
    <mergeCell ref="V104:W104"/>
    <mergeCell ref="B105:C105"/>
    <mergeCell ref="D105:E105"/>
    <mergeCell ref="F105:G105"/>
    <mergeCell ref="H105:I105"/>
    <mergeCell ref="X104:Y104"/>
    <mergeCell ref="Z104:AA104"/>
    <mergeCell ref="R105:S105"/>
    <mergeCell ref="T105:U105"/>
    <mergeCell ref="V105:W105"/>
    <mergeCell ref="X105:Y105"/>
    <mergeCell ref="J105:K105"/>
    <mergeCell ref="L105:M105"/>
    <mergeCell ref="N105:O105"/>
    <mergeCell ref="P105:Q105"/>
    <mergeCell ref="Z105:AA105"/>
    <mergeCell ref="AB105:AC105"/>
    <mergeCell ref="AD105:AE105"/>
    <mergeCell ref="B106:C106"/>
    <mergeCell ref="D106:E106"/>
    <mergeCell ref="F106:G106"/>
    <mergeCell ref="H106:I106"/>
    <mergeCell ref="J106:K106"/>
    <mergeCell ref="L106:M106"/>
    <mergeCell ref="N106:O106"/>
    <mergeCell ref="AB106:AC106"/>
    <mergeCell ref="AD106:AE106"/>
    <mergeCell ref="P106:Q106"/>
    <mergeCell ref="R106:S106"/>
    <mergeCell ref="T106:U106"/>
    <mergeCell ref="V106:W106"/>
    <mergeCell ref="B107:C107"/>
    <mergeCell ref="D107:E107"/>
    <mergeCell ref="F107:G107"/>
    <mergeCell ref="H107:I107"/>
    <mergeCell ref="X106:Y106"/>
    <mergeCell ref="Z106:AA106"/>
    <mergeCell ref="R107:S107"/>
    <mergeCell ref="T107:U107"/>
    <mergeCell ref="V107:W107"/>
    <mergeCell ref="X107:Y107"/>
    <mergeCell ref="J107:K107"/>
    <mergeCell ref="L107:M107"/>
    <mergeCell ref="N107:O107"/>
    <mergeCell ref="P107:Q107"/>
    <mergeCell ref="Z107:AA107"/>
    <mergeCell ref="AB107:AC107"/>
    <mergeCell ref="AD107:AE107"/>
    <mergeCell ref="B108:C108"/>
    <mergeCell ref="D108:E108"/>
    <mergeCell ref="F108:G108"/>
    <mergeCell ref="H108:I108"/>
    <mergeCell ref="J108:K108"/>
    <mergeCell ref="L108:M108"/>
    <mergeCell ref="N108:O108"/>
    <mergeCell ref="AB108:AC108"/>
    <mergeCell ref="AD108:AE108"/>
    <mergeCell ref="P108:Q108"/>
    <mergeCell ref="R108:S108"/>
    <mergeCell ref="T108:U108"/>
    <mergeCell ref="V108:W108"/>
    <mergeCell ref="B109:C109"/>
    <mergeCell ref="D109:E109"/>
    <mergeCell ref="F109:G109"/>
    <mergeCell ref="H109:I109"/>
    <mergeCell ref="X108:Y108"/>
    <mergeCell ref="Z108:AA108"/>
    <mergeCell ref="R109:S109"/>
    <mergeCell ref="T109:U109"/>
    <mergeCell ref="V109:W109"/>
    <mergeCell ref="X109:Y109"/>
    <mergeCell ref="J109:K109"/>
    <mergeCell ref="L109:M109"/>
    <mergeCell ref="N109:O109"/>
    <mergeCell ref="P109:Q109"/>
    <mergeCell ref="Z109:AA109"/>
    <mergeCell ref="AB109:AC109"/>
    <mergeCell ref="AD109:AE109"/>
    <mergeCell ref="B110:C110"/>
    <mergeCell ref="D110:E110"/>
    <mergeCell ref="F110:G110"/>
    <mergeCell ref="H110:I110"/>
    <mergeCell ref="J110:K110"/>
    <mergeCell ref="L110:M110"/>
    <mergeCell ref="N110:O110"/>
    <mergeCell ref="AB110:AC110"/>
    <mergeCell ref="AD110:AE110"/>
    <mergeCell ref="P110:Q110"/>
    <mergeCell ref="R110:S110"/>
    <mergeCell ref="T110:U110"/>
    <mergeCell ref="V110:W110"/>
    <mergeCell ref="B111:G111"/>
    <mergeCell ref="H111:M111"/>
    <mergeCell ref="N111:S111"/>
    <mergeCell ref="T111:Y111"/>
    <mergeCell ref="X110:Y110"/>
    <mergeCell ref="Z110:AA110"/>
    <mergeCell ref="B114:G114"/>
    <mergeCell ref="H114:M114"/>
    <mergeCell ref="N114:S114"/>
    <mergeCell ref="T114:Y114"/>
    <mergeCell ref="Z111:AE111"/>
    <mergeCell ref="B112:G112"/>
    <mergeCell ref="H112:M112"/>
    <mergeCell ref="N112:S112"/>
    <mergeCell ref="T112:Y112"/>
    <mergeCell ref="Z112:AE112"/>
    <mergeCell ref="B117:G117"/>
    <mergeCell ref="H117:M117"/>
    <mergeCell ref="N117:S117"/>
    <mergeCell ref="T117:Y117"/>
    <mergeCell ref="Z114:AE114"/>
    <mergeCell ref="B116:G116"/>
    <mergeCell ref="H116:M116"/>
    <mergeCell ref="N116:S116"/>
    <mergeCell ref="T116:Y116"/>
    <mergeCell ref="Z116:AE116"/>
    <mergeCell ref="Z117:AE117"/>
    <mergeCell ref="B115:D115"/>
    <mergeCell ref="F115:G115"/>
    <mergeCell ref="H115:J115"/>
    <mergeCell ref="L115:M115"/>
    <mergeCell ref="N115:P115"/>
    <mergeCell ref="R115:S115"/>
    <mergeCell ref="T115:V115"/>
    <mergeCell ref="X115:Y115"/>
    <mergeCell ref="Z115:AB115"/>
    <mergeCell ref="AD115:AE115"/>
    <mergeCell ref="B113:G113"/>
    <mergeCell ref="A43:A60"/>
    <mergeCell ref="B43:G43"/>
    <mergeCell ref="H43:M43"/>
    <mergeCell ref="N43:S43"/>
    <mergeCell ref="T43:Y43"/>
    <mergeCell ref="Z43:AE43"/>
    <mergeCell ref="B45:C45"/>
    <mergeCell ref="D45:E45"/>
    <mergeCell ref="F45:G45"/>
    <mergeCell ref="AB45:AC45"/>
    <mergeCell ref="AD45:AE45"/>
    <mergeCell ref="P45:Q45"/>
    <mergeCell ref="R45:S45"/>
    <mergeCell ref="T45:U45"/>
    <mergeCell ref="V45:W45"/>
    <mergeCell ref="B46:C46"/>
    <mergeCell ref="D46:E46"/>
    <mergeCell ref="F46:G46"/>
    <mergeCell ref="H46:I46"/>
    <mergeCell ref="X45:Y45"/>
    <mergeCell ref="Z45:AA45"/>
    <mergeCell ref="H45:I45"/>
    <mergeCell ref="J45:K45"/>
    <mergeCell ref="L45:M45"/>
    <mergeCell ref="N45:O45"/>
    <mergeCell ref="R46:S46"/>
    <mergeCell ref="T46:U46"/>
    <mergeCell ref="V46:W46"/>
    <mergeCell ref="X46:Y46"/>
    <mergeCell ref="J46:K46"/>
    <mergeCell ref="L46:M46"/>
    <mergeCell ref="N46:O46"/>
    <mergeCell ref="Z46:AA46"/>
    <mergeCell ref="AB46:AC46"/>
    <mergeCell ref="AD46:AE46"/>
    <mergeCell ref="B47:C47"/>
    <mergeCell ref="D47:E47"/>
    <mergeCell ref="F47:G47"/>
    <mergeCell ref="H47:I47"/>
    <mergeCell ref="J47:K47"/>
    <mergeCell ref="L47:M47"/>
    <mergeCell ref="N47:O47"/>
    <mergeCell ref="AB47:AC47"/>
    <mergeCell ref="AD47:AE47"/>
    <mergeCell ref="P47:Q47"/>
    <mergeCell ref="R47:S47"/>
    <mergeCell ref="T47:U47"/>
    <mergeCell ref="V47:W47"/>
    <mergeCell ref="B48:C48"/>
    <mergeCell ref="D48:E48"/>
    <mergeCell ref="F48:G48"/>
    <mergeCell ref="H48:I48"/>
    <mergeCell ref="X47:Y47"/>
    <mergeCell ref="Z47:AA47"/>
    <mergeCell ref="R48:S48"/>
    <mergeCell ref="T48:U48"/>
    <mergeCell ref="V48:W48"/>
    <mergeCell ref="X48:Y48"/>
    <mergeCell ref="J48:K48"/>
    <mergeCell ref="L48:M48"/>
    <mergeCell ref="N48:O48"/>
    <mergeCell ref="P48:Q48"/>
    <mergeCell ref="Z48:AA48"/>
    <mergeCell ref="AB48:AC48"/>
    <mergeCell ref="AD48:AE48"/>
    <mergeCell ref="B49:C49"/>
    <mergeCell ref="D49:E49"/>
    <mergeCell ref="F49:G49"/>
    <mergeCell ref="H49:I49"/>
    <mergeCell ref="J49:K49"/>
    <mergeCell ref="L49:M49"/>
    <mergeCell ref="N49:O49"/>
    <mergeCell ref="AB49:AC49"/>
    <mergeCell ref="AD49:AE49"/>
    <mergeCell ref="P49:Q49"/>
    <mergeCell ref="R49:S49"/>
    <mergeCell ref="T49:U49"/>
    <mergeCell ref="V49:W49"/>
    <mergeCell ref="B50:C50"/>
    <mergeCell ref="D50:E50"/>
    <mergeCell ref="F50:G50"/>
    <mergeCell ref="H50:I50"/>
    <mergeCell ref="X49:Y49"/>
    <mergeCell ref="Z49:AA49"/>
    <mergeCell ref="R50:S50"/>
    <mergeCell ref="T50:U50"/>
    <mergeCell ref="V50:W50"/>
    <mergeCell ref="X50:Y50"/>
    <mergeCell ref="J50:K50"/>
    <mergeCell ref="L50:M50"/>
    <mergeCell ref="N50:O50"/>
    <mergeCell ref="P50:Q50"/>
    <mergeCell ref="Z50:AA50"/>
    <mergeCell ref="AB50:AC50"/>
    <mergeCell ref="AD50:AE50"/>
    <mergeCell ref="B51:C51"/>
    <mergeCell ref="D51:E51"/>
    <mergeCell ref="F51:G51"/>
    <mergeCell ref="H51:I51"/>
    <mergeCell ref="J51:K51"/>
    <mergeCell ref="L51:M51"/>
    <mergeCell ref="N51:O51"/>
    <mergeCell ref="AB51:AC51"/>
    <mergeCell ref="AD51:AE51"/>
    <mergeCell ref="P51:Q51"/>
    <mergeCell ref="R51:S51"/>
    <mergeCell ref="T51:U51"/>
    <mergeCell ref="V51:W51"/>
    <mergeCell ref="B52:C52"/>
    <mergeCell ref="D52:E52"/>
    <mergeCell ref="F52:G52"/>
    <mergeCell ref="H52:I52"/>
    <mergeCell ref="X51:Y51"/>
    <mergeCell ref="Z51:AA51"/>
    <mergeCell ref="R52:S52"/>
    <mergeCell ref="T52:U52"/>
    <mergeCell ref="V52:W52"/>
    <mergeCell ref="X52:Y52"/>
    <mergeCell ref="J52:K52"/>
    <mergeCell ref="L52:M52"/>
    <mergeCell ref="N52:O52"/>
    <mergeCell ref="P52:Q52"/>
    <mergeCell ref="Z52:AA52"/>
    <mergeCell ref="AB52:AC52"/>
    <mergeCell ref="AD52:AE52"/>
    <mergeCell ref="B53:C53"/>
    <mergeCell ref="D53:E53"/>
    <mergeCell ref="F53:G53"/>
    <mergeCell ref="H53:I53"/>
    <mergeCell ref="J53:K53"/>
    <mergeCell ref="L53:M53"/>
    <mergeCell ref="N53:O53"/>
    <mergeCell ref="AB53:AC53"/>
    <mergeCell ref="AD53:AE53"/>
    <mergeCell ref="P53:Q53"/>
    <mergeCell ref="R53:S53"/>
    <mergeCell ref="T53:U53"/>
    <mergeCell ref="V53:W53"/>
    <mergeCell ref="B54:C54"/>
    <mergeCell ref="D54:E54"/>
    <mergeCell ref="F54:G54"/>
    <mergeCell ref="H54:I54"/>
    <mergeCell ref="X53:Y53"/>
    <mergeCell ref="Z53:AA53"/>
    <mergeCell ref="R54:S54"/>
    <mergeCell ref="T54:U54"/>
    <mergeCell ref="V54:W54"/>
    <mergeCell ref="X54:Y54"/>
    <mergeCell ref="J54:K54"/>
    <mergeCell ref="L54:M54"/>
    <mergeCell ref="N54:O54"/>
    <mergeCell ref="P54:Q54"/>
    <mergeCell ref="Z54:AA54"/>
    <mergeCell ref="AB54:AC54"/>
    <mergeCell ref="AD54:AE54"/>
    <mergeCell ref="Z60:AA60"/>
    <mergeCell ref="B57:C57"/>
    <mergeCell ref="B55:C55"/>
    <mergeCell ref="D55:E55"/>
    <mergeCell ref="F55:G55"/>
    <mergeCell ref="H55:I55"/>
    <mergeCell ref="J55:K55"/>
    <mergeCell ref="L55:M55"/>
    <mergeCell ref="N55:O55"/>
    <mergeCell ref="AB55:AC55"/>
    <mergeCell ref="AD55:AE55"/>
    <mergeCell ref="P55:Q55"/>
    <mergeCell ref="R55:S55"/>
    <mergeCell ref="T55:U55"/>
    <mergeCell ref="V55:W55"/>
    <mergeCell ref="B56:C56"/>
    <mergeCell ref="D56:E56"/>
    <mergeCell ref="F56:G56"/>
    <mergeCell ref="H56:I56"/>
    <mergeCell ref="X55:Y55"/>
    <mergeCell ref="Z55:AA55"/>
    <mergeCell ref="R56:S56"/>
    <mergeCell ref="T56:U56"/>
    <mergeCell ref="V56:W56"/>
    <mergeCell ref="X56:Y56"/>
    <mergeCell ref="J56:K56"/>
    <mergeCell ref="L56:M56"/>
    <mergeCell ref="N56:O56"/>
    <mergeCell ref="P56:Q56"/>
    <mergeCell ref="Z56:AA56"/>
    <mergeCell ref="AB56:AC56"/>
    <mergeCell ref="AD56:AE56"/>
    <mergeCell ref="D57:E57"/>
    <mergeCell ref="F57:G57"/>
    <mergeCell ref="H57:I57"/>
    <mergeCell ref="J57:K57"/>
    <mergeCell ref="L57:M57"/>
    <mergeCell ref="N57:O57"/>
    <mergeCell ref="AB57:AC57"/>
    <mergeCell ref="AD57:AE57"/>
    <mergeCell ref="P57:Q57"/>
    <mergeCell ref="R57:S57"/>
    <mergeCell ref="T57:U57"/>
    <mergeCell ref="V57:W57"/>
    <mergeCell ref="B58:C58"/>
    <mergeCell ref="D58:E58"/>
    <mergeCell ref="F58:G58"/>
    <mergeCell ref="H58:I58"/>
    <mergeCell ref="X57:Y57"/>
    <mergeCell ref="Z57:AA57"/>
    <mergeCell ref="R58:S58"/>
    <mergeCell ref="T58:U58"/>
    <mergeCell ref="V58:W58"/>
    <mergeCell ref="X58:Y58"/>
    <mergeCell ref="J58:K58"/>
    <mergeCell ref="L58:M58"/>
    <mergeCell ref="N58:O58"/>
    <mergeCell ref="P58:Q58"/>
    <mergeCell ref="Z58:AA58"/>
    <mergeCell ref="AB58:AC58"/>
    <mergeCell ref="AD58:AE58"/>
    <mergeCell ref="AB60:AC60"/>
    <mergeCell ref="AD60:AE60"/>
    <mergeCell ref="B61:G61"/>
    <mergeCell ref="H61:M61"/>
    <mergeCell ref="B63:D63"/>
    <mergeCell ref="F63:G63"/>
    <mergeCell ref="H63:J63"/>
    <mergeCell ref="L63:M63"/>
    <mergeCell ref="N63:P63"/>
    <mergeCell ref="B59:C59"/>
    <mergeCell ref="D59:E59"/>
    <mergeCell ref="F59:G59"/>
    <mergeCell ref="H59:I59"/>
    <mergeCell ref="J59:K59"/>
    <mergeCell ref="L59:M59"/>
    <mergeCell ref="N59:O59"/>
    <mergeCell ref="X59:Y59"/>
    <mergeCell ref="Z59:AA59"/>
    <mergeCell ref="AB59:AC59"/>
    <mergeCell ref="AD59:AE59"/>
    <mergeCell ref="P59:Q59"/>
    <mergeCell ref="R59:S59"/>
    <mergeCell ref="T59:U59"/>
    <mergeCell ref="V59:W59"/>
    <mergeCell ref="J60:K60"/>
    <mergeCell ref="L60:M60"/>
    <mergeCell ref="N60:O60"/>
    <mergeCell ref="P60:Q60"/>
    <mergeCell ref="B60:C60"/>
    <mergeCell ref="D60:E60"/>
    <mergeCell ref="F60:G60"/>
    <mergeCell ref="H60:I60"/>
    <mergeCell ref="T86:Y86"/>
    <mergeCell ref="Z86:AE86"/>
    <mergeCell ref="B39:D39"/>
    <mergeCell ref="F39:G39"/>
    <mergeCell ref="H39:J39"/>
    <mergeCell ref="L39:M39"/>
    <mergeCell ref="N39:P39"/>
    <mergeCell ref="R39:S39"/>
    <mergeCell ref="T39:V39"/>
    <mergeCell ref="X39:Y39"/>
    <mergeCell ref="Z39:AB39"/>
    <mergeCell ref="AD39:AE39"/>
    <mergeCell ref="Z65:AE65"/>
    <mergeCell ref="B65:G65"/>
    <mergeCell ref="H65:M65"/>
    <mergeCell ref="N65:S65"/>
    <mergeCell ref="T65:Y65"/>
    <mergeCell ref="Z62:AE62"/>
    <mergeCell ref="B64:G64"/>
    <mergeCell ref="H64:M64"/>
    <mergeCell ref="N64:S64"/>
    <mergeCell ref="T64:Y64"/>
    <mergeCell ref="N61:S61"/>
    <mergeCell ref="T61:Y61"/>
    <mergeCell ref="Z61:AE61"/>
    <mergeCell ref="R60:S60"/>
    <mergeCell ref="T60:U60"/>
    <mergeCell ref="V60:W60"/>
    <mergeCell ref="X60:Y60"/>
    <mergeCell ref="Z64:AE64"/>
    <mergeCell ref="B62:G62"/>
    <mergeCell ref="H62:M62"/>
    <mergeCell ref="H113:M113"/>
    <mergeCell ref="N113:S113"/>
    <mergeCell ref="T113:Y113"/>
    <mergeCell ref="Z113:AE113"/>
    <mergeCell ref="B208:G208"/>
    <mergeCell ref="H208:M208"/>
    <mergeCell ref="N208:S208"/>
    <mergeCell ref="T208:Y208"/>
    <mergeCell ref="Z208:AE208"/>
    <mergeCell ref="B243:G243"/>
    <mergeCell ref="H243:M243"/>
    <mergeCell ref="N243:S243"/>
    <mergeCell ref="T243:Y243"/>
    <mergeCell ref="Z243:AE243"/>
    <mergeCell ref="R63:S63"/>
    <mergeCell ref="T63:V63"/>
    <mergeCell ref="X63:Y63"/>
    <mergeCell ref="Z63:AB63"/>
    <mergeCell ref="AD63:AE63"/>
    <mergeCell ref="B89:D89"/>
    <mergeCell ref="F89:G89"/>
    <mergeCell ref="H89:J89"/>
    <mergeCell ref="L89:M89"/>
    <mergeCell ref="N89:P89"/>
    <mergeCell ref="R89:S89"/>
    <mergeCell ref="T89:V89"/>
    <mergeCell ref="X89:Y89"/>
    <mergeCell ref="Z89:AB89"/>
    <mergeCell ref="AD89:AE89"/>
    <mergeCell ref="B86:G86"/>
    <mergeCell ref="H86:M86"/>
    <mergeCell ref="N86:S86"/>
  </mergeCells>
  <phoneticPr fontId="8"/>
  <dataValidations count="7">
    <dataValidation type="list" allowBlank="1" showInputMessage="1" showErrorMessage="1" sqref="B86:AE87 B112:AE113 B207:AE208 B243:AE244" xr:uid="{00000000-0002-0000-0600-000000000000}">
      <formula1>断熱名称</formula1>
    </dataValidation>
    <dataValidation type="list" allowBlank="1" showInputMessage="1" showErrorMessage="1" error="調書シートで追加（又は修正）した後、再度選択してくだい。" sqref="B138:AE138 B172:AE172" xr:uid="{00000000-0002-0000-0600-000001000000}">
      <formula1>外周壁名称</formula1>
    </dataValidation>
    <dataValidation type="list" allowBlank="1" showInputMessage="1" showErrorMessage="1" error="調書シートで追加（又は修正）した後、再度選択してくだい。" sqref="B206:AE206 B242:AE242" xr:uid="{00000000-0002-0000-0600-000002000000}">
      <formula1>外部名称</formula1>
    </dataValidation>
    <dataValidation type="list" allowBlank="1" showInputMessage="1" showErrorMessage="1" error="調書シートで追加（又は修正）した後、再度選択してくだい。" sqref="B37:AE37 B61:AE61" xr:uid="{00000000-0002-0000-0600-000003000000}">
      <formula1>屋根構造名称</formula1>
    </dataValidation>
    <dataValidation type="list" allowBlank="1" showInputMessage="1" showErrorMessage="1" error="調書シートで追加（又は修正）した後、再度選択してくだい。" sqref="B85:AE85 B111:AE111" xr:uid="{00000000-0002-0000-0600-000004000000}">
      <formula1>屋根名称</formula1>
    </dataValidation>
    <dataValidation imeMode="off" allowBlank="1" showInputMessage="1" showErrorMessage="1" sqref="B21:E36 H21:K36 N21:Q36 T21:W36 Z21:AC36 B40:AE40 B45:E60 H45:K60 N45:Q60 T45:W60 Z45:AC60 B64:AE64 B69:E84 H69:K84 N69:Q84 T69:W84 Z69:AC84 B90:AE90 B95:E110 H95:K110 N95:Q110 T95:W110 Z95:AC110 B116:AE116 B122:E137 H122:K137 N122:Q137 T122:W137 Z122:AC137 B174:AE174 B156:E171 H156:K171 N156:Q171 T156:W171 Z156:AC171 B190:E205 H190:K205 N190:Q205 T190:W205 Z190:AC205 B246:AE246 B226:E241 H226:K241 N226:Q241 T226:W241 Z226:AC241 B210:AE210 B140:AE140" xr:uid="{00000000-0002-0000-0600-000005000000}"/>
    <dataValidation type="list" allowBlank="1" showInputMessage="1" sqref="B144:D149 H144:J149 N144:P149 T144:V149 Z144:AB149 B214:D219 H214:J219 N214:P219 T214:V219 Z214:AB219 B178:D183 H178:J183 N178:P183 T178:V183 Z178:AB183 B250:D255 H250:J255 N250:P255 T250:V255 Z250:AB255" xr:uid="{00000000-0002-0000-0600-000006000000}">
      <formula1>外部開口</formula1>
    </dataValidation>
  </dataValidations>
  <pageMargins left="0.75" right="0.2" top="0.56000000000000005" bottom="0.41" header="0.22" footer="0.19"/>
  <pageSetup paperSize="9" scale="28" orientation="portrait" r:id="rId2"/>
  <headerFooter alignWithMargins="0">
    <oddFooter>&amp;R&amp;"ＭＳ ゴシック,標準"&amp;D　&amp;T</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indexed="10"/>
    <pageSetUpPr fitToPage="1"/>
  </sheetPr>
  <dimension ref="A1:AD226"/>
  <sheetViews>
    <sheetView showGridLines="0" zoomScaleNormal="100" workbookViewId="0">
      <pane ySplit="2" topLeftCell="A3" activePane="bottomLeft" state="frozen"/>
      <selection activeCell="A2" sqref="A2:F2"/>
      <selection pane="bottomLeft" activeCell="AF9" sqref="AF9"/>
    </sheetView>
  </sheetViews>
  <sheetFormatPr defaultColWidth="9.6640625" defaultRowHeight="13.5" customHeight="1"/>
  <cols>
    <col min="1" max="27" width="9.6640625" style="198"/>
    <col min="28" max="28" width="5.6640625" bestFit="1" customWidth="1"/>
    <col min="29" max="16384" width="9.6640625" style="198"/>
  </cols>
  <sheetData>
    <row r="1" spans="1:29" ht="13.5" customHeight="1">
      <c r="AB1" s="198"/>
    </row>
    <row r="2" spans="1:29" ht="13.5" customHeight="1">
      <c r="A2" s="197" t="s">
        <v>5456</v>
      </c>
      <c r="AB2" s="2201" t="s">
        <v>5812</v>
      </c>
      <c r="AC2" s="198" t="b">
        <v>1</v>
      </c>
    </row>
    <row r="3" spans="1:29" ht="13.5" customHeight="1" thickBot="1">
      <c r="A3" s="197"/>
      <c r="AB3" s="2200"/>
      <c r="AC3" s="198" t="b">
        <v>1</v>
      </c>
    </row>
    <row r="4" spans="1:29" ht="13.5" customHeight="1" thickBot="1">
      <c r="A4" s="3117" t="s">
        <v>908</v>
      </c>
      <c r="B4" s="3118"/>
      <c r="C4" s="2254">
        <f>SUMIF(A26:AA26,"*",A31:AA31)+SUMIF(A64:AA64,"*",A69:AA69)-SUMIF(A26:AA26,"無し",A31:AA31)-SUMIF(A64:AA64,"無し",A69:AA69)</f>
        <v>0</v>
      </c>
      <c r="D4" s="3119"/>
      <c r="E4" s="2"/>
      <c r="AB4" s="2200"/>
      <c r="AC4" s="198" t="b">
        <v>1</v>
      </c>
    </row>
    <row r="5" spans="1:29" ht="13.5" customHeight="1">
      <c r="A5" s="199"/>
      <c r="B5" s="199"/>
      <c r="C5" s="2"/>
      <c r="D5" s="2"/>
      <c r="E5" s="2"/>
      <c r="AB5" s="2200"/>
      <c r="AC5" s="198" t="b">
        <f>AC31</f>
        <v>0</v>
      </c>
    </row>
    <row r="6" spans="1:29" ht="13.5" customHeight="1">
      <c r="A6" s="3122" t="s">
        <v>5551</v>
      </c>
      <c r="B6" s="3125"/>
      <c r="C6" s="3125"/>
      <c r="D6" s="3125"/>
      <c r="E6" s="3125"/>
      <c r="F6" s="3126"/>
      <c r="H6" s="3122" t="s">
        <v>5552</v>
      </c>
      <c r="I6" s="3123"/>
      <c r="J6" s="3123"/>
      <c r="K6" s="3123"/>
      <c r="L6" s="3123"/>
      <c r="M6" s="3124"/>
      <c r="O6" s="3122" t="s">
        <v>5553</v>
      </c>
      <c r="P6" s="3123"/>
      <c r="Q6" s="3123"/>
      <c r="R6" s="3123"/>
      <c r="S6" s="3123"/>
      <c r="T6" s="3124"/>
      <c r="V6" s="3122" t="s">
        <v>5554</v>
      </c>
      <c r="W6" s="3123"/>
      <c r="X6" s="3123"/>
      <c r="Y6" s="3123"/>
      <c r="Z6" s="3123"/>
      <c r="AA6" s="3124"/>
      <c r="AB6" s="2200"/>
      <c r="AC6" s="198" t="b">
        <f>AC31</f>
        <v>0</v>
      </c>
    </row>
    <row r="7" spans="1:29" ht="13.5" customHeight="1">
      <c r="A7" s="1741" t="s">
        <v>909</v>
      </c>
      <c r="B7" s="1741" t="s">
        <v>910</v>
      </c>
      <c r="C7" s="1741" t="s">
        <v>923</v>
      </c>
      <c r="D7" s="1741" t="s">
        <v>911</v>
      </c>
      <c r="E7" s="1741" t="s">
        <v>910</v>
      </c>
      <c r="F7" s="1741" t="s">
        <v>923</v>
      </c>
      <c r="H7" s="1741" t="s">
        <v>909</v>
      </c>
      <c r="I7" s="1741" t="s">
        <v>910</v>
      </c>
      <c r="J7" s="1741" t="s">
        <v>923</v>
      </c>
      <c r="K7" s="1741" t="s">
        <v>911</v>
      </c>
      <c r="L7" s="1741" t="s">
        <v>910</v>
      </c>
      <c r="M7" s="1741" t="s">
        <v>923</v>
      </c>
      <c r="O7" s="1741" t="s">
        <v>909</v>
      </c>
      <c r="P7" s="1741" t="s">
        <v>910</v>
      </c>
      <c r="Q7" s="1741" t="s">
        <v>923</v>
      </c>
      <c r="R7" s="1741" t="s">
        <v>911</v>
      </c>
      <c r="S7" s="1741" t="s">
        <v>910</v>
      </c>
      <c r="T7" s="1741" t="s">
        <v>923</v>
      </c>
      <c r="V7" s="1741" t="s">
        <v>909</v>
      </c>
      <c r="W7" s="1741" t="s">
        <v>910</v>
      </c>
      <c r="X7" s="1741" t="s">
        <v>923</v>
      </c>
      <c r="Y7" s="1741" t="s">
        <v>911</v>
      </c>
      <c r="Z7" s="1741" t="s">
        <v>910</v>
      </c>
      <c r="AA7" s="1741" t="s">
        <v>923</v>
      </c>
      <c r="AB7" s="2200"/>
      <c r="AC7" s="198" t="b">
        <f>AC31</f>
        <v>0</v>
      </c>
    </row>
    <row r="8" spans="1:29" ht="13.5" customHeight="1">
      <c r="A8" s="1992"/>
      <c r="B8" s="1992"/>
      <c r="C8" s="200">
        <f t="shared" ref="C8:C25" si="0">ROUNDDOWN(A8*B8,2)</f>
        <v>0</v>
      </c>
      <c r="D8" s="1992"/>
      <c r="E8" s="1992"/>
      <c r="F8" s="200">
        <f t="shared" ref="F8:F25" si="1">ROUNDDOWN(D8*E8,2)</f>
        <v>0</v>
      </c>
      <c r="H8" s="1992"/>
      <c r="I8" s="1992"/>
      <c r="J8" s="200">
        <f t="shared" ref="J8:J25" si="2">ROUNDDOWN(H8*I8,2)</f>
        <v>0</v>
      </c>
      <c r="K8" s="1992"/>
      <c r="L8" s="1992"/>
      <c r="M8" s="200">
        <f t="shared" ref="M8:M25" si="3">ROUNDDOWN(K8*L8,2)</f>
        <v>0</v>
      </c>
      <c r="O8" s="1992"/>
      <c r="P8" s="1992"/>
      <c r="Q8" s="200">
        <f t="shared" ref="Q8:Q25" si="4">ROUNDDOWN(O8*P8,2)</f>
        <v>0</v>
      </c>
      <c r="R8" s="1992"/>
      <c r="S8" s="1992"/>
      <c r="T8" s="200">
        <f t="shared" ref="T8:T25" si="5">ROUNDDOWN(R8*S8,2)</f>
        <v>0</v>
      </c>
      <c r="V8" s="1992"/>
      <c r="W8" s="1992"/>
      <c r="X8" s="200">
        <f t="shared" ref="X8:X25" si="6">ROUNDDOWN(V8*W8,2)</f>
        <v>0</v>
      </c>
      <c r="Y8" s="1992"/>
      <c r="Z8" s="1992"/>
      <c r="AA8" s="200">
        <f t="shared" ref="AA8:AA25" si="7">ROUNDDOWN(Y8*Z8,2)</f>
        <v>0</v>
      </c>
      <c r="AB8" s="2200"/>
      <c r="AC8" s="201" t="b">
        <f t="shared" ref="AC8:AC25" si="8">COUNT(A8:AA8)-8&lt;&gt;0</f>
        <v>0</v>
      </c>
    </row>
    <row r="9" spans="1:29" ht="13.5" customHeight="1">
      <c r="A9" s="1993"/>
      <c r="B9" s="1993"/>
      <c r="C9" s="202">
        <f t="shared" si="0"/>
        <v>0</v>
      </c>
      <c r="D9" s="1993"/>
      <c r="E9" s="1993"/>
      <c r="F9" s="202">
        <f t="shared" si="1"/>
        <v>0</v>
      </c>
      <c r="H9" s="1993"/>
      <c r="I9" s="1993"/>
      <c r="J9" s="202">
        <f t="shared" si="2"/>
        <v>0</v>
      </c>
      <c r="K9" s="1993"/>
      <c r="L9" s="1993"/>
      <c r="M9" s="202">
        <f t="shared" si="3"/>
        <v>0</v>
      </c>
      <c r="O9" s="1993"/>
      <c r="P9" s="1993"/>
      <c r="Q9" s="202">
        <f t="shared" si="4"/>
        <v>0</v>
      </c>
      <c r="R9" s="1993"/>
      <c r="S9" s="1993"/>
      <c r="T9" s="202">
        <f t="shared" si="5"/>
        <v>0</v>
      </c>
      <c r="V9" s="1993"/>
      <c r="W9" s="1993"/>
      <c r="X9" s="202">
        <f t="shared" si="6"/>
        <v>0</v>
      </c>
      <c r="Y9" s="1993"/>
      <c r="Z9" s="1993"/>
      <c r="AA9" s="202">
        <f t="shared" si="7"/>
        <v>0</v>
      </c>
      <c r="AB9" s="2200"/>
      <c r="AC9" s="201" t="b">
        <f t="shared" si="8"/>
        <v>0</v>
      </c>
    </row>
    <row r="10" spans="1:29" ht="13.5" customHeight="1">
      <c r="A10" s="1993"/>
      <c r="B10" s="1993"/>
      <c r="C10" s="202">
        <f t="shared" si="0"/>
        <v>0</v>
      </c>
      <c r="D10" s="1993"/>
      <c r="E10" s="1993"/>
      <c r="F10" s="202">
        <f t="shared" si="1"/>
        <v>0</v>
      </c>
      <c r="H10" s="1993"/>
      <c r="I10" s="1993"/>
      <c r="J10" s="202">
        <f t="shared" si="2"/>
        <v>0</v>
      </c>
      <c r="K10" s="1993"/>
      <c r="L10" s="1993"/>
      <c r="M10" s="202">
        <f t="shared" si="3"/>
        <v>0</v>
      </c>
      <c r="O10" s="1993"/>
      <c r="P10" s="1993"/>
      <c r="Q10" s="202">
        <f t="shared" si="4"/>
        <v>0</v>
      </c>
      <c r="R10" s="1993"/>
      <c r="S10" s="1993"/>
      <c r="T10" s="202">
        <f t="shared" si="5"/>
        <v>0</v>
      </c>
      <c r="V10" s="1993"/>
      <c r="W10" s="1993"/>
      <c r="X10" s="202">
        <f t="shared" si="6"/>
        <v>0</v>
      </c>
      <c r="Y10" s="1993"/>
      <c r="Z10" s="1993"/>
      <c r="AA10" s="202">
        <f t="shared" si="7"/>
        <v>0</v>
      </c>
      <c r="AB10" s="2200"/>
      <c r="AC10" s="201" t="b">
        <f t="shared" si="8"/>
        <v>0</v>
      </c>
    </row>
    <row r="11" spans="1:29" ht="13.5" customHeight="1">
      <c r="A11" s="1993"/>
      <c r="B11" s="1993"/>
      <c r="C11" s="202">
        <f t="shared" si="0"/>
        <v>0</v>
      </c>
      <c r="D11" s="1993"/>
      <c r="E11" s="1993"/>
      <c r="F11" s="202">
        <f t="shared" si="1"/>
        <v>0</v>
      </c>
      <c r="H11" s="1993"/>
      <c r="I11" s="1993"/>
      <c r="J11" s="202">
        <f t="shared" si="2"/>
        <v>0</v>
      </c>
      <c r="K11" s="1993"/>
      <c r="L11" s="1993"/>
      <c r="M11" s="202">
        <f t="shared" si="3"/>
        <v>0</v>
      </c>
      <c r="O11" s="1993"/>
      <c r="P11" s="1993"/>
      <c r="Q11" s="202">
        <f t="shared" si="4"/>
        <v>0</v>
      </c>
      <c r="R11" s="1993"/>
      <c r="S11" s="1993"/>
      <c r="T11" s="202">
        <f t="shared" si="5"/>
        <v>0</v>
      </c>
      <c r="V11" s="1993"/>
      <c r="W11" s="1993"/>
      <c r="X11" s="202">
        <f t="shared" si="6"/>
        <v>0</v>
      </c>
      <c r="Y11" s="1993"/>
      <c r="Z11" s="1993"/>
      <c r="AA11" s="202">
        <f t="shared" si="7"/>
        <v>0</v>
      </c>
      <c r="AB11" s="2200"/>
      <c r="AC11" s="201" t="b">
        <f t="shared" si="8"/>
        <v>0</v>
      </c>
    </row>
    <row r="12" spans="1:29" ht="13.5" customHeight="1">
      <c r="A12" s="1993"/>
      <c r="B12" s="1993"/>
      <c r="C12" s="202">
        <f t="shared" si="0"/>
        <v>0</v>
      </c>
      <c r="D12" s="1993"/>
      <c r="E12" s="1993"/>
      <c r="F12" s="202">
        <f t="shared" si="1"/>
        <v>0</v>
      </c>
      <c r="H12" s="1993"/>
      <c r="I12" s="1993"/>
      <c r="J12" s="202">
        <f t="shared" si="2"/>
        <v>0</v>
      </c>
      <c r="K12" s="1993"/>
      <c r="L12" s="1993"/>
      <c r="M12" s="202">
        <f t="shared" si="3"/>
        <v>0</v>
      </c>
      <c r="O12" s="1993"/>
      <c r="P12" s="1993"/>
      <c r="Q12" s="202">
        <f t="shared" si="4"/>
        <v>0</v>
      </c>
      <c r="R12" s="1993"/>
      <c r="S12" s="1993"/>
      <c r="T12" s="202">
        <f t="shared" si="5"/>
        <v>0</v>
      </c>
      <c r="V12" s="1993"/>
      <c r="W12" s="1993"/>
      <c r="X12" s="202">
        <f t="shared" si="6"/>
        <v>0</v>
      </c>
      <c r="Y12" s="1993"/>
      <c r="Z12" s="1993"/>
      <c r="AA12" s="202">
        <f t="shared" si="7"/>
        <v>0</v>
      </c>
      <c r="AB12" s="2200"/>
      <c r="AC12" s="201" t="b">
        <f t="shared" si="8"/>
        <v>0</v>
      </c>
    </row>
    <row r="13" spans="1:29" ht="13.5" customHeight="1">
      <c r="A13" s="1993"/>
      <c r="B13" s="1993"/>
      <c r="C13" s="202">
        <f t="shared" si="0"/>
        <v>0</v>
      </c>
      <c r="D13" s="1993"/>
      <c r="E13" s="1993"/>
      <c r="F13" s="202">
        <f t="shared" si="1"/>
        <v>0</v>
      </c>
      <c r="H13" s="1993"/>
      <c r="I13" s="1993"/>
      <c r="J13" s="202">
        <f t="shared" si="2"/>
        <v>0</v>
      </c>
      <c r="K13" s="1993"/>
      <c r="L13" s="1993"/>
      <c r="M13" s="202">
        <f t="shared" si="3"/>
        <v>0</v>
      </c>
      <c r="O13" s="1993"/>
      <c r="P13" s="1993"/>
      <c r="Q13" s="202">
        <f t="shared" si="4"/>
        <v>0</v>
      </c>
      <c r="R13" s="1993"/>
      <c r="S13" s="1993"/>
      <c r="T13" s="202">
        <f t="shared" si="5"/>
        <v>0</v>
      </c>
      <c r="V13" s="1993"/>
      <c r="W13" s="1993"/>
      <c r="X13" s="202">
        <f t="shared" si="6"/>
        <v>0</v>
      </c>
      <c r="Y13" s="1993"/>
      <c r="Z13" s="1993"/>
      <c r="AA13" s="202">
        <f t="shared" si="7"/>
        <v>0</v>
      </c>
      <c r="AB13" s="2200"/>
      <c r="AC13" s="201" t="b">
        <f t="shared" si="8"/>
        <v>0</v>
      </c>
    </row>
    <row r="14" spans="1:29" ht="13.5" customHeight="1">
      <c r="A14" s="1993"/>
      <c r="B14" s="1993"/>
      <c r="C14" s="202">
        <f t="shared" si="0"/>
        <v>0</v>
      </c>
      <c r="D14" s="1993"/>
      <c r="E14" s="1993"/>
      <c r="F14" s="202">
        <f t="shared" si="1"/>
        <v>0</v>
      </c>
      <c r="H14" s="1993"/>
      <c r="I14" s="1993"/>
      <c r="J14" s="202">
        <f t="shared" si="2"/>
        <v>0</v>
      </c>
      <c r="K14" s="1993"/>
      <c r="L14" s="1993"/>
      <c r="M14" s="202">
        <f t="shared" si="3"/>
        <v>0</v>
      </c>
      <c r="O14" s="1993"/>
      <c r="P14" s="1993"/>
      <c r="Q14" s="202">
        <f t="shared" si="4"/>
        <v>0</v>
      </c>
      <c r="R14" s="1993"/>
      <c r="S14" s="1993"/>
      <c r="T14" s="202">
        <f t="shared" si="5"/>
        <v>0</v>
      </c>
      <c r="V14" s="1993"/>
      <c r="W14" s="1993"/>
      <c r="X14" s="202">
        <f t="shared" si="6"/>
        <v>0</v>
      </c>
      <c r="Y14" s="1993"/>
      <c r="Z14" s="1993"/>
      <c r="AA14" s="202">
        <f t="shared" si="7"/>
        <v>0</v>
      </c>
      <c r="AB14" s="2200"/>
      <c r="AC14" s="201" t="b">
        <f t="shared" si="8"/>
        <v>0</v>
      </c>
    </row>
    <row r="15" spans="1:29" ht="13.5" customHeight="1">
      <c r="A15" s="1993"/>
      <c r="B15" s="1993"/>
      <c r="C15" s="202">
        <f t="shared" si="0"/>
        <v>0</v>
      </c>
      <c r="D15" s="1993"/>
      <c r="E15" s="1993"/>
      <c r="F15" s="202">
        <f t="shared" si="1"/>
        <v>0</v>
      </c>
      <c r="H15" s="1993"/>
      <c r="I15" s="1993"/>
      <c r="J15" s="202">
        <f t="shared" si="2"/>
        <v>0</v>
      </c>
      <c r="K15" s="1993"/>
      <c r="L15" s="1993"/>
      <c r="M15" s="202">
        <f t="shared" si="3"/>
        <v>0</v>
      </c>
      <c r="O15" s="1993"/>
      <c r="P15" s="1993"/>
      <c r="Q15" s="202">
        <f t="shared" si="4"/>
        <v>0</v>
      </c>
      <c r="R15" s="1993"/>
      <c r="S15" s="1993"/>
      <c r="T15" s="202">
        <f t="shared" si="5"/>
        <v>0</v>
      </c>
      <c r="V15" s="1993"/>
      <c r="W15" s="1993"/>
      <c r="X15" s="202">
        <f t="shared" si="6"/>
        <v>0</v>
      </c>
      <c r="Y15" s="1993"/>
      <c r="Z15" s="1993"/>
      <c r="AA15" s="202">
        <f t="shared" si="7"/>
        <v>0</v>
      </c>
      <c r="AB15" s="2200"/>
      <c r="AC15" s="201" t="b">
        <f t="shared" si="8"/>
        <v>0</v>
      </c>
    </row>
    <row r="16" spans="1:29" ht="13.5" customHeight="1">
      <c r="A16" s="1993"/>
      <c r="B16" s="1993"/>
      <c r="C16" s="202">
        <f t="shared" si="0"/>
        <v>0</v>
      </c>
      <c r="D16" s="1993"/>
      <c r="E16" s="1993"/>
      <c r="F16" s="202">
        <f t="shared" si="1"/>
        <v>0</v>
      </c>
      <c r="H16" s="1993"/>
      <c r="I16" s="1993"/>
      <c r="J16" s="202">
        <f t="shared" si="2"/>
        <v>0</v>
      </c>
      <c r="K16" s="1993"/>
      <c r="L16" s="1993"/>
      <c r="M16" s="202">
        <f t="shared" si="3"/>
        <v>0</v>
      </c>
      <c r="O16" s="1993"/>
      <c r="P16" s="1993"/>
      <c r="Q16" s="202">
        <f t="shared" si="4"/>
        <v>0</v>
      </c>
      <c r="R16" s="1993"/>
      <c r="S16" s="1993"/>
      <c r="T16" s="202">
        <f t="shared" si="5"/>
        <v>0</v>
      </c>
      <c r="V16" s="1993"/>
      <c r="W16" s="1993"/>
      <c r="X16" s="202">
        <f t="shared" si="6"/>
        <v>0</v>
      </c>
      <c r="Y16" s="1993"/>
      <c r="Z16" s="1993"/>
      <c r="AA16" s="202">
        <f t="shared" si="7"/>
        <v>0</v>
      </c>
      <c r="AB16" s="2200"/>
      <c r="AC16" s="201" t="b">
        <f t="shared" si="8"/>
        <v>0</v>
      </c>
    </row>
    <row r="17" spans="1:29" ht="13.5" customHeight="1">
      <c r="A17" s="1993"/>
      <c r="B17" s="1993"/>
      <c r="C17" s="202">
        <f t="shared" si="0"/>
        <v>0</v>
      </c>
      <c r="D17" s="1993"/>
      <c r="E17" s="1993"/>
      <c r="F17" s="202">
        <f t="shared" si="1"/>
        <v>0</v>
      </c>
      <c r="H17" s="1993"/>
      <c r="I17" s="1993"/>
      <c r="J17" s="202">
        <f t="shared" si="2"/>
        <v>0</v>
      </c>
      <c r="K17" s="1993"/>
      <c r="L17" s="1993"/>
      <c r="M17" s="202">
        <f t="shared" si="3"/>
        <v>0</v>
      </c>
      <c r="O17" s="1993"/>
      <c r="P17" s="1993"/>
      <c r="Q17" s="202">
        <f t="shared" si="4"/>
        <v>0</v>
      </c>
      <c r="R17" s="1993"/>
      <c r="S17" s="1993"/>
      <c r="T17" s="202">
        <f t="shared" si="5"/>
        <v>0</v>
      </c>
      <c r="V17" s="1993"/>
      <c r="W17" s="1993"/>
      <c r="X17" s="202">
        <f t="shared" si="6"/>
        <v>0</v>
      </c>
      <c r="Y17" s="1993"/>
      <c r="Z17" s="1993"/>
      <c r="AA17" s="202">
        <f t="shared" si="7"/>
        <v>0</v>
      </c>
      <c r="AB17" s="2200"/>
      <c r="AC17" s="201" t="b">
        <f t="shared" si="8"/>
        <v>0</v>
      </c>
    </row>
    <row r="18" spans="1:29" ht="13.5" customHeight="1">
      <c r="A18" s="1993"/>
      <c r="B18" s="1993"/>
      <c r="C18" s="202">
        <f t="shared" si="0"/>
        <v>0</v>
      </c>
      <c r="D18" s="1993"/>
      <c r="E18" s="1993"/>
      <c r="F18" s="202">
        <f t="shared" si="1"/>
        <v>0</v>
      </c>
      <c r="H18" s="1993"/>
      <c r="I18" s="1993"/>
      <c r="J18" s="202">
        <f t="shared" si="2"/>
        <v>0</v>
      </c>
      <c r="K18" s="1993"/>
      <c r="L18" s="1993"/>
      <c r="M18" s="202">
        <f t="shared" si="3"/>
        <v>0</v>
      </c>
      <c r="O18" s="1993"/>
      <c r="P18" s="1993"/>
      <c r="Q18" s="202">
        <f t="shared" si="4"/>
        <v>0</v>
      </c>
      <c r="R18" s="1993"/>
      <c r="S18" s="1993"/>
      <c r="T18" s="202">
        <f t="shared" si="5"/>
        <v>0</v>
      </c>
      <c r="V18" s="1993"/>
      <c r="W18" s="1993"/>
      <c r="X18" s="202">
        <f t="shared" si="6"/>
        <v>0</v>
      </c>
      <c r="Y18" s="1993"/>
      <c r="Z18" s="1993"/>
      <c r="AA18" s="202">
        <f t="shared" si="7"/>
        <v>0</v>
      </c>
      <c r="AB18" s="2200"/>
      <c r="AC18" s="201" t="b">
        <f t="shared" si="8"/>
        <v>0</v>
      </c>
    </row>
    <row r="19" spans="1:29" ht="13.5" customHeight="1">
      <c r="A19" s="1993"/>
      <c r="B19" s="1993"/>
      <c r="C19" s="202">
        <f t="shared" si="0"/>
        <v>0</v>
      </c>
      <c r="D19" s="1993"/>
      <c r="E19" s="1993"/>
      <c r="F19" s="202">
        <f t="shared" si="1"/>
        <v>0</v>
      </c>
      <c r="H19" s="1993"/>
      <c r="I19" s="1993"/>
      <c r="J19" s="202">
        <f t="shared" si="2"/>
        <v>0</v>
      </c>
      <c r="K19" s="1993"/>
      <c r="L19" s="1993"/>
      <c r="M19" s="202">
        <f t="shared" si="3"/>
        <v>0</v>
      </c>
      <c r="O19" s="1993"/>
      <c r="P19" s="1993"/>
      <c r="Q19" s="202">
        <f t="shared" si="4"/>
        <v>0</v>
      </c>
      <c r="R19" s="1993"/>
      <c r="S19" s="1993"/>
      <c r="T19" s="202">
        <f t="shared" si="5"/>
        <v>0</v>
      </c>
      <c r="V19" s="1993"/>
      <c r="W19" s="1993"/>
      <c r="X19" s="202">
        <f t="shared" si="6"/>
        <v>0</v>
      </c>
      <c r="Y19" s="1993"/>
      <c r="Z19" s="1993"/>
      <c r="AA19" s="202">
        <f t="shared" si="7"/>
        <v>0</v>
      </c>
      <c r="AB19" s="2200"/>
      <c r="AC19" s="201" t="b">
        <f t="shared" si="8"/>
        <v>0</v>
      </c>
    </row>
    <row r="20" spans="1:29" ht="13.5" customHeight="1">
      <c r="A20" s="1993"/>
      <c r="B20" s="1993"/>
      <c r="C20" s="202">
        <f t="shared" si="0"/>
        <v>0</v>
      </c>
      <c r="D20" s="1993"/>
      <c r="E20" s="1993"/>
      <c r="F20" s="202">
        <f t="shared" si="1"/>
        <v>0</v>
      </c>
      <c r="H20" s="1993"/>
      <c r="I20" s="1993"/>
      <c r="J20" s="202">
        <f t="shared" si="2"/>
        <v>0</v>
      </c>
      <c r="K20" s="1993"/>
      <c r="L20" s="1993"/>
      <c r="M20" s="202">
        <f t="shared" si="3"/>
        <v>0</v>
      </c>
      <c r="O20" s="1994"/>
      <c r="P20" s="1993"/>
      <c r="Q20" s="202">
        <f t="shared" si="4"/>
        <v>0</v>
      </c>
      <c r="R20" s="1993"/>
      <c r="S20" s="1993"/>
      <c r="T20" s="202">
        <f t="shared" si="5"/>
        <v>0</v>
      </c>
      <c r="V20" s="1993"/>
      <c r="W20" s="1993"/>
      <c r="X20" s="202">
        <f t="shared" si="6"/>
        <v>0</v>
      </c>
      <c r="Y20" s="1993"/>
      <c r="Z20" s="1993"/>
      <c r="AA20" s="202">
        <f t="shared" si="7"/>
        <v>0</v>
      </c>
      <c r="AB20" s="2200"/>
      <c r="AC20" s="201" t="b">
        <f t="shared" si="8"/>
        <v>0</v>
      </c>
    </row>
    <row r="21" spans="1:29" ht="13.5" customHeight="1">
      <c r="A21" s="1993"/>
      <c r="B21" s="1993"/>
      <c r="C21" s="202">
        <f t="shared" si="0"/>
        <v>0</v>
      </c>
      <c r="D21" s="1993"/>
      <c r="E21" s="1993"/>
      <c r="F21" s="202">
        <f t="shared" si="1"/>
        <v>0</v>
      </c>
      <c r="H21" s="1993"/>
      <c r="I21" s="1993"/>
      <c r="J21" s="202">
        <f t="shared" si="2"/>
        <v>0</v>
      </c>
      <c r="K21" s="1993"/>
      <c r="L21" s="1993"/>
      <c r="M21" s="202">
        <f t="shared" si="3"/>
        <v>0</v>
      </c>
      <c r="O21" s="1994"/>
      <c r="P21" s="1993"/>
      <c r="Q21" s="202">
        <f t="shared" si="4"/>
        <v>0</v>
      </c>
      <c r="R21" s="1993"/>
      <c r="S21" s="1993"/>
      <c r="T21" s="202">
        <f t="shared" si="5"/>
        <v>0</v>
      </c>
      <c r="V21" s="1993"/>
      <c r="W21" s="1993"/>
      <c r="X21" s="202">
        <f t="shared" si="6"/>
        <v>0</v>
      </c>
      <c r="Y21" s="1993"/>
      <c r="Z21" s="1993"/>
      <c r="AA21" s="202">
        <f t="shared" si="7"/>
        <v>0</v>
      </c>
      <c r="AB21" s="2200"/>
      <c r="AC21" s="201" t="b">
        <f t="shared" si="8"/>
        <v>0</v>
      </c>
    </row>
    <row r="22" spans="1:29" ht="13.5" customHeight="1">
      <c r="A22" s="1993"/>
      <c r="B22" s="1993"/>
      <c r="C22" s="202">
        <f t="shared" si="0"/>
        <v>0</v>
      </c>
      <c r="D22" s="1993"/>
      <c r="E22" s="1993"/>
      <c r="F22" s="202">
        <f t="shared" si="1"/>
        <v>0</v>
      </c>
      <c r="H22" s="1993"/>
      <c r="I22" s="1993"/>
      <c r="J22" s="202">
        <f t="shared" si="2"/>
        <v>0</v>
      </c>
      <c r="K22" s="1993"/>
      <c r="L22" s="1993"/>
      <c r="M22" s="202">
        <f t="shared" si="3"/>
        <v>0</v>
      </c>
      <c r="O22" s="1994"/>
      <c r="P22" s="1993"/>
      <c r="Q22" s="202">
        <f t="shared" si="4"/>
        <v>0</v>
      </c>
      <c r="R22" s="1993"/>
      <c r="S22" s="1994"/>
      <c r="T22" s="202">
        <f t="shared" si="5"/>
        <v>0</v>
      </c>
      <c r="V22" s="1993"/>
      <c r="W22" s="1993"/>
      <c r="X22" s="202">
        <f t="shared" si="6"/>
        <v>0</v>
      </c>
      <c r="Y22" s="1993"/>
      <c r="Z22" s="1993"/>
      <c r="AA22" s="202">
        <f t="shared" si="7"/>
        <v>0</v>
      </c>
      <c r="AB22" s="2200"/>
      <c r="AC22" s="201" t="b">
        <f t="shared" si="8"/>
        <v>0</v>
      </c>
    </row>
    <row r="23" spans="1:29" ht="13.5" customHeight="1">
      <c r="A23" s="1993"/>
      <c r="B23" s="1993"/>
      <c r="C23" s="202">
        <f t="shared" si="0"/>
        <v>0</v>
      </c>
      <c r="D23" s="1993"/>
      <c r="E23" s="1993"/>
      <c r="F23" s="202">
        <f t="shared" si="1"/>
        <v>0</v>
      </c>
      <c r="H23" s="1993"/>
      <c r="I23" s="1993"/>
      <c r="J23" s="202">
        <f t="shared" si="2"/>
        <v>0</v>
      </c>
      <c r="K23" s="1993"/>
      <c r="L23" s="1993"/>
      <c r="M23" s="202">
        <f t="shared" si="3"/>
        <v>0</v>
      </c>
      <c r="O23" s="1994"/>
      <c r="P23" s="1993"/>
      <c r="Q23" s="202">
        <f t="shared" si="4"/>
        <v>0</v>
      </c>
      <c r="R23" s="1993"/>
      <c r="S23" s="1994"/>
      <c r="T23" s="202">
        <f t="shared" si="5"/>
        <v>0</v>
      </c>
      <c r="V23" s="1993"/>
      <c r="W23" s="1993"/>
      <c r="X23" s="202">
        <f t="shared" si="6"/>
        <v>0</v>
      </c>
      <c r="Y23" s="1993"/>
      <c r="Z23" s="1993"/>
      <c r="AA23" s="202">
        <f t="shared" si="7"/>
        <v>0</v>
      </c>
      <c r="AB23" s="2200"/>
      <c r="AC23" s="201" t="b">
        <f t="shared" si="8"/>
        <v>0</v>
      </c>
    </row>
    <row r="24" spans="1:29" ht="13.5" customHeight="1">
      <c r="A24" s="1993"/>
      <c r="B24" s="1993"/>
      <c r="C24" s="202">
        <f t="shared" si="0"/>
        <v>0</v>
      </c>
      <c r="D24" s="1993"/>
      <c r="E24" s="1993"/>
      <c r="F24" s="202">
        <f t="shared" si="1"/>
        <v>0</v>
      </c>
      <c r="H24" s="1993"/>
      <c r="I24" s="1993"/>
      <c r="J24" s="202">
        <f t="shared" si="2"/>
        <v>0</v>
      </c>
      <c r="K24" s="1993"/>
      <c r="L24" s="1993"/>
      <c r="M24" s="202">
        <f t="shared" si="3"/>
        <v>0</v>
      </c>
      <c r="O24" s="1994"/>
      <c r="P24" s="1993"/>
      <c r="Q24" s="202">
        <f t="shared" si="4"/>
        <v>0</v>
      </c>
      <c r="R24" s="1993"/>
      <c r="S24" s="1994"/>
      <c r="T24" s="202">
        <f t="shared" si="5"/>
        <v>0</v>
      </c>
      <c r="V24" s="1993"/>
      <c r="W24" s="1993"/>
      <c r="X24" s="202">
        <f t="shared" si="6"/>
        <v>0</v>
      </c>
      <c r="Y24" s="1993"/>
      <c r="Z24" s="1993"/>
      <c r="AA24" s="202">
        <f t="shared" si="7"/>
        <v>0</v>
      </c>
      <c r="AB24" s="2200"/>
      <c r="AC24" s="201" t="b">
        <f t="shared" si="8"/>
        <v>0</v>
      </c>
    </row>
    <row r="25" spans="1:29" ht="13.5" customHeight="1">
      <c r="A25" s="1994"/>
      <c r="B25" s="1994"/>
      <c r="C25" s="203">
        <f t="shared" si="0"/>
        <v>0</v>
      </c>
      <c r="D25" s="1994"/>
      <c r="E25" s="1994"/>
      <c r="F25" s="203">
        <f t="shared" si="1"/>
        <v>0</v>
      </c>
      <c r="H25" s="1994"/>
      <c r="I25" s="1994"/>
      <c r="J25" s="203">
        <f t="shared" si="2"/>
        <v>0</v>
      </c>
      <c r="K25" s="1994"/>
      <c r="L25" s="1994"/>
      <c r="M25" s="203">
        <f t="shared" si="3"/>
        <v>0</v>
      </c>
      <c r="O25" s="1994"/>
      <c r="P25" s="1994"/>
      <c r="Q25" s="203">
        <f t="shared" si="4"/>
        <v>0</v>
      </c>
      <c r="R25" s="1994"/>
      <c r="S25" s="1994"/>
      <c r="T25" s="203">
        <f t="shared" si="5"/>
        <v>0</v>
      </c>
      <c r="V25" s="1994"/>
      <c r="W25" s="1994"/>
      <c r="X25" s="203">
        <f t="shared" si="6"/>
        <v>0</v>
      </c>
      <c r="Y25" s="1994"/>
      <c r="Z25" s="1994"/>
      <c r="AA25" s="203">
        <f t="shared" si="7"/>
        <v>0</v>
      </c>
      <c r="AB25" s="2200"/>
      <c r="AC25" s="201" t="b">
        <f t="shared" si="8"/>
        <v>0</v>
      </c>
    </row>
    <row r="26" spans="1:29" ht="13.5" customHeight="1">
      <c r="A26" s="1731" t="s">
        <v>912</v>
      </c>
      <c r="B26" s="1728"/>
      <c r="C26" s="1730"/>
      <c r="D26" s="3113"/>
      <c r="E26" s="3113"/>
      <c r="F26" s="3113"/>
      <c r="H26" s="1731" t="s">
        <v>912</v>
      </c>
      <c r="I26" s="1728"/>
      <c r="J26" s="1730"/>
      <c r="K26" s="3113"/>
      <c r="L26" s="3113"/>
      <c r="M26" s="3113"/>
      <c r="O26" s="1731" t="s">
        <v>912</v>
      </c>
      <c r="P26" s="1728"/>
      <c r="Q26" s="1730"/>
      <c r="R26" s="3113"/>
      <c r="S26" s="3113"/>
      <c r="T26" s="3113"/>
      <c r="V26" s="1731" t="s">
        <v>912</v>
      </c>
      <c r="W26" s="1728"/>
      <c r="X26" s="1730"/>
      <c r="Y26" s="3113"/>
      <c r="Z26" s="3113"/>
      <c r="AA26" s="3113"/>
      <c r="AB26" s="2200"/>
      <c r="AC26" s="198" t="b">
        <f>AC31</f>
        <v>0</v>
      </c>
    </row>
    <row r="27" spans="1:29" ht="13.5" customHeight="1">
      <c r="A27" s="1731" t="s">
        <v>913</v>
      </c>
      <c r="B27" s="1728"/>
      <c r="C27" s="1730"/>
      <c r="D27" s="3114">
        <f>SUM(C8:C25,F8:F25)</f>
        <v>0</v>
      </c>
      <c r="E27" s="3114"/>
      <c r="F27" s="3114"/>
      <c r="H27" s="1731" t="s">
        <v>913</v>
      </c>
      <c r="I27" s="1728"/>
      <c r="J27" s="1730"/>
      <c r="K27" s="3114">
        <f>SUM(J8:J25,M8:M25)</f>
        <v>0</v>
      </c>
      <c r="L27" s="3114"/>
      <c r="M27" s="3114"/>
      <c r="O27" s="1731" t="s">
        <v>913</v>
      </c>
      <c r="P27" s="1728"/>
      <c r="Q27" s="1730"/>
      <c r="R27" s="3114">
        <f>SUM(Q8:Q25,T8:T25)</f>
        <v>0</v>
      </c>
      <c r="S27" s="3114"/>
      <c r="T27" s="3114"/>
      <c r="V27" s="1731" t="s">
        <v>913</v>
      </c>
      <c r="W27" s="1728"/>
      <c r="X27" s="1730"/>
      <c r="Y27" s="3114">
        <f>SUM(X8:X25,AA8:AA25)</f>
        <v>0</v>
      </c>
      <c r="Z27" s="3114"/>
      <c r="AA27" s="3114"/>
      <c r="AB27" s="2200"/>
      <c r="AC27" s="198" t="b">
        <f>AC31</f>
        <v>0</v>
      </c>
    </row>
    <row r="28" spans="1:29" ht="13.5" customHeight="1">
      <c r="A28" s="1731" t="s">
        <v>535</v>
      </c>
      <c r="B28" s="1728"/>
      <c r="C28" s="1730"/>
      <c r="D28" s="3114">
        <f>C40</f>
        <v>0</v>
      </c>
      <c r="E28" s="3114"/>
      <c r="F28" s="3114"/>
      <c r="H28" s="1731" t="s">
        <v>535</v>
      </c>
      <c r="I28" s="1728"/>
      <c r="J28" s="1730"/>
      <c r="K28" s="3114">
        <f>J40</f>
        <v>0</v>
      </c>
      <c r="L28" s="3114"/>
      <c r="M28" s="3114"/>
      <c r="O28" s="1731" t="s">
        <v>535</v>
      </c>
      <c r="P28" s="1728"/>
      <c r="Q28" s="1730"/>
      <c r="R28" s="3114">
        <f>Q40</f>
        <v>0</v>
      </c>
      <c r="S28" s="3114"/>
      <c r="T28" s="3114"/>
      <c r="V28" s="1731" t="s">
        <v>535</v>
      </c>
      <c r="W28" s="1728"/>
      <c r="X28" s="1730"/>
      <c r="Y28" s="3114">
        <f>X40</f>
        <v>0</v>
      </c>
      <c r="Z28" s="3114"/>
      <c r="AA28" s="3114"/>
      <c r="AB28" s="2200"/>
      <c r="AC28" s="198" t="b">
        <f>AC31</f>
        <v>0</v>
      </c>
    </row>
    <row r="29" spans="1:29" ht="13.5" customHeight="1">
      <c r="A29" s="1731" t="s">
        <v>536</v>
      </c>
      <c r="B29" s="1728"/>
      <c r="C29" s="1730"/>
      <c r="D29" s="3114">
        <f>D27-D28</f>
        <v>0</v>
      </c>
      <c r="E29" s="3114"/>
      <c r="F29" s="3114"/>
      <c r="H29" s="1731" t="s">
        <v>536</v>
      </c>
      <c r="I29" s="1728"/>
      <c r="J29" s="1730"/>
      <c r="K29" s="3114">
        <f>K27-K28</f>
        <v>0</v>
      </c>
      <c r="L29" s="3114"/>
      <c r="M29" s="3114"/>
      <c r="O29" s="1731" t="s">
        <v>536</v>
      </c>
      <c r="P29" s="1728"/>
      <c r="Q29" s="1730"/>
      <c r="R29" s="3114">
        <f>R27-R28</f>
        <v>0</v>
      </c>
      <c r="S29" s="3114"/>
      <c r="T29" s="3114"/>
      <c r="V29" s="1731" t="s">
        <v>536</v>
      </c>
      <c r="W29" s="1728"/>
      <c r="X29" s="1730"/>
      <c r="Y29" s="3114">
        <f>Y27-Y28</f>
        <v>0</v>
      </c>
      <c r="Z29" s="3114"/>
      <c r="AA29" s="3114"/>
      <c r="AB29" s="2200"/>
      <c r="AC29" s="198" t="b">
        <f>AC31</f>
        <v>0</v>
      </c>
    </row>
    <row r="30" spans="1:29" ht="13.5" customHeight="1">
      <c r="A30" s="1731" t="s">
        <v>537</v>
      </c>
      <c r="B30" s="1728"/>
      <c r="C30" s="1730"/>
      <c r="D30" s="3120">
        <v>1</v>
      </c>
      <c r="E30" s="3121"/>
      <c r="F30" s="3121"/>
      <c r="H30" s="1731" t="s">
        <v>537</v>
      </c>
      <c r="I30" s="1728"/>
      <c r="J30" s="1730"/>
      <c r="K30" s="3120">
        <v>1</v>
      </c>
      <c r="L30" s="3121"/>
      <c r="M30" s="3121"/>
      <c r="O30" s="1731" t="s">
        <v>537</v>
      </c>
      <c r="P30" s="1728"/>
      <c r="Q30" s="1730"/>
      <c r="R30" s="3120">
        <v>1</v>
      </c>
      <c r="S30" s="3121"/>
      <c r="T30" s="3121"/>
      <c r="V30" s="1731" t="s">
        <v>537</v>
      </c>
      <c r="W30" s="1728"/>
      <c r="X30" s="1730"/>
      <c r="Y30" s="3120">
        <v>1</v>
      </c>
      <c r="Z30" s="3121"/>
      <c r="AA30" s="3121"/>
      <c r="AB30" s="2200"/>
      <c r="AC30" s="198" t="b">
        <f>AC31</f>
        <v>0</v>
      </c>
    </row>
    <row r="31" spans="1:29" ht="13.5" customHeight="1">
      <c r="A31" s="1731" t="s">
        <v>538</v>
      </c>
      <c r="B31" s="1728"/>
      <c r="C31" s="1730"/>
      <c r="D31" s="3114">
        <f>D29*D30</f>
        <v>0</v>
      </c>
      <c r="E31" s="3114"/>
      <c r="F31" s="3114"/>
      <c r="H31" s="1731" t="s">
        <v>538</v>
      </c>
      <c r="I31" s="1728"/>
      <c r="J31" s="1730"/>
      <c r="K31" s="3114">
        <f>K29*K30</f>
        <v>0</v>
      </c>
      <c r="L31" s="3114"/>
      <c r="M31" s="3114"/>
      <c r="O31" s="1731" t="s">
        <v>538</v>
      </c>
      <c r="P31" s="1728"/>
      <c r="Q31" s="1730"/>
      <c r="R31" s="3114">
        <f>R29*R30</f>
        <v>0</v>
      </c>
      <c r="S31" s="3114"/>
      <c r="T31" s="3114"/>
      <c r="V31" s="1731" t="s">
        <v>538</v>
      </c>
      <c r="W31" s="1728"/>
      <c r="X31" s="1730"/>
      <c r="Y31" s="3114">
        <f>Y29*Y30</f>
        <v>0</v>
      </c>
      <c r="Z31" s="3114"/>
      <c r="AA31" s="3114"/>
      <c r="AB31" s="2200"/>
      <c r="AC31" s="198" t="b">
        <f>SUM(A31:AA31)&lt;&gt;0</f>
        <v>0</v>
      </c>
    </row>
    <row r="32" spans="1:29" ht="13.5" customHeight="1">
      <c r="B32" s="195"/>
      <c r="C32" s="195"/>
      <c r="D32" s="2"/>
      <c r="E32" s="2"/>
      <c r="F32" s="2"/>
      <c r="I32" s="195"/>
      <c r="J32" s="195"/>
      <c r="K32" s="2"/>
      <c r="L32" s="2"/>
      <c r="M32" s="2"/>
      <c r="P32" s="195"/>
      <c r="Q32" s="195"/>
      <c r="R32" s="2"/>
      <c r="S32" s="2"/>
      <c r="T32" s="2"/>
      <c r="W32" s="195"/>
      <c r="X32" s="195"/>
      <c r="Y32" s="2"/>
      <c r="Z32" s="2"/>
      <c r="AA32" s="2"/>
      <c r="AB32" s="2200"/>
      <c r="AC32" s="198" t="b">
        <v>1</v>
      </c>
    </row>
    <row r="33" spans="1:29" ht="13.5" customHeight="1">
      <c r="A33" s="1737" t="s">
        <v>5548</v>
      </c>
      <c r="B33" s="3095" t="str">
        <f>A6</f>
        <v>（部屋名等自由入力１）</v>
      </c>
      <c r="C33" s="3096"/>
      <c r="H33" s="1737" t="s">
        <v>5548</v>
      </c>
      <c r="I33" s="3095" t="str">
        <f>H6</f>
        <v>（部屋名等自由入力２）</v>
      </c>
      <c r="J33" s="3096"/>
      <c r="O33" s="1737" t="s">
        <v>5548</v>
      </c>
      <c r="P33" s="3095" t="str">
        <f>O6</f>
        <v>（部屋名等自由入力３）</v>
      </c>
      <c r="Q33" s="3096"/>
      <c r="V33" s="1737" t="s">
        <v>5548</v>
      </c>
      <c r="W33" s="3095" t="str">
        <f>V6</f>
        <v>（部屋名等自由入力４）</v>
      </c>
      <c r="X33" s="3096"/>
      <c r="AB33" s="2200"/>
      <c r="AC33" s="198" t="b">
        <f>AC40</f>
        <v>0</v>
      </c>
    </row>
    <row r="34" spans="1:29" ht="13.5" customHeight="1">
      <c r="A34" s="1738" t="s">
        <v>5547</v>
      </c>
      <c r="B34" s="1026"/>
      <c r="C34" s="1028">
        <f t="shared" ref="C34:C39" si="9">SUMIF(内部開口,B34,内部開口面積)</f>
        <v>0</v>
      </c>
      <c r="D34" s="1011"/>
      <c r="H34" s="1738" t="s">
        <v>5547</v>
      </c>
      <c r="I34" s="1026"/>
      <c r="J34" s="1028">
        <f t="shared" ref="J34:J39" si="10">SUMIF(内部開口,I34,内部開口面積)</f>
        <v>0</v>
      </c>
      <c r="O34" s="1738" t="s">
        <v>5547</v>
      </c>
      <c r="P34" s="1026"/>
      <c r="Q34" s="1028">
        <f t="shared" ref="Q34:Q39" si="11">SUMIF(内部開口,P34,内部開口面積)</f>
        <v>0</v>
      </c>
      <c r="V34" s="1738" t="s">
        <v>5547</v>
      </c>
      <c r="W34" s="1026"/>
      <c r="X34" s="1028">
        <f t="shared" ref="X34:X39" si="12">SUMIF(内部開口,W34,内部開口面積)</f>
        <v>0</v>
      </c>
      <c r="AB34" s="2200"/>
      <c r="AC34" s="198" t="b">
        <f t="shared" ref="AC34:AC40" si="13">SUM(B34:AA34)&gt;0</f>
        <v>0</v>
      </c>
    </row>
    <row r="35" spans="1:29" ht="13.5" customHeight="1">
      <c r="A35" s="1739"/>
      <c r="B35" s="1027"/>
      <c r="C35" s="1029">
        <f t="shared" si="9"/>
        <v>0</v>
      </c>
      <c r="H35" s="1739"/>
      <c r="I35" s="1027"/>
      <c r="J35" s="1029">
        <f t="shared" si="10"/>
        <v>0</v>
      </c>
      <c r="O35" s="1739"/>
      <c r="P35" s="1027"/>
      <c r="Q35" s="1029">
        <f t="shared" si="11"/>
        <v>0</v>
      </c>
      <c r="V35" s="1739"/>
      <c r="W35" s="1027"/>
      <c r="X35" s="1029">
        <f t="shared" si="12"/>
        <v>0</v>
      </c>
      <c r="AB35" s="2200"/>
      <c r="AC35" s="198" t="b">
        <f t="shared" si="13"/>
        <v>0</v>
      </c>
    </row>
    <row r="36" spans="1:29" ht="13.5" customHeight="1">
      <c r="A36" s="1739"/>
      <c r="B36" s="1027"/>
      <c r="C36" s="1029">
        <f t="shared" si="9"/>
        <v>0</v>
      </c>
      <c r="H36" s="1739"/>
      <c r="I36" s="1027"/>
      <c r="J36" s="1029">
        <f t="shared" si="10"/>
        <v>0</v>
      </c>
      <c r="O36" s="1739"/>
      <c r="P36" s="1027"/>
      <c r="Q36" s="1029">
        <f t="shared" si="11"/>
        <v>0</v>
      </c>
      <c r="V36" s="1739"/>
      <c r="W36" s="1027"/>
      <c r="X36" s="1029">
        <f t="shared" si="12"/>
        <v>0</v>
      </c>
      <c r="AB36" s="2200"/>
      <c r="AC36" s="198" t="b">
        <f t="shared" si="13"/>
        <v>0</v>
      </c>
    </row>
    <row r="37" spans="1:29" ht="13.5" customHeight="1">
      <c r="A37" s="1739"/>
      <c r="B37" s="1027"/>
      <c r="C37" s="1029">
        <f t="shared" si="9"/>
        <v>0</v>
      </c>
      <c r="H37" s="1739"/>
      <c r="I37" s="1027"/>
      <c r="J37" s="1029">
        <f t="shared" si="10"/>
        <v>0</v>
      </c>
      <c r="O37" s="1739"/>
      <c r="P37" s="1027"/>
      <c r="Q37" s="1029">
        <f t="shared" si="11"/>
        <v>0</v>
      </c>
      <c r="V37" s="1739"/>
      <c r="W37" s="1027"/>
      <c r="X37" s="1029">
        <f t="shared" si="12"/>
        <v>0</v>
      </c>
      <c r="AB37" s="2200"/>
      <c r="AC37" s="198" t="b">
        <f t="shared" si="13"/>
        <v>0</v>
      </c>
    </row>
    <row r="38" spans="1:29" ht="13.5" customHeight="1">
      <c r="A38" s="1739"/>
      <c r="B38" s="1027"/>
      <c r="C38" s="1029">
        <f t="shared" si="9"/>
        <v>0</v>
      </c>
      <c r="H38" s="1739"/>
      <c r="I38" s="1027"/>
      <c r="J38" s="1029">
        <f t="shared" si="10"/>
        <v>0</v>
      </c>
      <c r="O38" s="1739"/>
      <c r="P38" s="1027"/>
      <c r="Q38" s="1029">
        <f t="shared" si="11"/>
        <v>0</v>
      </c>
      <c r="V38" s="1739"/>
      <c r="W38" s="1027"/>
      <c r="X38" s="1029">
        <f t="shared" si="12"/>
        <v>0</v>
      </c>
      <c r="AB38" s="2200"/>
      <c r="AC38" s="198" t="b">
        <f t="shared" si="13"/>
        <v>0</v>
      </c>
    </row>
    <row r="39" spans="1:29" ht="13.5" customHeight="1">
      <c r="A39" s="1739"/>
      <c r="B39" s="1031"/>
      <c r="C39" s="1022">
        <f t="shared" si="9"/>
        <v>0</v>
      </c>
      <c r="H39" s="1739"/>
      <c r="I39" s="1031"/>
      <c r="J39" s="1022">
        <f t="shared" si="10"/>
        <v>0</v>
      </c>
      <c r="O39" s="1739"/>
      <c r="P39" s="1031"/>
      <c r="Q39" s="1022">
        <f t="shared" si="11"/>
        <v>0</v>
      </c>
      <c r="V39" s="1739"/>
      <c r="W39" s="1031"/>
      <c r="X39" s="1022">
        <f t="shared" si="12"/>
        <v>0</v>
      </c>
      <c r="AB39" s="2200"/>
      <c r="AC39" s="198" t="b">
        <f t="shared" si="13"/>
        <v>0</v>
      </c>
    </row>
    <row r="40" spans="1:29" ht="13.5" customHeight="1">
      <c r="A40" s="1740"/>
      <c r="B40" s="2095" t="s">
        <v>5546</v>
      </c>
      <c r="C40" s="1030">
        <f>SUM(C34:C39)</f>
        <v>0</v>
      </c>
      <c r="H40" s="1740"/>
      <c r="I40" s="2095" t="s">
        <v>5546</v>
      </c>
      <c r="J40" s="1030">
        <f>SUM(J34:J39)</f>
        <v>0</v>
      </c>
      <c r="O40" s="1740"/>
      <c r="P40" s="2095" t="s">
        <v>5546</v>
      </c>
      <c r="Q40" s="1030">
        <f>SUM(Q34:Q39)</f>
        <v>0</v>
      </c>
      <c r="V40" s="1740"/>
      <c r="W40" s="2095" t="s">
        <v>5546</v>
      </c>
      <c r="X40" s="1030">
        <f>SUM(X34:X39)</f>
        <v>0</v>
      </c>
      <c r="AB40" s="2200"/>
      <c r="AC40" s="198" t="b">
        <f t="shared" si="13"/>
        <v>0</v>
      </c>
    </row>
    <row r="41" spans="1:29" ht="13.5" customHeight="1">
      <c r="B41" s="2087" t="s">
        <v>5733</v>
      </c>
      <c r="C41" s="1013"/>
      <c r="D41" s="1014"/>
      <c r="E41" s="1013"/>
      <c r="F41" s="1012"/>
      <c r="G41" s="1013"/>
      <c r="H41" s="1012"/>
      <c r="I41" s="1013"/>
      <c r="J41" s="1012"/>
      <c r="K41" s="1013"/>
      <c r="L41" s="1012"/>
      <c r="M41" s="1013"/>
      <c r="N41" s="1012"/>
      <c r="O41" s="1013"/>
      <c r="P41" s="1012"/>
      <c r="Q41" s="1013"/>
      <c r="R41" s="1012"/>
      <c r="S41" s="1013"/>
      <c r="T41" s="1012"/>
      <c r="U41" s="1013"/>
      <c r="V41" s="1012"/>
      <c r="W41" s="1013"/>
      <c r="X41" s="1012"/>
      <c r="Y41" s="1013"/>
      <c r="Z41" s="1012"/>
      <c r="AA41" s="1013"/>
      <c r="AB41" s="2200"/>
      <c r="AC41" s="1011" t="b">
        <v>0</v>
      </c>
    </row>
    <row r="42" spans="1:29" ht="13.5" customHeight="1">
      <c r="B42" s="2087" t="s">
        <v>5587</v>
      </c>
      <c r="C42" s="1013"/>
      <c r="D42" s="1014"/>
      <c r="E42" s="1013"/>
      <c r="F42" s="1012"/>
      <c r="G42" s="1013"/>
      <c r="H42" s="1012"/>
      <c r="I42" s="1013"/>
      <c r="J42" s="1012"/>
      <c r="K42" s="1013"/>
      <c r="L42" s="1012"/>
      <c r="M42" s="1013"/>
      <c r="N42" s="1012"/>
      <c r="O42" s="1013"/>
      <c r="P42" s="1012"/>
      <c r="Q42" s="1013"/>
      <c r="R42" s="1012"/>
      <c r="S42" s="1013"/>
      <c r="T42" s="1012"/>
      <c r="U42" s="1013"/>
      <c r="V42" s="1012"/>
      <c r="W42" s="1013"/>
      <c r="X42" s="1012"/>
      <c r="Y42" s="1013"/>
      <c r="Z42" s="1012"/>
      <c r="AA42" s="1013"/>
      <c r="AB42" s="2200"/>
      <c r="AC42" s="1011" t="b">
        <v>0</v>
      </c>
    </row>
    <row r="43" spans="1:29" ht="13.5" customHeight="1">
      <c r="B43" s="195"/>
      <c r="C43" s="195"/>
      <c r="D43" s="2"/>
      <c r="E43" s="2"/>
      <c r="F43" s="2"/>
      <c r="I43" s="195"/>
      <c r="J43" s="195"/>
      <c r="K43" s="2"/>
      <c r="L43" s="2"/>
      <c r="M43" s="2"/>
      <c r="P43" s="195"/>
      <c r="Q43" s="195"/>
      <c r="R43" s="2"/>
      <c r="S43" s="2"/>
      <c r="T43" s="2"/>
      <c r="W43" s="195"/>
      <c r="X43" s="195"/>
      <c r="Y43" s="2"/>
      <c r="Z43" s="2"/>
      <c r="AA43" s="2"/>
      <c r="AB43" s="2200"/>
      <c r="AC43" s="198" t="b">
        <f>AC69</f>
        <v>0</v>
      </c>
    </row>
    <row r="44" spans="1:29" ht="13.5" customHeight="1">
      <c r="A44" s="3122" t="s">
        <v>5555</v>
      </c>
      <c r="B44" s="3123"/>
      <c r="C44" s="3123"/>
      <c r="D44" s="3123"/>
      <c r="E44" s="3123"/>
      <c r="F44" s="3124"/>
      <c r="H44" s="3122" t="s">
        <v>5556</v>
      </c>
      <c r="I44" s="3123"/>
      <c r="J44" s="3123"/>
      <c r="K44" s="3123"/>
      <c r="L44" s="3123"/>
      <c r="M44" s="3124"/>
      <c r="O44" s="3122" t="s">
        <v>5557</v>
      </c>
      <c r="P44" s="3123"/>
      <c r="Q44" s="3123"/>
      <c r="R44" s="3123"/>
      <c r="S44" s="3123"/>
      <c r="T44" s="3124"/>
      <c r="V44" s="3122" t="s">
        <v>5558</v>
      </c>
      <c r="W44" s="3123"/>
      <c r="X44" s="3123"/>
      <c r="Y44" s="3123"/>
      <c r="Z44" s="3123"/>
      <c r="AA44" s="3124"/>
      <c r="AB44" s="2200"/>
      <c r="AC44" s="198" t="b">
        <f>AC69</f>
        <v>0</v>
      </c>
    </row>
    <row r="45" spans="1:29" ht="13.5" customHeight="1">
      <c r="A45" s="1741" t="s">
        <v>909</v>
      </c>
      <c r="B45" s="1741" t="s">
        <v>910</v>
      </c>
      <c r="C45" s="1741" t="s">
        <v>923</v>
      </c>
      <c r="D45" s="1741" t="s">
        <v>911</v>
      </c>
      <c r="E45" s="1741" t="s">
        <v>910</v>
      </c>
      <c r="F45" s="1741" t="s">
        <v>923</v>
      </c>
      <c r="H45" s="1741" t="s">
        <v>909</v>
      </c>
      <c r="I45" s="1741" t="s">
        <v>910</v>
      </c>
      <c r="J45" s="1741" t="s">
        <v>923</v>
      </c>
      <c r="K45" s="1741" t="s">
        <v>911</v>
      </c>
      <c r="L45" s="1741" t="s">
        <v>910</v>
      </c>
      <c r="M45" s="1741" t="s">
        <v>923</v>
      </c>
      <c r="O45" s="1741" t="s">
        <v>909</v>
      </c>
      <c r="P45" s="1741" t="s">
        <v>910</v>
      </c>
      <c r="Q45" s="1741" t="s">
        <v>923</v>
      </c>
      <c r="R45" s="1741" t="s">
        <v>911</v>
      </c>
      <c r="S45" s="1741" t="s">
        <v>910</v>
      </c>
      <c r="T45" s="1741" t="s">
        <v>923</v>
      </c>
      <c r="V45" s="1741" t="s">
        <v>909</v>
      </c>
      <c r="W45" s="1741" t="s">
        <v>910</v>
      </c>
      <c r="X45" s="1741" t="s">
        <v>923</v>
      </c>
      <c r="Y45" s="1741" t="s">
        <v>911</v>
      </c>
      <c r="Z45" s="1741" t="s">
        <v>910</v>
      </c>
      <c r="AA45" s="1741" t="s">
        <v>923</v>
      </c>
      <c r="AB45" s="2200"/>
      <c r="AC45" s="198" t="b">
        <f>AC69</f>
        <v>0</v>
      </c>
    </row>
    <row r="46" spans="1:29" ht="13.5" customHeight="1">
      <c r="A46" s="1992"/>
      <c r="B46" s="1992"/>
      <c r="C46" s="200">
        <f t="shared" ref="C46:C63" si="14">ROUNDDOWN(A46*B46,2)</f>
        <v>0</v>
      </c>
      <c r="D46" s="1992"/>
      <c r="E46" s="1992"/>
      <c r="F46" s="200">
        <f t="shared" ref="F46:F63" si="15">ROUNDDOWN(D46*E46,2)</f>
        <v>0</v>
      </c>
      <c r="H46" s="1992"/>
      <c r="I46" s="1992"/>
      <c r="J46" s="200">
        <f t="shared" ref="J46:J63" si="16">ROUNDDOWN(H46*I46,2)</f>
        <v>0</v>
      </c>
      <c r="K46" s="1992"/>
      <c r="L46" s="1992"/>
      <c r="M46" s="200">
        <f t="shared" ref="M46:M63" si="17">ROUNDDOWN(K46*L46,2)</f>
        <v>0</v>
      </c>
      <c r="O46" s="1992"/>
      <c r="P46" s="1992"/>
      <c r="Q46" s="200">
        <f t="shared" ref="Q46:Q63" si="18">ROUNDDOWN(O46*P46,2)</f>
        <v>0</v>
      </c>
      <c r="R46" s="1992"/>
      <c r="S46" s="1992"/>
      <c r="T46" s="200">
        <f t="shared" ref="T46:T63" si="19">ROUNDDOWN(R46*S46,2)</f>
        <v>0</v>
      </c>
      <c r="V46" s="1992"/>
      <c r="W46" s="1992"/>
      <c r="X46" s="200">
        <f t="shared" ref="X46:X63" si="20">ROUNDDOWN(V46*W46,2)</f>
        <v>0</v>
      </c>
      <c r="Y46" s="1992"/>
      <c r="Z46" s="1992"/>
      <c r="AA46" s="200">
        <f t="shared" ref="AA46:AA63" si="21">ROUNDDOWN(Y46*Z46,2)</f>
        <v>0</v>
      </c>
      <c r="AB46" s="2200"/>
      <c r="AC46" s="201" t="b">
        <f t="shared" ref="AC46:AC63" si="22">COUNT(A46:AA46)-8&lt;&gt;0</f>
        <v>0</v>
      </c>
    </row>
    <row r="47" spans="1:29" ht="13.5" customHeight="1">
      <c r="A47" s="1993"/>
      <c r="B47" s="1993"/>
      <c r="C47" s="202">
        <f t="shared" si="14"/>
        <v>0</v>
      </c>
      <c r="D47" s="1993"/>
      <c r="E47" s="1993"/>
      <c r="F47" s="202">
        <f t="shared" si="15"/>
        <v>0</v>
      </c>
      <c r="H47" s="1993"/>
      <c r="I47" s="1993"/>
      <c r="J47" s="202">
        <f t="shared" si="16"/>
        <v>0</v>
      </c>
      <c r="K47" s="1993"/>
      <c r="L47" s="1993"/>
      <c r="M47" s="202">
        <f t="shared" si="17"/>
        <v>0</v>
      </c>
      <c r="O47" s="1993"/>
      <c r="P47" s="1993"/>
      <c r="Q47" s="202">
        <f t="shared" si="18"/>
        <v>0</v>
      </c>
      <c r="R47" s="1993"/>
      <c r="S47" s="1993"/>
      <c r="T47" s="202">
        <f t="shared" si="19"/>
        <v>0</v>
      </c>
      <c r="V47" s="1993"/>
      <c r="W47" s="1993"/>
      <c r="X47" s="202">
        <f t="shared" si="20"/>
        <v>0</v>
      </c>
      <c r="Y47" s="1993"/>
      <c r="Z47" s="1993"/>
      <c r="AA47" s="202">
        <f t="shared" si="21"/>
        <v>0</v>
      </c>
      <c r="AB47" s="2200"/>
      <c r="AC47" s="201" t="b">
        <f t="shared" si="22"/>
        <v>0</v>
      </c>
    </row>
    <row r="48" spans="1:29" ht="13.5" customHeight="1">
      <c r="A48" s="1993"/>
      <c r="B48" s="1993"/>
      <c r="C48" s="202">
        <f t="shared" si="14"/>
        <v>0</v>
      </c>
      <c r="D48" s="1993"/>
      <c r="E48" s="1993"/>
      <c r="F48" s="202">
        <f t="shared" si="15"/>
        <v>0</v>
      </c>
      <c r="H48" s="1993"/>
      <c r="I48" s="1993"/>
      <c r="J48" s="202">
        <f t="shared" si="16"/>
        <v>0</v>
      </c>
      <c r="K48" s="1993"/>
      <c r="L48" s="1993"/>
      <c r="M48" s="202">
        <f t="shared" si="17"/>
        <v>0</v>
      </c>
      <c r="O48" s="1993"/>
      <c r="P48" s="1993"/>
      <c r="Q48" s="202">
        <f t="shared" si="18"/>
        <v>0</v>
      </c>
      <c r="R48" s="1993"/>
      <c r="S48" s="1993"/>
      <c r="T48" s="202">
        <f t="shared" si="19"/>
        <v>0</v>
      </c>
      <c r="V48" s="1993"/>
      <c r="W48" s="1993"/>
      <c r="X48" s="202">
        <f t="shared" si="20"/>
        <v>0</v>
      </c>
      <c r="Y48" s="1993"/>
      <c r="Z48" s="1993"/>
      <c r="AA48" s="202">
        <f t="shared" si="21"/>
        <v>0</v>
      </c>
      <c r="AB48" s="2200"/>
      <c r="AC48" s="201" t="b">
        <f t="shared" si="22"/>
        <v>0</v>
      </c>
    </row>
    <row r="49" spans="1:29" ht="13.5" customHeight="1">
      <c r="A49" s="1993"/>
      <c r="B49" s="1993"/>
      <c r="C49" s="202">
        <f t="shared" si="14"/>
        <v>0</v>
      </c>
      <c r="D49" s="1993"/>
      <c r="E49" s="1993"/>
      <c r="F49" s="202">
        <f t="shared" si="15"/>
        <v>0</v>
      </c>
      <c r="H49" s="1993"/>
      <c r="I49" s="1993"/>
      <c r="J49" s="202">
        <f t="shared" si="16"/>
        <v>0</v>
      </c>
      <c r="K49" s="1993"/>
      <c r="L49" s="1993"/>
      <c r="M49" s="202">
        <f t="shared" si="17"/>
        <v>0</v>
      </c>
      <c r="O49" s="1993"/>
      <c r="P49" s="1993"/>
      <c r="Q49" s="202">
        <f t="shared" si="18"/>
        <v>0</v>
      </c>
      <c r="R49" s="1993"/>
      <c r="S49" s="1993"/>
      <c r="T49" s="202">
        <f t="shared" si="19"/>
        <v>0</v>
      </c>
      <c r="V49" s="1993"/>
      <c r="W49" s="1993"/>
      <c r="X49" s="202">
        <f t="shared" si="20"/>
        <v>0</v>
      </c>
      <c r="Y49" s="1993"/>
      <c r="Z49" s="1993"/>
      <c r="AA49" s="202">
        <f t="shared" si="21"/>
        <v>0</v>
      </c>
      <c r="AB49" s="2200"/>
      <c r="AC49" s="201" t="b">
        <f t="shared" si="22"/>
        <v>0</v>
      </c>
    </row>
    <row r="50" spans="1:29" ht="13.5" customHeight="1">
      <c r="A50" s="1993"/>
      <c r="B50" s="1993"/>
      <c r="C50" s="202">
        <f t="shared" si="14"/>
        <v>0</v>
      </c>
      <c r="D50" s="1993"/>
      <c r="E50" s="1993"/>
      <c r="F50" s="202">
        <f t="shared" si="15"/>
        <v>0</v>
      </c>
      <c r="H50" s="1993"/>
      <c r="I50" s="1993"/>
      <c r="J50" s="202">
        <f t="shared" si="16"/>
        <v>0</v>
      </c>
      <c r="K50" s="1993"/>
      <c r="L50" s="1993"/>
      <c r="M50" s="202">
        <f t="shared" si="17"/>
        <v>0</v>
      </c>
      <c r="O50" s="1993"/>
      <c r="P50" s="1993"/>
      <c r="Q50" s="202">
        <f t="shared" si="18"/>
        <v>0</v>
      </c>
      <c r="R50" s="1993"/>
      <c r="S50" s="1993"/>
      <c r="T50" s="202">
        <f t="shared" si="19"/>
        <v>0</v>
      </c>
      <c r="V50" s="1993"/>
      <c r="W50" s="1993"/>
      <c r="X50" s="202">
        <f t="shared" si="20"/>
        <v>0</v>
      </c>
      <c r="Y50" s="1993"/>
      <c r="Z50" s="1993"/>
      <c r="AA50" s="202">
        <f t="shared" si="21"/>
        <v>0</v>
      </c>
      <c r="AB50" s="2200"/>
      <c r="AC50" s="201" t="b">
        <f t="shared" si="22"/>
        <v>0</v>
      </c>
    </row>
    <row r="51" spans="1:29" ht="13.5" customHeight="1">
      <c r="A51" s="1993"/>
      <c r="B51" s="1993"/>
      <c r="C51" s="202">
        <f t="shared" si="14"/>
        <v>0</v>
      </c>
      <c r="D51" s="1993"/>
      <c r="E51" s="1993"/>
      <c r="F51" s="202">
        <f t="shared" si="15"/>
        <v>0</v>
      </c>
      <c r="H51" s="1993"/>
      <c r="I51" s="1993"/>
      <c r="J51" s="202">
        <f t="shared" si="16"/>
        <v>0</v>
      </c>
      <c r="K51" s="1993"/>
      <c r="L51" s="1993"/>
      <c r="M51" s="202">
        <f t="shared" si="17"/>
        <v>0</v>
      </c>
      <c r="O51" s="1993"/>
      <c r="P51" s="1993"/>
      <c r="Q51" s="202">
        <f t="shared" si="18"/>
        <v>0</v>
      </c>
      <c r="R51" s="1993"/>
      <c r="S51" s="1993"/>
      <c r="T51" s="202">
        <f t="shared" si="19"/>
        <v>0</v>
      </c>
      <c r="V51" s="1993"/>
      <c r="W51" s="1993"/>
      <c r="X51" s="202">
        <f t="shared" si="20"/>
        <v>0</v>
      </c>
      <c r="Y51" s="1993"/>
      <c r="Z51" s="1993"/>
      <c r="AA51" s="202">
        <f t="shared" si="21"/>
        <v>0</v>
      </c>
      <c r="AB51" s="2200"/>
      <c r="AC51" s="201" t="b">
        <f t="shared" si="22"/>
        <v>0</v>
      </c>
    </row>
    <row r="52" spans="1:29" ht="13.5" customHeight="1">
      <c r="A52" s="1993"/>
      <c r="B52" s="1993"/>
      <c r="C52" s="202">
        <f t="shared" si="14"/>
        <v>0</v>
      </c>
      <c r="D52" s="1993"/>
      <c r="E52" s="1993"/>
      <c r="F52" s="202">
        <f t="shared" si="15"/>
        <v>0</v>
      </c>
      <c r="H52" s="1993"/>
      <c r="I52" s="1993"/>
      <c r="J52" s="202">
        <f t="shared" si="16"/>
        <v>0</v>
      </c>
      <c r="K52" s="1993"/>
      <c r="L52" s="1993"/>
      <c r="M52" s="202">
        <f t="shared" si="17"/>
        <v>0</v>
      </c>
      <c r="O52" s="1993"/>
      <c r="P52" s="1993"/>
      <c r="Q52" s="202">
        <f t="shared" si="18"/>
        <v>0</v>
      </c>
      <c r="R52" s="1993"/>
      <c r="S52" s="1993"/>
      <c r="T52" s="202">
        <f t="shared" si="19"/>
        <v>0</v>
      </c>
      <c r="V52" s="1993"/>
      <c r="W52" s="1993"/>
      <c r="X52" s="202">
        <f t="shared" si="20"/>
        <v>0</v>
      </c>
      <c r="Y52" s="1993"/>
      <c r="Z52" s="1993"/>
      <c r="AA52" s="202">
        <f t="shared" si="21"/>
        <v>0</v>
      </c>
      <c r="AB52" s="2200"/>
      <c r="AC52" s="201" t="b">
        <f t="shared" si="22"/>
        <v>0</v>
      </c>
    </row>
    <row r="53" spans="1:29" ht="13.5" customHeight="1">
      <c r="A53" s="1993"/>
      <c r="B53" s="1993"/>
      <c r="C53" s="202">
        <f t="shared" si="14"/>
        <v>0</v>
      </c>
      <c r="D53" s="1993"/>
      <c r="E53" s="1993"/>
      <c r="F53" s="202">
        <f t="shared" si="15"/>
        <v>0</v>
      </c>
      <c r="H53" s="1993"/>
      <c r="I53" s="1993"/>
      <c r="J53" s="202">
        <f t="shared" si="16"/>
        <v>0</v>
      </c>
      <c r="K53" s="1993"/>
      <c r="L53" s="1993"/>
      <c r="M53" s="202">
        <f t="shared" si="17"/>
        <v>0</v>
      </c>
      <c r="O53" s="1993"/>
      <c r="P53" s="1993"/>
      <c r="Q53" s="202">
        <f t="shared" si="18"/>
        <v>0</v>
      </c>
      <c r="R53" s="1993"/>
      <c r="S53" s="1993"/>
      <c r="T53" s="202">
        <f t="shared" si="19"/>
        <v>0</v>
      </c>
      <c r="V53" s="1993"/>
      <c r="W53" s="1993"/>
      <c r="X53" s="202">
        <f t="shared" si="20"/>
        <v>0</v>
      </c>
      <c r="Y53" s="1993"/>
      <c r="Z53" s="1993"/>
      <c r="AA53" s="202">
        <f t="shared" si="21"/>
        <v>0</v>
      </c>
      <c r="AB53" s="2200"/>
      <c r="AC53" s="201" t="b">
        <f t="shared" si="22"/>
        <v>0</v>
      </c>
    </row>
    <row r="54" spans="1:29" ht="13.5" customHeight="1">
      <c r="A54" s="1993"/>
      <c r="B54" s="1993"/>
      <c r="C54" s="202">
        <f t="shared" si="14"/>
        <v>0</v>
      </c>
      <c r="D54" s="1993"/>
      <c r="E54" s="1993"/>
      <c r="F54" s="202">
        <f t="shared" si="15"/>
        <v>0</v>
      </c>
      <c r="H54" s="1993"/>
      <c r="I54" s="1993"/>
      <c r="J54" s="202">
        <f t="shared" si="16"/>
        <v>0</v>
      </c>
      <c r="K54" s="1993"/>
      <c r="L54" s="1993"/>
      <c r="M54" s="202">
        <f t="shared" si="17"/>
        <v>0</v>
      </c>
      <c r="O54" s="1993"/>
      <c r="P54" s="1993"/>
      <c r="Q54" s="202">
        <f t="shared" si="18"/>
        <v>0</v>
      </c>
      <c r="R54" s="1993"/>
      <c r="S54" s="1993"/>
      <c r="T54" s="202">
        <f t="shared" si="19"/>
        <v>0</v>
      </c>
      <c r="V54" s="1993"/>
      <c r="W54" s="1993"/>
      <c r="X54" s="202">
        <f t="shared" si="20"/>
        <v>0</v>
      </c>
      <c r="Y54" s="1993"/>
      <c r="Z54" s="1993"/>
      <c r="AA54" s="202">
        <f t="shared" si="21"/>
        <v>0</v>
      </c>
      <c r="AB54" s="2200"/>
      <c r="AC54" s="201" t="b">
        <f t="shared" si="22"/>
        <v>0</v>
      </c>
    </row>
    <row r="55" spans="1:29" ht="13.5" customHeight="1">
      <c r="A55" s="1993"/>
      <c r="B55" s="1993"/>
      <c r="C55" s="202">
        <f t="shared" si="14"/>
        <v>0</v>
      </c>
      <c r="D55" s="1993"/>
      <c r="E55" s="1993"/>
      <c r="F55" s="202">
        <f t="shared" si="15"/>
        <v>0</v>
      </c>
      <c r="H55" s="1993"/>
      <c r="I55" s="1993"/>
      <c r="J55" s="202">
        <f t="shared" si="16"/>
        <v>0</v>
      </c>
      <c r="K55" s="1993"/>
      <c r="L55" s="1993"/>
      <c r="M55" s="202">
        <f t="shared" si="17"/>
        <v>0</v>
      </c>
      <c r="O55" s="1993"/>
      <c r="P55" s="1993"/>
      <c r="Q55" s="202">
        <f t="shared" si="18"/>
        <v>0</v>
      </c>
      <c r="R55" s="1993"/>
      <c r="S55" s="1994"/>
      <c r="T55" s="202">
        <f t="shared" si="19"/>
        <v>0</v>
      </c>
      <c r="V55" s="1993"/>
      <c r="W55" s="1993"/>
      <c r="X55" s="202">
        <f t="shared" si="20"/>
        <v>0</v>
      </c>
      <c r="Y55" s="1993"/>
      <c r="Z55" s="1993"/>
      <c r="AA55" s="202">
        <f t="shared" si="21"/>
        <v>0</v>
      </c>
      <c r="AB55" s="2200"/>
      <c r="AC55" s="201" t="b">
        <f t="shared" si="22"/>
        <v>0</v>
      </c>
    </row>
    <row r="56" spans="1:29" ht="13.5" customHeight="1">
      <c r="A56" s="1993"/>
      <c r="B56" s="1993"/>
      <c r="C56" s="202">
        <f t="shared" si="14"/>
        <v>0</v>
      </c>
      <c r="D56" s="1993"/>
      <c r="E56" s="1993"/>
      <c r="F56" s="202">
        <f t="shared" si="15"/>
        <v>0</v>
      </c>
      <c r="H56" s="1993"/>
      <c r="I56" s="1993"/>
      <c r="J56" s="202">
        <f t="shared" si="16"/>
        <v>0</v>
      </c>
      <c r="K56" s="1993"/>
      <c r="L56" s="1993"/>
      <c r="M56" s="202">
        <f t="shared" si="17"/>
        <v>0</v>
      </c>
      <c r="O56" s="1993"/>
      <c r="P56" s="1993"/>
      <c r="Q56" s="202">
        <f t="shared" si="18"/>
        <v>0</v>
      </c>
      <c r="R56" s="1993"/>
      <c r="S56" s="1994"/>
      <c r="T56" s="202">
        <f t="shared" si="19"/>
        <v>0</v>
      </c>
      <c r="V56" s="1993"/>
      <c r="W56" s="1993"/>
      <c r="X56" s="202">
        <f t="shared" si="20"/>
        <v>0</v>
      </c>
      <c r="Y56" s="1993"/>
      <c r="Z56" s="1993"/>
      <c r="AA56" s="202">
        <f t="shared" si="21"/>
        <v>0</v>
      </c>
      <c r="AB56" s="2200"/>
      <c r="AC56" s="201" t="b">
        <f t="shared" si="22"/>
        <v>0</v>
      </c>
    </row>
    <row r="57" spans="1:29" ht="13.5" customHeight="1">
      <c r="A57" s="1993"/>
      <c r="B57" s="1993"/>
      <c r="C57" s="202">
        <f t="shared" si="14"/>
        <v>0</v>
      </c>
      <c r="D57" s="1993"/>
      <c r="E57" s="1993"/>
      <c r="F57" s="202">
        <f t="shared" si="15"/>
        <v>0</v>
      </c>
      <c r="H57" s="1993"/>
      <c r="I57" s="1993"/>
      <c r="J57" s="202">
        <f t="shared" si="16"/>
        <v>0</v>
      </c>
      <c r="K57" s="1993"/>
      <c r="L57" s="1993"/>
      <c r="M57" s="202">
        <f t="shared" si="17"/>
        <v>0</v>
      </c>
      <c r="O57" s="1993"/>
      <c r="P57" s="1993"/>
      <c r="Q57" s="202">
        <f t="shared" si="18"/>
        <v>0</v>
      </c>
      <c r="R57" s="1993"/>
      <c r="S57" s="1994"/>
      <c r="T57" s="202">
        <f t="shared" si="19"/>
        <v>0</v>
      </c>
      <c r="V57" s="1993"/>
      <c r="W57" s="1993"/>
      <c r="X57" s="202">
        <f t="shared" si="20"/>
        <v>0</v>
      </c>
      <c r="Y57" s="1993"/>
      <c r="Z57" s="1993"/>
      <c r="AA57" s="202">
        <f t="shared" si="21"/>
        <v>0</v>
      </c>
      <c r="AB57" s="2200"/>
      <c r="AC57" s="201" t="b">
        <f t="shared" si="22"/>
        <v>0</v>
      </c>
    </row>
    <row r="58" spans="1:29" ht="13.5" customHeight="1">
      <c r="A58" s="1993"/>
      <c r="B58" s="1993"/>
      <c r="C58" s="202">
        <f t="shared" si="14"/>
        <v>0</v>
      </c>
      <c r="D58" s="1993"/>
      <c r="E58" s="1993"/>
      <c r="F58" s="202">
        <f t="shared" si="15"/>
        <v>0</v>
      </c>
      <c r="H58" s="1993"/>
      <c r="I58" s="1993"/>
      <c r="J58" s="202">
        <f t="shared" si="16"/>
        <v>0</v>
      </c>
      <c r="K58" s="1993"/>
      <c r="L58" s="1993"/>
      <c r="M58" s="202">
        <f t="shared" si="17"/>
        <v>0</v>
      </c>
      <c r="O58" s="1993"/>
      <c r="P58" s="1993"/>
      <c r="Q58" s="202">
        <f t="shared" si="18"/>
        <v>0</v>
      </c>
      <c r="R58" s="1993"/>
      <c r="S58" s="1994"/>
      <c r="T58" s="202">
        <f t="shared" si="19"/>
        <v>0</v>
      </c>
      <c r="V58" s="1993"/>
      <c r="W58" s="1993"/>
      <c r="X58" s="202">
        <f t="shared" si="20"/>
        <v>0</v>
      </c>
      <c r="Y58" s="1993"/>
      <c r="Z58" s="1993"/>
      <c r="AA58" s="202">
        <f t="shared" si="21"/>
        <v>0</v>
      </c>
      <c r="AB58" s="2200"/>
      <c r="AC58" s="201" t="b">
        <f t="shared" si="22"/>
        <v>0</v>
      </c>
    </row>
    <row r="59" spans="1:29" ht="13.5" customHeight="1">
      <c r="A59" s="1993"/>
      <c r="B59" s="1993"/>
      <c r="C59" s="202">
        <f t="shared" si="14"/>
        <v>0</v>
      </c>
      <c r="D59" s="1993"/>
      <c r="E59" s="1993"/>
      <c r="F59" s="202">
        <f t="shared" si="15"/>
        <v>0</v>
      </c>
      <c r="H59" s="1993"/>
      <c r="I59" s="1993"/>
      <c r="J59" s="202">
        <f t="shared" si="16"/>
        <v>0</v>
      </c>
      <c r="K59" s="1993"/>
      <c r="L59" s="1993"/>
      <c r="M59" s="202">
        <f t="shared" si="17"/>
        <v>0</v>
      </c>
      <c r="O59" s="1993"/>
      <c r="P59" s="1993"/>
      <c r="Q59" s="202">
        <f t="shared" si="18"/>
        <v>0</v>
      </c>
      <c r="R59" s="1993"/>
      <c r="S59" s="1994"/>
      <c r="T59" s="202">
        <f t="shared" si="19"/>
        <v>0</v>
      </c>
      <c r="V59" s="1993"/>
      <c r="W59" s="1993"/>
      <c r="X59" s="202">
        <f t="shared" si="20"/>
        <v>0</v>
      </c>
      <c r="Y59" s="1993"/>
      <c r="Z59" s="1993"/>
      <c r="AA59" s="202">
        <f t="shared" si="21"/>
        <v>0</v>
      </c>
      <c r="AB59" s="2200"/>
      <c r="AC59" s="201" t="b">
        <f t="shared" si="22"/>
        <v>0</v>
      </c>
    </row>
    <row r="60" spans="1:29" ht="13.5" customHeight="1">
      <c r="A60" s="1993"/>
      <c r="B60" s="1993"/>
      <c r="C60" s="202">
        <f t="shared" si="14"/>
        <v>0</v>
      </c>
      <c r="D60" s="1993"/>
      <c r="E60" s="1993"/>
      <c r="F60" s="202">
        <f t="shared" si="15"/>
        <v>0</v>
      </c>
      <c r="H60" s="1993"/>
      <c r="I60" s="1993"/>
      <c r="J60" s="202">
        <f t="shared" si="16"/>
        <v>0</v>
      </c>
      <c r="K60" s="1993"/>
      <c r="L60" s="1993"/>
      <c r="M60" s="202">
        <f t="shared" si="17"/>
        <v>0</v>
      </c>
      <c r="O60" s="1993"/>
      <c r="P60" s="1993"/>
      <c r="Q60" s="202">
        <f t="shared" si="18"/>
        <v>0</v>
      </c>
      <c r="R60" s="1993"/>
      <c r="S60" s="1994"/>
      <c r="T60" s="202">
        <f t="shared" si="19"/>
        <v>0</v>
      </c>
      <c r="V60" s="1993"/>
      <c r="W60" s="1993"/>
      <c r="X60" s="202">
        <f t="shared" si="20"/>
        <v>0</v>
      </c>
      <c r="Y60" s="1993"/>
      <c r="Z60" s="1993"/>
      <c r="AA60" s="202">
        <f t="shared" si="21"/>
        <v>0</v>
      </c>
      <c r="AB60" s="2200"/>
      <c r="AC60" s="201" t="b">
        <f t="shared" si="22"/>
        <v>0</v>
      </c>
    </row>
    <row r="61" spans="1:29" ht="13.5" customHeight="1">
      <c r="A61" s="1993"/>
      <c r="B61" s="1993"/>
      <c r="C61" s="202">
        <f t="shared" si="14"/>
        <v>0</v>
      </c>
      <c r="D61" s="1993"/>
      <c r="E61" s="1993"/>
      <c r="F61" s="202">
        <f t="shared" si="15"/>
        <v>0</v>
      </c>
      <c r="H61" s="1993"/>
      <c r="I61" s="1993"/>
      <c r="J61" s="202">
        <f t="shared" si="16"/>
        <v>0</v>
      </c>
      <c r="K61" s="1993"/>
      <c r="L61" s="1993"/>
      <c r="M61" s="202">
        <f t="shared" si="17"/>
        <v>0</v>
      </c>
      <c r="O61" s="1993"/>
      <c r="P61" s="1993"/>
      <c r="Q61" s="202">
        <f t="shared" si="18"/>
        <v>0</v>
      </c>
      <c r="R61" s="1993"/>
      <c r="S61" s="1994"/>
      <c r="T61" s="202">
        <f t="shared" si="19"/>
        <v>0</v>
      </c>
      <c r="V61" s="1993"/>
      <c r="W61" s="1993"/>
      <c r="X61" s="202">
        <f t="shared" si="20"/>
        <v>0</v>
      </c>
      <c r="Y61" s="1993"/>
      <c r="Z61" s="1993"/>
      <c r="AA61" s="202">
        <f t="shared" si="21"/>
        <v>0</v>
      </c>
      <c r="AB61" s="2200"/>
      <c r="AC61" s="201" t="b">
        <f t="shared" si="22"/>
        <v>0</v>
      </c>
    </row>
    <row r="62" spans="1:29" ht="13.5" customHeight="1">
      <c r="A62" s="1993"/>
      <c r="B62" s="1993"/>
      <c r="C62" s="202">
        <f t="shared" si="14"/>
        <v>0</v>
      </c>
      <c r="D62" s="1993"/>
      <c r="E62" s="1993"/>
      <c r="F62" s="202">
        <f t="shared" si="15"/>
        <v>0</v>
      </c>
      <c r="H62" s="1993"/>
      <c r="I62" s="1993"/>
      <c r="J62" s="202">
        <f t="shared" si="16"/>
        <v>0</v>
      </c>
      <c r="K62" s="1993"/>
      <c r="L62" s="1993"/>
      <c r="M62" s="202">
        <f t="shared" si="17"/>
        <v>0</v>
      </c>
      <c r="O62" s="1993"/>
      <c r="P62" s="1993"/>
      <c r="Q62" s="202">
        <f t="shared" si="18"/>
        <v>0</v>
      </c>
      <c r="R62" s="1993"/>
      <c r="S62" s="1994"/>
      <c r="T62" s="202">
        <f t="shared" si="19"/>
        <v>0</v>
      </c>
      <c r="V62" s="1993"/>
      <c r="W62" s="1993"/>
      <c r="X62" s="202">
        <f t="shared" si="20"/>
        <v>0</v>
      </c>
      <c r="Y62" s="1993"/>
      <c r="Z62" s="1993"/>
      <c r="AA62" s="202">
        <f t="shared" si="21"/>
        <v>0</v>
      </c>
      <c r="AB62" s="2200"/>
      <c r="AC62" s="201" t="b">
        <f t="shared" si="22"/>
        <v>0</v>
      </c>
    </row>
    <row r="63" spans="1:29" ht="13.5" customHeight="1">
      <c r="A63" s="1994"/>
      <c r="B63" s="1994"/>
      <c r="C63" s="203">
        <f t="shared" si="14"/>
        <v>0</v>
      </c>
      <c r="D63" s="1994"/>
      <c r="E63" s="1994"/>
      <c r="F63" s="203">
        <f t="shared" si="15"/>
        <v>0</v>
      </c>
      <c r="H63" s="1994"/>
      <c r="I63" s="1994"/>
      <c r="J63" s="203">
        <f t="shared" si="16"/>
        <v>0</v>
      </c>
      <c r="K63" s="1994"/>
      <c r="L63" s="1994"/>
      <c r="M63" s="203">
        <f t="shared" si="17"/>
        <v>0</v>
      </c>
      <c r="O63" s="1994"/>
      <c r="P63" s="1994"/>
      <c r="Q63" s="203">
        <f t="shared" si="18"/>
        <v>0</v>
      </c>
      <c r="R63" s="1994"/>
      <c r="S63" s="1994"/>
      <c r="T63" s="203">
        <f t="shared" si="19"/>
        <v>0</v>
      </c>
      <c r="V63" s="1994"/>
      <c r="W63" s="1994"/>
      <c r="X63" s="203">
        <f t="shared" si="20"/>
        <v>0</v>
      </c>
      <c r="Y63" s="1994"/>
      <c r="Z63" s="1994"/>
      <c r="AA63" s="203">
        <f t="shared" si="21"/>
        <v>0</v>
      </c>
      <c r="AB63" s="2200"/>
      <c r="AC63" s="201" t="b">
        <f t="shared" si="22"/>
        <v>0</v>
      </c>
    </row>
    <row r="64" spans="1:29" ht="13.5" customHeight="1">
      <c r="A64" s="1731" t="s">
        <v>912</v>
      </c>
      <c r="B64" s="1728"/>
      <c r="C64" s="1730"/>
      <c r="D64" s="3113"/>
      <c r="E64" s="3113"/>
      <c r="F64" s="3113"/>
      <c r="H64" s="1731" t="s">
        <v>912</v>
      </c>
      <c r="I64" s="1728"/>
      <c r="J64" s="1730"/>
      <c r="K64" s="3113"/>
      <c r="L64" s="3113"/>
      <c r="M64" s="3113"/>
      <c r="O64" s="1731" t="s">
        <v>912</v>
      </c>
      <c r="P64" s="1728"/>
      <c r="Q64" s="1730"/>
      <c r="R64" s="3113"/>
      <c r="S64" s="3113"/>
      <c r="T64" s="3113"/>
      <c r="V64" s="1731" t="s">
        <v>912</v>
      </c>
      <c r="W64" s="1728"/>
      <c r="X64" s="1730"/>
      <c r="Y64" s="3113"/>
      <c r="Z64" s="3113"/>
      <c r="AA64" s="3113"/>
      <c r="AB64" s="2200"/>
      <c r="AC64" s="198" t="b">
        <f>AC69</f>
        <v>0</v>
      </c>
    </row>
    <row r="65" spans="1:29" ht="13.5" customHeight="1">
      <c r="A65" s="1731" t="s">
        <v>913</v>
      </c>
      <c r="B65" s="1728"/>
      <c r="C65" s="1730"/>
      <c r="D65" s="3114">
        <f>SUM(C46:C63,F46:F63)</f>
        <v>0</v>
      </c>
      <c r="E65" s="3114"/>
      <c r="F65" s="3114"/>
      <c r="H65" s="1731" t="s">
        <v>913</v>
      </c>
      <c r="I65" s="1728"/>
      <c r="J65" s="1730"/>
      <c r="K65" s="3114">
        <f>SUM(J46:J63,M46:M63)</f>
        <v>0</v>
      </c>
      <c r="L65" s="3114"/>
      <c r="M65" s="3114"/>
      <c r="O65" s="1731" t="s">
        <v>913</v>
      </c>
      <c r="P65" s="1728"/>
      <c r="Q65" s="1730"/>
      <c r="R65" s="3114">
        <f>SUM(Q46:Q63,T46:T63)</f>
        <v>0</v>
      </c>
      <c r="S65" s="3114"/>
      <c r="T65" s="3114"/>
      <c r="V65" s="1731" t="s">
        <v>913</v>
      </c>
      <c r="W65" s="1728"/>
      <c r="X65" s="1730"/>
      <c r="Y65" s="3114">
        <f>SUM(X46:X63,AA46:AA63)</f>
        <v>0</v>
      </c>
      <c r="Z65" s="3114"/>
      <c r="AA65" s="3114"/>
      <c r="AB65" s="2200"/>
      <c r="AC65" s="198" t="b">
        <f>AC69</f>
        <v>0</v>
      </c>
    </row>
    <row r="66" spans="1:29" ht="13.5" customHeight="1">
      <c r="A66" s="1731" t="s">
        <v>535</v>
      </c>
      <c r="B66" s="1728"/>
      <c r="C66" s="1730"/>
      <c r="D66" s="3114">
        <f>C78</f>
        <v>0</v>
      </c>
      <c r="E66" s="3114"/>
      <c r="F66" s="3114"/>
      <c r="H66" s="1731" t="s">
        <v>535</v>
      </c>
      <c r="I66" s="1728"/>
      <c r="J66" s="1730"/>
      <c r="K66" s="3114">
        <f>J78</f>
        <v>0</v>
      </c>
      <c r="L66" s="3114"/>
      <c r="M66" s="3114"/>
      <c r="O66" s="1731" t="s">
        <v>535</v>
      </c>
      <c r="P66" s="1728"/>
      <c r="Q66" s="1730"/>
      <c r="R66" s="3114">
        <f>Q78</f>
        <v>0</v>
      </c>
      <c r="S66" s="3114"/>
      <c r="T66" s="3114"/>
      <c r="V66" s="1731" t="s">
        <v>535</v>
      </c>
      <c r="W66" s="1728"/>
      <c r="X66" s="1730"/>
      <c r="Y66" s="3114">
        <f>X78</f>
        <v>0</v>
      </c>
      <c r="Z66" s="3114"/>
      <c r="AA66" s="3114"/>
      <c r="AB66" s="2200"/>
      <c r="AC66" s="198" t="b">
        <f>AC69</f>
        <v>0</v>
      </c>
    </row>
    <row r="67" spans="1:29" ht="13.5" customHeight="1">
      <c r="A67" s="1731" t="s">
        <v>536</v>
      </c>
      <c r="B67" s="1728"/>
      <c r="C67" s="1730"/>
      <c r="D67" s="3114">
        <f>D65-D66</f>
        <v>0</v>
      </c>
      <c r="E67" s="3114"/>
      <c r="F67" s="3114"/>
      <c r="H67" s="1731" t="s">
        <v>536</v>
      </c>
      <c r="I67" s="1728"/>
      <c r="J67" s="1730"/>
      <c r="K67" s="3114">
        <f>K65-K66</f>
        <v>0</v>
      </c>
      <c r="L67" s="3114"/>
      <c r="M67" s="3114"/>
      <c r="O67" s="1731" t="s">
        <v>536</v>
      </c>
      <c r="P67" s="1728"/>
      <c r="Q67" s="1730"/>
      <c r="R67" s="3114">
        <f>R65-R66</f>
        <v>0</v>
      </c>
      <c r="S67" s="3114"/>
      <c r="T67" s="3114"/>
      <c r="V67" s="1731" t="s">
        <v>536</v>
      </c>
      <c r="W67" s="1728"/>
      <c r="X67" s="1730"/>
      <c r="Y67" s="3114">
        <f>Y65-Y66</f>
        <v>0</v>
      </c>
      <c r="Z67" s="3114"/>
      <c r="AA67" s="3114"/>
      <c r="AB67" s="2200"/>
      <c r="AC67" s="198" t="b">
        <f>AC69</f>
        <v>0</v>
      </c>
    </row>
    <row r="68" spans="1:29" ht="13.5" customHeight="1">
      <c r="A68" s="1731" t="s">
        <v>537</v>
      </c>
      <c r="B68" s="1728"/>
      <c r="C68" s="1730"/>
      <c r="D68" s="3120">
        <v>1</v>
      </c>
      <c r="E68" s="3121"/>
      <c r="F68" s="3121"/>
      <c r="H68" s="1731" t="s">
        <v>537</v>
      </c>
      <c r="I68" s="1728"/>
      <c r="J68" s="1730"/>
      <c r="K68" s="3120">
        <v>1</v>
      </c>
      <c r="L68" s="3121"/>
      <c r="M68" s="3121"/>
      <c r="O68" s="1731" t="s">
        <v>537</v>
      </c>
      <c r="P68" s="1728"/>
      <c r="Q68" s="1730"/>
      <c r="R68" s="3120">
        <v>1</v>
      </c>
      <c r="S68" s="3121"/>
      <c r="T68" s="3121"/>
      <c r="V68" s="1731" t="s">
        <v>537</v>
      </c>
      <c r="W68" s="1728"/>
      <c r="X68" s="1730"/>
      <c r="Y68" s="3120">
        <v>1</v>
      </c>
      <c r="Z68" s="3121"/>
      <c r="AA68" s="3121"/>
      <c r="AB68" s="2200"/>
      <c r="AC68" s="198" t="b">
        <f>AC69</f>
        <v>0</v>
      </c>
    </row>
    <row r="69" spans="1:29" ht="13.5" customHeight="1">
      <c r="A69" s="1731" t="s">
        <v>538</v>
      </c>
      <c r="B69" s="1728"/>
      <c r="C69" s="1730"/>
      <c r="D69" s="3114">
        <f>D67*D68</f>
        <v>0</v>
      </c>
      <c r="E69" s="3114"/>
      <c r="F69" s="3114"/>
      <c r="H69" s="1731" t="s">
        <v>538</v>
      </c>
      <c r="I69" s="1728"/>
      <c r="J69" s="1730"/>
      <c r="K69" s="3114">
        <f>K67*K68</f>
        <v>0</v>
      </c>
      <c r="L69" s="3114"/>
      <c r="M69" s="3114"/>
      <c r="O69" s="1731" t="s">
        <v>538</v>
      </c>
      <c r="P69" s="1728"/>
      <c r="Q69" s="1730"/>
      <c r="R69" s="3114">
        <f>R67*R68</f>
        <v>0</v>
      </c>
      <c r="S69" s="3114"/>
      <c r="T69" s="3114"/>
      <c r="V69" s="1731" t="s">
        <v>538</v>
      </c>
      <c r="W69" s="1728"/>
      <c r="X69" s="1730"/>
      <c r="Y69" s="3114">
        <f>Y67*Y68</f>
        <v>0</v>
      </c>
      <c r="Z69" s="3114"/>
      <c r="AA69" s="3114"/>
      <c r="AB69" s="2200"/>
      <c r="AC69" s="198" t="b">
        <f>SUM(A69:AA69)&lt;&gt;0</f>
        <v>0</v>
      </c>
    </row>
    <row r="70" spans="1:29" ht="13.5" customHeight="1">
      <c r="B70" s="195"/>
      <c r="C70" s="195"/>
      <c r="D70" s="2"/>
      <c r="E70" s="2"/>
      <c r="F70" s="2"/>
      <c r="I70" s="195"/>
      <c r="J70" s="195"/>
      <c r="K70" s="2"/>
      <c r="L70" s="2"/>
      <c r="M70" s="2"/>
      <c r="P70" s="195"/>
      <c r="Q70" s="195"/>
      <c r="R70" s="2"/>
      <c r="S70" s="2"/>
      <c r="T70" s="2"/>
      <c r="W70" s="195"/>
      <c r="X70" s="195"/>
      <c r="Y70" s="2"/>
      <c r="Z70" s="2"/>
      <c r="AA70" s="2"/>
      <c r="AB70" s="2200"/>
      <c r="AC70" s="198" t="b">
        <v>1</v>
      </c>
    </row>
    <row r="71" spans="1:29" ht="13.5" customHeight="1">
      <c r="A71" s="1737" t="s">
        <v>5548</v>
      </c>
      <c r="B71" s="3095" t="str">
        <f>A44</f>
        <v>（部屋名等自由入力５）</v>
      </c>
      <c r="C71" s="3096"/>
      <c r="H71" s="1737" t="s">
        <v>5548</v>
      </c>
      <c r="I71" s="3095" t="str">
        <f>H44</f>
        <v>（部屋名等自由入力６）</v>
      </c>
      <c r="J71" s="3096"/>
      <c r="O71" s="1737" t="s">
        <v>5548</v>
      </c>
      <c r="P71" s="3095" t="str">
        <f>O44</f>
        <v>（部屋名等自由入力７）</v>
      </c>
      <c r="Q71" s="3096"/>
      <c r="V71" s="1737" t="s">
        <v>5548</v>
      </c>
      <c r="W71" s="3095" t="str">
        <f>V44</f>
        <v>（部屋名等自由入力８）</v>
      </c>
      <c r="X71" s="3096"/>
      <c r="AB71" s="2200"/>
      <c r="AC71" s="198" t="b">
        <f>AC78</f>
        <v>0</v>
      </c>
    </row>
    <row r="72" spans="1:29" ht="13.5" customHeight="1">
      <c r="A72" s="1738" t="s">
        <v>5547</v>
      </c>
      <c r="B72" s="1026"/>
      <c r="C72" s="1028">
        <f t="shared" ref="C72:C77" si="23">SUMIF(内部開口,B72,内部開口面積)</f>
        <v>0</v>
      </c>
      <c r="H72" s="1738" t="s">
        <v>5547</v>
      </c>
      <c r="I72" s="1026"/>
      <c r="J72" s="1028">
        <f t="shared" ref="J72:J77" si="24">SUMIF(内部開口,I72,内部開口面積)</f>
        <v>0</v>
      </c>
      <c r="O72" s="1738" t="s">
        <v>5547</v>
      </c>
      <c r="P72" s="1026"/>
      <c r="Q72" s="1028">
        <f t="shared" ref="Q72:Q77" si="25">SUMIF(内部開口,P72,内部開口面積)</f>
        <v>0</v>
      </c>
      <c r="V72" s="1738" t="s">
        <v>5547</v>
      </c>
      <c r="W72" s="1026"/>
      <c r="X72" s="1028">
        <f t="shared" ref="X72:X77" si="26">SUMIF(内部開口,W72,内部開口面積)</f>
        <v>0</v>
      </c>
      <c r="AB72" s="2200"/>
      <c r="AC72" s="198" t="b">
        <f t="shared" ref="AC72:AC78" si="27">SUM(B72:AA72)&gt;0</f>
        <v>0</v>
      </c>
    </row>
    <row r="73" spans="1:29" ht="13.5" customHeight="1">
      <c r="A73" s="1739"/>
      <c r="B73" s="1027"/>
      <c r="C73" s="1029">
        <f t="shared" si="23"/>
        <v>0</v>
      </c>
      <c r="H73" s="1739"/>
      <c r="I73" s="1027"/>
      <c r="J73" s="1029">
        <f t="shared" si="24"/>
        <v>0</v>
      </c>
      <c r="O73" s="1739"/>
      <c r="P73" s="1027"/>
      <c r="Q73" s="1029">
        <f t="shared" si="25"/>
        <v>0</v>
      </c>
      <c r="V73" s="1739"/>
      <c r="W73" s="1027"/>
      <c r="X73" s="1029">
        <f t="shared" si="26"/>
        <v>0</v>
      </c>
      <c r="AB73" s="2200"/>
      <c r="AC73" s="198" t="b">
        <f t="shared" si="27"/>
        <v>0</v>
      </c>
    </row>
    <row r="74" spans="1:29" ht="13.5" customHeight="1">
      <c r="A74" s="1739"/>
      <c r="B74" s="1027"/>
      <c r="C74" s="1029">
        <f t="shared" si="23"/>
        <v>0</v>
      </c>
      <c r="H74" s="1739"/>
      <c r="I74" s="1027"/>
      <c r="J74" s="1029">
        <f t="shared" si="24"/>
        <v>0</v>
      </c>
      <c r="O74" s="1739"/>
      <c r="P74" s="1027"/>
      <c r="Q74" s="1029">
        <f t="shared" si="25"/>
        <v>0</v>
      </c>
      <c r="V74" s="1739"/>
      <c r="W74" s="1027"/>
      <c r="X74" s="1029">
        <f t="shared" si="26"/>
        <v>0</v>
      </c>
      <c r="AB74" s="2200"/>
      <c r="AC74" s="198" t="b">
        <f t="shared" si="27"/>
        <v>0</v>
      </c>
    </row>
    <row r="75" spans="1:29" ht="13.5" customHeight="1">
      <c r="A75" s="1739"/>
      <c r="B75" s="1027"/>
      <c r="C75" s="1029">
        <f t="shared" si="23"/>
        <v>0</v>
      </c>
      <c r="H75" s="1739"/>
      <c r="I75" s="1027"/>
      <c r="J75" s="1029">
        <f t="shared" si="24"/>
        <v>0</v>
      </c>
      <c r="O75" s="1739"/>
      <c r="P75" s="1027"/>
      <c r="Q75" s="1029">
        <f t="shared" si="25"/>
        <v>0</v>
      </c>
      <c r="V75" s="1739"/>
      <c r="W75" s="1027"/>
      <c r="X75" s="1029">
        <f t="shared" si="26"/>
        <v>0</v>
      </c>
      <c r="AB75" s="2200"/>
      <c r="AC75" s="198" t="b">
        <f t="shared" si="27"/>
        <v>0</v>
      </c>
    </row>
    <row r="76" spans="1:29" ht="13.5" customHeight="1">
      <c r="A76" s="1739"/>
      <c r="B76" s="1027"/>
      <c r="C76" s="1029">
        <f t="shared" si="23"/>
        <v>0</v>
      </c>
      <c r="H76" s="1739"/>
      <c r="I76" s="1027"/>
      <c r="J76" s="1029">
        <f t="shared" si="24"/>
        <v>0</v>
      </c>
      <c r="O76" s="1739"/>
      <c r="P76" s="1027"/>
      <c r="Q76" s="1029">
        <f t="shared" si="25"/>
        <v>0</v>
      </c>
      <c r="V76" s="1739"/>
      <c r="W76" s="1027"/>
      <c r="X76" s="1029">
        <f t="shared" si="26"/>
        <v>0</v>
      </c>
      <c r="AB76" s="2200"/>
      <c r="AC76" s="198" t="b">
        <f t="shared" si="27"/>
        <v>0</v>
      </c>
    </row>
    <row r="77" spans="1:29" ht="13.5" customHeight="1">
      <c r="A77" s="1739"/>
      <c r="B77" s="1031"/>
      <c r="C77" s="1022">
        <f t="shared" si="23"/>
        <v>0</v>
      </c>
      <c r="H77" s="1739"/>
      <c r="I77" s="1031"/>
      <c r="J77" s="1022">
        <f t="shared" si="24"/>
        <v>0</v>
      </c>
      <c r="O77" s="1739"/>
      <c r="P77" s="1031"/>
      <c r="Q77" s="1022">
        <f t="shared" si="25"/>
        <v>0</v>
      </c>
      <c r="V77" s="1739"/>
      <c r="W77" s="1031"/>
      <c r="X77" s="1022">
        <f t="shared" si="26"/>
        <v>0</v>
      </c>
      <c r="AB77" s="2200"/>
      <c r="AC77" s="198" t="b">
        <f t="shared" si="27"/>
        <v>0</v>
      </c>
    </row>
    <row r="78" spans="1:29" ht="13.5" customHeight="1">
      <c r="A78" s="1740"/>
      <c r="B78" s="2095" t="s">
        <v>5546</v>
      </c>
      <c r="C78" s="1030">
        <f>SUM(C72:C77)</f>
        <v>0</v>
      </c>
      <c r="H78" s="1740"/>
      <c r="I78" s="2095" t="s">
        <v>5546</v>
      </c>
      <c r="J78" s="1030">
        <f>SUM(J72:J77)</f>
        <v>0</v>
      </c>
      <c r="O78" s="1740"/>
      <c r="P78" s="2095" t="s">
        <v>5546</v>
      </c>
      <c r="Q78" s="1030">
        <f>SUM(Q72:Q77)</f>
        <v>0</v>
      </c>
      <c r="V78" s="1740"/>
      <c r="W78" s="2095" t="s">
        <v>5546</v>
      </c>
      <c r="X78" s="1030">
        <f>SUM(X72:X77)</f>
        <v>0</v>
      </c>
      <c r="AB78" s="2200"/>
      <c r="AC78" s="198" t="b">
        <f t="shared" si="27"/>
        <v>0</v>
      </c>
    </row>
    <row r="79" spans="1:29" ht="13.5" customHeight="1">
      <c r="B79" s="2087" t="s">
        <v>5733</v>
      </c>
      <c r="C79" s="1013"/>
      <c r="D79" s="1014"/>
      <c r="E79" s="1013"/>
      <c r="F79" s="1012"/>
      <c r="G79" s="1013"/>
      <c r="H79" s="1012"/>
      <c r="I79" s="1013"/>
      <c r="J79" s="1012"/>
      <c r="K79" s="1013"/>
      <c r="L79" s="1012"/>
      <c r="M79" s="1013"/>
      <c r="N79" s="1012"/>
      <c r="O79" s="1013"/>
      <c r="P79" s="1012"/>
      <c r="Q79" s="1013"/>
      <c r="R79" s="1012"/>
      <c r="S79" s="1013"/>
      <c r="T79" s="1012"/>
      <c r="U79" s="1013"/>
      <c r="V79" s="1012"/>
      <c r="W79" s="1013"/>
      <c r="X79" s="1012"/>
      <c r="Y79" s="1013"/>
      <c r="Z79" s="1012"/>
      <c r="AA79" s="1013"/>
      <c r="AB79" s="2200"/>
      <c r="AC79" s="1011" t="b">
        <v>0</v>
      </c>
    </row>
    <row r="80" spans="1:29" ht="13.5" customHeight="1">
      <c r="B80" s="2087" t="s">
        <v>5587</v>
      </c>
      <c r="C80" s="1013"/>
      <c r="D80" s="1014"/>
      <c r="E80" s="1013"/>
      <c r="F80" s="1012"/>
      <c r="G80" s="1013"/>
      <c r="H80" s="1012"/>
      <c r="I80" s="1013"/>
      <c r="J80" s="1012"/>
      <c r="K80" s="1013"/>
      <c r="L80" s="1012"/>
      <c r="M80" s="1013"/>
      <c r="N80" s="1012"/>
      <c r="O80" s="1013"/>
      <c r="P80" s="1012"/>
      <c r="Q80" s="1013"/>
      <c r="R80" s="1012"/>
      <c r="S80" s="1013"/>
      <c r="T80" s="1012"/>
      <c r="U80" s="1013"/>
      <c r="V80" s="1012"/>
      <c r="W80" s="1013"/>
      <c r="X80" s="1012"/>
      <c r="Y80" s="1013"/>
      <c r="Z80" s="1012"/>
      <c r="AA80" s="1013"/>
      <c r="AB80" s="2200"/>
      <c r="AC80" s="1011" t="b">
        <v>0</v>
      </c>
    </row>
    <row r="81" spans="1:30" ht="13.5" customHeight="1" thickBot="1">
      <c r="B81" s="195"/>
      <c r="C81" s="195"/>
      <c r="D81" s="2"/>
      <c r="E81" s="2"/>
      <c r="F81" s="2"/>
      <c r="I81" s="195"/>
      <c r="J81" s="195"/>
      <c r="K81" s="2"/>
      <c r="L81" s="2"/>
      <c r="M81" s="2"/>
      <c r="P81" s="195"/>
      <c r="Q81" s="195"/>
      <c r="R81" s="2"/>
      <c r="S81" s="2"/>
      <c r="T81" s="2"/>
      <c r="W81" s="195"/>
      <c r="X81" s="195"/>
      <c r="Y81" s="2"/>
      <c r="Z81" s="2"/>
      <c r="AA81" s="2"/>
      <c r="AB81" s="2200"/>
      <c r="AC81" s="198" t="b">
        <v>1</v>
      </c>
    </row>
    <row r="82" spans="1:30" ht="13.5" customHeight="1" thickBot="1">
      <c r="A82" s="3127" t="s">
        <v>5457</v>
      </c>
      <c r="B82" s="3128"/>
      <c r="C82" s="2254">
        <f>SUMIF(A85:AA85,"*",A99:AA99)+SUMIF(A121:AA121,"*",A135:AA135)+SUMIF(A157:AA157,"*",A171:AA171)+SUMIF(A193:AA193,"*",A207:AA207)-SUMIF(A85:AA85,"無し",A99:AA99)-SUMIF(A121:AA121,"無し",A135:AA135)-SUMIF(A157:AA157,"無し",A171:AA171)-SUMIF(A193:AA193,"無し",A207:AA207)</f>
        <v>0</v>
      </c>
      <c r="D82" s="3119"/>
      <c r="AB82" s="2200"/>
      <c r="AC82" s="198" t="b">
        <v>1</v>
      </c>
    </row>
    <row r="83" spans="1:30" ht="13.5" customHeight="1">
      <c r="B83" s="2088" t="s">
        <v>5732</v>
      </c>
      <c r="AB83" s="2200"/>
      <c r="AC83" s="198" t="b">
        <v>1</v>
      </c>
    </row>
    <row r="84" spans="1:30" ht="13.5" customHeight="1">
      <c r="A84" s="1742" t="s">
        <v>539</v>
      </c>
      <c r="B84" s="3109"/>
      <c r="C84" s="3110"/>
      <c r="D84" s="3109"/>
      <c r="E84" s="3110"/>
      <c r="F84" s="3109"/>
      <c r="G84" s="3110"/>
      <c r="H84" s="3109"/>
      <c r="I84" s="3110"/>
      <c r="J84" s="3109"/>
      <c r="K84" s="3110"/>
      <c r="L84" s="3109"/>
      <c r="M84" s="3110"/>
      <c r="N84" s="3109"/>
      <c r="O84" s="3110"/>
      <c r="P84" s="3109"/>
      <c r="Q84" s="3110"/>
      <c r="R84" s="3109"/>
      <c r="S84" s="3110"/>
      <c r="T84" s="3109"/>
      <c r="U84" s="3110"/>
      <c r="V84" s="3109"/>
      <c r="W84" s="3110"/>
      <c r="X84" s="3109"/>
      <c r="Y84" s="3110"/>
      <c r="Z84" s="3109"/>
      <c r="AA84" s="3110"/>
      <c r="AB84" s="2200"/>
      <c r="AC84" s="198" t="b">
        <f>OR(COUNTA(B84:AA84)&lt;&gt;0,AC99)</f>
        <v>0</v>
      </c>
    </row>
    <row r="85" spans="1:30" ht="13.5" customHeight="1">
      <c r="A85" s="1742" t="s">
        <v>540</v>
      </c>
      <c r="B85" s="3107"/>
      <c r="C85" s="3107"/>
      <c r="D85" s="3107"/>
      <c r="E85" s="3107"/>
      <c r="F85" s="3107"/>
      <c r="G85" s="3107"/>
      <c r="H85" s="3107"/>
      <c r="I85" s="3107"/>
      <c r="J85" s="3107"/>
      <c r="K85" s="3107"/>
      <c r="L85" s="3107"/>
      <c r="M85" s="3107"/>
      <c r="N85" s="3107"/>
      <c r="O85" s="3107"/>
      <c r="P85" s="3107"/>
      <c r="Q85" s="3107"/>
      <c r="R85" s="3107"/>
      <c r="S85" s="3107"/>
      <c r="T85" s="3107"/>
      <c r="U85" s="3107"/>
      <c r="V85" s="3107"/>
      <c r="W85" s="3107"/>
      <c r="X85" s="3107"/>
      <c r="Y85" s="3107"/>
      <c r="Z85" s="3107"/>
      <c r="AA85" s="3107"/>
      <c r="AB85" s="2200"/>
      <c r="AC85" s="198" t="b">
        <f>OR(COUNTA(B85:AA85)&lt;&gt;0,AC99)</f>
        <v>0</v>
      </c>
    </row>
    <row r="86" spans="1:30" ht="13.5" customHeight="1">
      <c r="A86" s="1743" t="s">
        <v>1513</v>
      </c>
      <c r="B86" s="3108"/>
      <c r="C86" s="3108"/>
      <c r="D86" s="3108"/>
      <c r="E86" s="3108"/>
      <c r="F86" s="3108"/>
      <c r="G86" s="3108"/>
      <c r="H86" s="3108"/>
      <c r="I86" s="3108"/>
      <c r="J86" s="3108"/>
      <c r="K86" s="3108"/>
      <c r="L86" s="3108"/>
      <c r="M86" s="3108"/>
      <c r="N86" s="3108"/>
      <c r="O86" s="3108"/>
      <c r="P86" s="3108"/>
      <c r="Q86" s="3108"/>
      <c r="R86" s="3108"/>
      <c r="S86" s="3108"/>
      <c r="T86" s="3108"/>
      <c r="U86" s="3108"/>
      <c r="V86" s="3108"/>
      <c r="W86" s="3108"/>
      <c r="X86" s="3108"/>
      <c r="Y86" s="3108"/>
      <c r="Z86" s="3108"/>
      <c r="AA86" s="3108"/>
      <c r="AB86" s="2200"/>
      <c r="AC86" s="198" t="b">
        <f>COUNTA(B86:AA86)&lt;&gt;0</f>
        <v>0</v>
      </c>
    </row>
    <row r="87" spans="1:30" ht="13.5" customHeight="1">
      <c r="A87" s="1744" t="s">
        <v>1514</v>
      </c>
      <c r="B87" s="3098"/>
      <c r="C87" s="3098"/>
      <c r="D87" s="3098"/>
      <c r="E87" s="3098"/>
      <c r="F87" s="3098"/>
      <c r="G87" s="3098"/>
      <c r="H87" s="3098"/>
      <c r="I87" s="3098"/>
      <c r="J87" s="3098"/>
      <c r="K87" s="3098"/>
      <c r="L87" s="3098"/>
      <c r="M87" s="3098"/>
      <c r="N87" s="3098"/>
      <c r="O87" s="3098"/>
      <c r="P87" s="3098"/>
      <c r="Q87" s="3098"/>
      <c r="R87" s="3098"/>
      <c r="S87" s="3098"/>
      <c r="T87" s="3098"/>
      <c r="U87" s="3098"/>
      <c r="V87" s="3098"/>
      <c r="W87" s="3098"/>
      <c r="X87" s="3098"/>
      <c r="Y87" s="3098"/>
      <c r="Z87" s="3098"/>
      <c r="AA87" s="3098"/>
      <c r="AB87" s="2200"/>
      <c r="AC87" s="198" t="b">
        <f>COUNTA(B87:AA87)&lt;&gt;0</f>
        <v>0</v>
      </c>
    </row>
    <row r="88" spans="1:30" ht="13.5" customHeight="1">
      <c r="A88" s="1745" t="s">
        <v>541</v>
      </c>
      <c r="B88" s="3111"/>
      <c r="C88" s="3112"/>
      <c r="D88" s="3111"/>
      <c r="E88" s="3112"/>
      <c r="F88" s="3111"/>
      <c r="G88" s="3112"/>
      <c r="H88" s="3111"/>
      <c r="I88" s="3112"/>
      <c r="J88" s="3111"/>
      <c r="K88" s="3112"/>
      <c r="L88" s="3111"/>
      <c r="M88" s="3112"/>
      <c r="N88" s="3111"/>
      <c r="O88" s="3112"/>
      <c r="P88" s="3111"/>
      <c r="Q88" s="3112"/>
      <c r="R88" s="3111"/>
      <c r="S88" s="3112"/>
      <c r="T88" s="3111"/>
      <c r="U88" s="3112"/>
      <c r="V88" s="3111"/>
      <c r="W88" s="3112"/>
      <c r="X88" s="3111"/>
      <c r="Y88" s="3112"/>
      <c r="Z88" s="3111"/>
      <c r="AA88" s="3112"/>
      <c r="AB88" s="2200"/>
      <c r="AC88" s="1015" t="b">
        <f t="shared" ref="AC88:AC97" si="28">SUM(B88:AA88)&lt;&gt;0</f>
        <v>0</v>
      </c>
    </row>
    <row r="89" spans="1:30" ht="13.5" customHeight="1">
      <c r="A89" s="1745"/>
      <c r="B89" s="3099"/>
      <c r="C89" s="3100"/>
      <c r="D89" s="3099"/>
      <c r="E89" s="3100"/>
      <c r="F89" s="3099"/>
      <c r="G89" s="3100"/>
      <c r="H89" s="3099"/>
      <c r="I89" s="3100"/>
      <c r="J89" s="3099"/>
      <c r="K89" s="3100"/>
      <c r="L89" s="3099"/>
      <c r="M89" s="3100"/>
      <c r="N89" s="3099"/>
      <c r="O89" s="3100"/>
      <c r="P89" s="3099"/>
      <c r="Q89" s="3100"/>
      <c r="R89" s="3099"/>
      <c r="S89" s="3100"/>
      <c r="T89" s="3099"/>
      <c r="U89" s="3100"/>
      <c r="V89" s="3099"/>
      <c r="W89" s="3100"/>
      <c r="X89" s="3099"/>
      <c r="Y89" s="3100"/>
      <c r="Z89" s="3099"/>
      <c r="AA89" s="3100"/>
      <c r="AB89" s="2200"/>
      <c r="AC89" s="1015" t="b">
        <f t="shared" si="28"/>
        <v>0</v>
      </c>
    </row>
    <row r="90" spans="1:30" ht="13.5" customHeight="1">
      <c r="A90" s="1745"/>
      <c r="B90" s="3099"/>
      <c r="C90" s="3100"/>
      <c r="D90" s="3099"/>
      <c r="E90" s="3100"/>
      <c r="F90" s="3099"/>
      <c r="G90" s="3100"/>
      <c r="H90" s="3099"/>
      <c r="I90" s="3100"/>
      <c r="J90" s="3099"/>
      <c r="K90" s="3100"/>
      <c r="L90" s="3099"/>
      <c r="M90" s="3100"/>
      <c r="N90" s="3099"/>
      <c r="O90" s="3100"/>
      <c r="P90" s="3099"/>
      <c r="Q90" s="3100"/>
      <c r="R90" s="3099"/>
      <c r="S90" s="3100"/>
      <c r="T90" s="3099"/>
      <c r="U90" s="3100"/>
      <c r="V90" s="3099"/>
      <c r="W90" s="3100"/>
      <c r="X90" s="3099"/>
      <c r="Y90" s="3100"/>
      <c r="Z90" s="3099"/>
      <c r="AA90" s="3100"/>
      <c r="AB90" s="2200"/>
      <c r="AC90" s="1015" t="b">
        <f t="shared" si="28"/>
        <v>0</v>
      </c>
    </row>
    <row r="91" spans="1:30" ht="13.5" customHeight="1">
      <c r="A91" s="1745"/>
      <c r="B91" s="3099"/>
      <c r="C91" s="3100"/>
      <c r="D91" s="3099"/>
      <c r="E91" s="3100"/>
      <c r="F91" s="3099"/>
      <c r="G91" s="3100"/>
      <c r="H91" s="3099"/>
      <c r="I91" s="3100"/>
      <c r="J91" s="3099"/>
      <c r="K91" s="3100"/>
      <c r="L91" s="3099"/>
      <c r="M91" s="3100"/>
      <c r="N91" s="3099"/>
      <c r="O91" s="3100"/>
      <c r="P91" s="3099"/>
      <c r="Q91" s="3100"/>
      <c r="R91" s="3099"/>
      <c r="S91" s="3100"/>
      <c r="T91" s="3103"/>
      <c r="U91" s="3104"/>
      <c r="V91" s="3099"/>
      <c r="W91" s="3100"/>
      <c r="X91" s="3099"/>
      <c r="Y91" s="3100"/>
      <c r="Z91" s="3099"/>
      <c r="AA91" s="3100"/>
      <c r="AB91" s="2200"/>
      <c r="AC91" s="1015" t="b">
        <f t="shared" si="28"/>
        <v>0</v>
      </c>
    </row>
    <row r="92" spans="1:30" ht="13.5" customHeight="1">
      <c r="A92" s="1745"/>
      <c r="B92" s="3099"/>
      <c r="C92" s="3100"/>
      <c r="D92" s="3099"/>
      <c r="E92" s="3100"/>
      <c r="F92" s="3099"/>
      <c r="G92" s="3100"/>
      <c r="H92" s="3099"/>
      <c r="I92" s="3100"/>
      <c r="J92" s="3099"/>
      <c r="K92" s="3100"/>
      <c r="L92" s="3099"/>
      <c r="M92" s="3100"/>
      <c r="N92" s="3099"/>
      <c r="O92" s="3100"/>
      <c r="P92" s="3099"/>
      <c r="Q92" s="3100"/>
      <c r="R92" s="3099"/>
      <c r="S92" s="3100"/>
      <c r="T92" s="3103"/>
      <c r="U92" s="3104"/>
      <c r="V92" s="3099"/>
      <c r="W92" s="3100"/>
      <c r="X92" s="3099"/>
      <c r="Y92" s="3100"/>
      <c r="Z92" s="3099"/>
      <c r="AA92" s="3100"/>
      <c r="AB92" s="2200"/>
      <c r="AC92" s="1015" t="b">
        <f t="shared" si="28"/>
        <v>0</v>
      </c>
    </row>
    <row r="93" spans="1:30" ht="13.5" customHeight="1">
      <c r="A93" s="1745"/>
      <c r="B93" s="3099"/>
      <c r="C93" s="3100"/>
      <c r="D93" s="3099"/>
      <c r="E93" s="3100"/>
      <c r="F93" s="3099"/>
      <c r="G93" s="3100"/>
      <c r="H93" s="3099"/>
      <c r="I93" s="3100"/>
      <c r="J93" s="3099"/>
      <c r="K93" s="3100"/>
      <c r="L93" s="3099"/>
      <c r="M93" s="3100"/>
      <c r="N93" s="3099"/>
      <c r="O93" s="3100"/>
      <c r="P93" s="3099"/>
      <c r="Q93" s="3100"/>
      <c r="R93" s="3099"/>
      <c r="S93" s="3100"/>
      <c r="T93" s="3103"/>
      <c r="U93" s="3104"/>
      <c r="V93" s="3099"/>
      <c r="W93" s="3100"/>
      <c r="X93" s="3099"/>
      <c r="Y93" s="3100"/>
      <c r="Z93" s="3099"/>
      <c r="AA93" s="3100"/>
      <c r="AB93" s="2200"/>
      <c r="AC93" s="1015" t="b">
        <f t="shared" si="28"/>
        <v>0</v>
      </c>
    </row>
    <row r="94" spans="1:30" ht="13.5" customHeight="1">
      <c r="A94" s="1745"/>
      <c r="B94" s="3099"/>
      <c r="C94" s="3100"/>
      <c r="D94" s="3099"/>
      <c r="E94" s="3100"/>
      <c r="F94" s="3099"/>
      <c r="G94" s="3100"/>
      <c r="H94" s="3099"/>
      <c r="I94" s="3100"/>
      <c r="J94" s="3099"/>
      <c r="K94" s="3100"/>
      <c r="L94" s="3099"/>
      <c r="M94" s="3100"/>
      <c r="N94" s="3099"/>
      <c r="O94" s="3100"/>
      <c r="P94" s="3099"/>
      <c r="Q94" s="3100"/>
      <c r="R94" s="3099"/>
      <c r="S94" s="3100"/>
      <c r="T94" s="3103"/>
      <c r="U94" s="3104"/>
      <c r="V94" s="3099"/>
      <c r="W94" s="3100"/>
      <c r="X94" s="3099"/>
      <c r="Y94" s="3100"/>
      <c r="Z94" s="3099"/>
      <c r="AA94" s="3100"/>
      <c r="AB94" s="2200"/>
      <c r="AC94" s="1015" t="b">
        <f t="shared" si="28"/>
        <v>0</v>
      </c>
    </row>
    <row r="95" spans="1:30" ht="13.5" customHeight="1">
      <c r="A95" s="1745"/>
      <c r="B95" s="3103"/>
      <c r="C95" s="3104"/>
      <c r="D95" s="3103"/>
      <c r="E95" s="3104"/>
      <c r="F95" s="3103"/>
      <c r="G95" s="3104"/>
      <c r="H95" s="3103"/>
      <c r="I95" s="3104"/>
      <c r="J95" s="3103"/>
      <c r="K95" s="3104"/>
      <c r="L95" s="3103"/>
      <c r="M95" s="3104"/>
      <c r="N95" s="3103"/>
      <c r="O95" s="3104"/>
      <c r="P95" s="3103"/>
      <c r="Q95" s="3104"/>
      <c r="R95" s="3103"/>
      <c r="S95" s="3104"/>
      <c r="T95" s="3103"/>
      <c r="U95" s="3104"/>
      <c r="V95" s="3103"/>
      <c r="W95" s="3104"/>
      <c r="X95" s="3103"/>
      <c r="Y95" s="3104"/>
      <c r="Z95" s="3103"/>
      <c r="AA95" s="3104"/>
      <c r="AB95" s="2200"/>
      <c r="AC95" s="1015" t="b">
        <f t="shared" si="28"/>
        <v>0</v>
      </c>
      <c r="AD95" s="204"/>
    </row>
    <row r="96" spans="1:30" ht="13.5" customHeight="1">
      <c r="A96" s="1743" t="s">
        <v>5549</v>
      </c>
      <c r="B96" s="3105"/>
      <c r="C96" s="3106"/>
      <c r="D96" s="3105"/>
      <c r="E96" s="3106"/>
      <c r="F96" s="3105"/>
      <c r="G96" s="3106"/>
      <c r="H96" s="3105"/>
      <c r="I96" s="3106"/>
      <c r="J96" s="3105"/>
      <c r="K96" s="3106"/>
      <c r="L96" s="3105"/>
      <c r="M96" s="3106"/>
      <c r="N96" s="3105"/>
      <c r="O96" s="3106"/>
      <c r="P96" s="3105"/>
      <c r="Q96" s="3106"/>
      <c r="R96" s="3105"/>
      <c r="S96" s="3106"/>
      <c r="T96" s="3105"/>
      <c r="U96" s="3106"/>
      <c r="V96" s="3105"/>
      <c r="W96" s="3106"/>
      <c r="X96" s="3105"/>
      <c r="Y96" s="3106"/>
      <c r="Z96" s="3105"/>
      <c r="AA96" s="3106"/>
      <c r="AB96" s="2200"/>
      <c r="AC96" s="1015" t="b">
        <f t="shared" si="28"/>
        <v>0</v>
      </c>
    </row>
    <row r="97" spans="1:29" ht="13.5" customHeight="1">
      <c r="A97" s="1743" t="s">
        <v>926</v>
      </c>
      <c r="B97" s="3097">
        <f>C116</f>
        <v>0</v>
      </c>
      <c r="C97" s="3097"/>
      <c r="D97" s="3097">
        <f t="shared" ref="D97" si="29">E116</f>
        <v>0</v>
      </c>
      <c r="E97" s="3097"/>
      <c r="F97" s="3097">
        <f t="shared" ref="F97" si="30">G116</f>
        <v>0</v>
      </c>
      <c r="G97" s="3097"/>
      <c r="H97" s="3097">
        <f t="shared" ref="H97" si="31">I116</f>
        <v>0</v>
      </c>
      <c r="I97" s="3097"/>
      <c r="J97" s="3097">
        <f t="shared" ref="J97" si="32">K116</f>
        <v>0</v>
      </c>
      <c r="K97" s="3097"/>
      <c r="L97" s="3097">
        <f t="shared" ref="L97" si="33">M116</f>
        <v>0</v>
      </c>
      <c r="M97" s="3097"/>
      <c r="N97" s="3097">
        <f t="shared" ref="N97" si="34">O116</f>
        <v>0</v>
      </c>
      <c r="O97" s="3097"/>
      <c r="P97" s="3097">
        <f t="shared" ref="P97" si="35">Q116</f>
        <v>0</v>
      </c>
      <c r="Q97" s="3097"/>
      <c r="R97" s="3097">
        <f t="shared" ref="R97" si="36">S116</f>
        <v>0</v>
      </c>
      <c r="S97" s="3097"/>
      <c r="T97" s="3097">
        <f t="shared" ref="T97" si="37">U116</f>
        <v>0</v>
      </c>
      <c r="U97" s="3097"/>
      <c r="V97" s="3097">
        <f t="shared" ref="V97" si="38">W116</f>
        <v>0</v>
      </c>
      <c r="W97" s="3097"/>
      <c r="X97" s="3097">
        <f t="shared" ref="X97" si="39">Y116</f>
        <v>0</v>
      </c>
      <c r="Y97" s="3097"/>
      <c r="Z97" s="3097">
        <f t="shared" ref="Z97" si="40">AA116</f>
        <v>0</v>
      </c>
      <c r="AA97" s="3097"/>
      <c r="AB97" s="2200"/>
      <c r="AC97" s="1015" t="b">
        <f t="shared" si="28"/>
        <v>0</v>
      </c>
    </row>
    <row r="98" spans="1:29" ht="13.5" customHeight="1">
      <c r="A98" s="1743" t="s">
        <v>5550</v>
      </c>
      <c r="B98" s="3101">
        <v>1</v>
      </c>
      <c r="C98" s="3102"/>
      <c r="D98" s="3101">
        <v>1</v>
      </c>
      <c r="E98" s="3102"/>
      <c r="F98" s="3101">
        <v>1</v>
      </c>
      <c r="G98" s="3102"/>
      <c r="H98" s="3101">
        <v>1</v>
      </c>
      <c r="I98" s="3102"/>
      <c r="J98" s="3101">
        <v>1</v>
      </c>
      <c r="K98" s="3102"/>
      <c r="L98" s="3101">
        <v>1</v>
      </c>
      <c r="M98" s="3102"/>
      <c r="N98" s="3101">
        <v>1</v>
      </c>
      <c r="O98" s="3102"/>
      <c r="P98" s="3101">
        <v>1</v>
      </c>
      <c r="Q98" s="3102"/>
      <c r="R98" s="3101">
        <v>1</v>
      </c>
      <c r="S98" s="3102"/>
      <c r="T98" s="3101">
        <v>1</v>
      </c>
      <c r="U98" s="3102"/>
      <c r="V98" s="3101">
        <v>1</v>
      </c>
      <c r="W98" s="3102"/>
      <c r="X98" s="3101">
        <v>1</v>
      </c>
      <c r="Y98" s="3102"/>
      <c r="Z98" s="3101">
        <v>1</v>
      </c>
      <c r="AA98" s="3102"/>
      <c r="AB98" s="2200"/>
      <c r="AC98" s="1015" t="b">
        <f>AC99</f>
        <v>0</v>
      </c>
    </row>
    <row r="99" spans="1:29" ht="13.5" customHeight="1">
      <c r="A99" s="1742" t="s">
        <v>933</v>
      </c>
      <c r="B99" s="3028">
        <f>ROUNDDOWN((SUM(B88:C95)*B96-B97)*B98,2)</f>
        <v>0</v>
      </c>
      <c r="C99" s="3030"/>
      <c r="D99" s="2543">
        <f t="shared" ref="D99" si="41">ROUNDDOWN((SUM(D88:E95)*D96-D97)*D98,2)</f>
        <v>0</v>
      </c>
      <c r="E99" s="3027"/>
      <c r="F99" s="2543">
        <f t="shared" ref="F99" si="42">ROUNDDOWN((SUM(F88:G95)*F96-F97)*F98,2)</f>
        <v>0</v>
      </c>
      <c r="G99" s="3027"/>
      <c r="H99" s="2543">
        <f t="shared" ref="H99" si="43">ROUNDDOWN((SUM(H88:I95)*H96-H97)*H98,2)</f>
        <v>0</v>
      </c>
      <c r="I99" s="3027"/>
      <c r="J99" s="2543">
        <f t="shared" ref="J99" si="44">ROUNDDOWN((SUM(J88:K95)*J96-J97)*J98,2)</f>
        <v>0</v>
      </c>
      <c r="K99" s="3027"/>
      <c r="L99" s="2543">
        <f t="shared" ref="L99" si="45">ROUNDDOWN((SUM(L88:M95)*L96-L97)*L98,2)</f>
        <v>0</v>
      </c>
      <c r="M99" s="3027"/>
      <c r="N99" s="2543">
        <f t="shared" ref="N99" si="46">ROUNDDOWN((SUM(N88:O95)*N96-N97)*N98,2)</f>
        <v>0</v>
      </c>
      <c r="O99" s="3027"/>
      <c r="P99" s="2543">
        <f t="shared" ref="P99" si="47">ROUNDDOWN((SUM(P88:Q95)*P96-P97)*P98,2)</f>
        <v>0</v>
      </c>
      <c r="Q99" s="3027"/>
      <c r="R99" s="2543">
        <f t="shared" ref="R99" si="48">ROUNDDOWN((SUM(R88:S95)*R96-R97)*R98,2)</f>
        <v>0</v>
      </c>
      <c r="S99" s="3027"/>
      <c r="T99" s="2543">
        <f t="shared" ref="T99" si="49">ROUNDDOWN((SUM(T88:U95)*T96-T97)*T98,2)</f>
        <v>0</v>
      </c>
      <c r="U99" s="3027"/>
      <c r="V99" s="2543">
        <f t="shared" ref="V99" si="50">ROUNDDOWN((SUM(V88:W95)*V96-V97)*V98,2)</f>
        <v>0</v>
      </c>
      <c r="W99" s="3027"/>
      <c r="X99" s="2543">
        <f t="shared" ref="X99" si="51">ROUNDDOWN((SUM(X88:Y95)*X96-X97)*X98,2)</f>
        <v>0</v>
      </c>
      <c r="Y99" s="3027"/>
      <c r="Z99" s="2543">
        <f t="shared" ref="Z99" si="52">ROUNDDOWN((SUM(Z88:AA95)*Z96-Z97)*Z98,2)</f>
        <v>0</v>
      </c>
      <c r="AA99" s="3027"/>
      <c r="AB99" s="2200"/>
      <c r="AC99" s="204" t="b">
        <f>COUNTIF(B99:AA99,"&lt;&gt;0")-13&lt;&gt;0</f>
        <v>0</v>
      </c>
    </row>
    <row r="100" spans="1:29" ht="13.5" customHeight="1">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200"/>
      <c r="AC100" s="198" t="b">
        <f>AC116</f>
        <v>0</v>
      </c>
    </row>
    <row r="101" spans="1:29" ht="13.5" customHeight="1">
      <c r="A101" s="1737" t="s">
        <v>5548</v>
      </c>
      <c r="B101" s="3095">
        <f>B84</f>
        <v>0</v>
      </c>
      <c r="C101" s="3096"/>
      <c r="D101" s="3095">
        <f>D84</f>
        <v>0</v>
      </c>
      <c r="E101" s="3096"/>
      <c r="F101" s="3095">
        <f>F84</f>
        <v>0</v>
      </c>
      <c r="G101" s="3096"/>
      <c r="H101" s="3095">
        <f>H84</f>
        <v>0</v>
      </c>
      <c r="I101" s="3096"/>
      <c r="J101" s="3095">
        <f>J84</f>
        <v>0</v>
      </c>
      <c r="K101" s="3096"/>
      <c r="L101" s="3095">
        <f>L84</f>
        <v>0</v>
      </c>
      <c r="M101" s="3096"/>
      <c r="N101" s="3095">
        <f>N84</f>
        <v>0</v>
      </c>
      <c r="O101" s="3096"/>
      <c r="P101" s="3095">
        <f>P84</f>
        <v>0</v>
      </c>
      <c r="Q101" s="3096"/>
      <c r="R101" s="3095">
        <f>R84</f>
        <v>0</v>
      </c>
      <c r="S101" s="3096"/>
      <c r="T101" s="3095">
        <f>T84</f>
        <v>0</v>
      </c>
      <c r="U101" s="3096"/>
      <c r="V101" s="3095">
        <f>V84</f>
        <v>0</v>
      </c>
      <c r="W101" s="3096"/>
      <c r="X101" s="3095">
        <f>X84</f>
        <v>0</v>
      </c>
      <c r="Y101" s="3096"/>
      <c r="Z101" s="3095">
        <f>Z84</f>
        <v>0</v>
      </c>
      <c r="AA101" s="3096"/>
      <c r="AB101" s="2200"/>
      <c r="AC101" s="198" t="b">
        <f>AC116</f>
        <v>0</v>
      </c>
    </row>
    <row r="102" spans="1:29" ht="13.5" customHeight="1">
      <c r="A102" s="1738" t="s">
        <v>5547</v>
      </c>
      <c r="B102" s="3115" t="s">
        <v>5581</v>
      </c>
      <c r="C102" s="3116"/>
      <c r="D102" s="3115" t="s">
        <v>5581</v>
      </c>
      <c r="E102" s="3116"/>
      <c r="F102" s="3115" t="s">
        <v>5581</v>
      </c>
      <c r="G102" s="3116"/>
      <c r="H102" s="3115" t="s">
        <v>5581</v>
      </c>
      <c r="I102" s="3116"/>
      <c r="J102" s="3115" t="s">
        <v>5581</v>
      </c>
      <c r="K102" s="3116"/>
      <c r="L102" s="3115" t="s">
        <v>5581</v>
      </c>
      <c r="M102" s="3116"/>
      <c r="N102" s="3115" t="s">
        <v>5581</v>
      </c>
      <c r="O102" s="3116"/>
      <c r="P102" s="3115" t="s">
        <v>5581</v>
      </c>
      <c r="Q102" s="3116"/>
      <c r="R102" s="3115" t="s">
        <v>5581</v>
      </c>
      <c r="S102" s="3116"/>
      <c r="T102" s="3115" t="s">
        <v>5581</v>
      </c>
      <c r="U102" s="3116"/>
      <c r="V102" s="3115" t="s">
        <v>5581</v>
      </c>
      <c r="W102" s="3116"/>
      <c r="X102" s="3115" t="s">
        <v>5581</v>
      </c>
      <c r="Y102" s="3116"/>
      <c r="Z102" s="3115" t="s">
        <v>5581</v>
      </c>
      <c r="AA102" s="3116"/>
      <c r="AB102" s="2200"/>
      <c r="AC102" s="198" t="b">
        <f>AC116</f>
        <v>0</v>
      </c>
    </row>
    <row r="103" spans="1:29" ht="13.5" customHeight="1">
      <c r="A103" s="1738"/>
      <c r="B103" s="1026"/>
      <c r="C103" s="1028">
        <f t="shared" ref="C103:C108" si="53">SUMIF(外部開口,B103,外部開口面積)</f>
        <v>0</v>
      </c>
      <c r="D103" s="1026"/>
      <c r="E103" s="1028">
        <f t="shared" ref="E103:E108" si="54">SUMIF(外部開口,D103,外部開口面積)</f>
        <v>0</v>
      </c>
      <c r="F103" s="1026"/>
      <c r="G103" s="1028">
        <f t="shared" ref="G103:G108" si="55">SUMIF(外部開口,F103,外部開口面積)</f>
        <v>0</v>
      </c>
      <c r="H103" s="1026"/>
      <c r="I103" s="1028">
        <f t="shared" ref="I103:I108" si="56">SUMIF(外部開口,H103,外部開口面積)</f>
        <v>0</v>
      </c>
      <c r="J103" s="1026"/>
      <c r="K103" s="1028">
        <f t="shared" ref="K103:K108" si="57">SUMIF(外部開口,J103,外部開口面積)</f>
        <v>0</v>
      </c>
      <c r="L103" s="1026"/>
      <c r="M103" s="1028">
        <f t="shared" ref="M103:M108" si="58">SUMIF(外部開口,L103,外部開口面積)</f>
        <v>0</v>
      </c>
      <c r="N103" s="1026"/>
      <c r="O103" s="1028">
        <f t="shared" ref="O103:O108" si="59">SUMIF(外部開口,N103,外部開口面積)</f>
        <v>0</v>
      </c>
      <c r="P103" s="1026"/>
      <c r="Q103" s="1028">
        <f t="shared" ref="Q103:Q108" si="60">SUMIF(外部開口,P103,外部開口面積)</f>
        <v>0</v>
      </c>
      <c r="R103" s="1026"/>
      <c r="S103" s="1028">
        <f t="shared" ref="S103:S108" si="61">SUMIF(外部開口,R103,外部開口面積)</f>
        <v>0</v>
      </c>
      <c r="T103" s="1026"/>
      <c r="U103" s="1028">
        <f t="shared" ref="U103:U108" si="62">SUMIF(外部開口,T103,外部開口面積)</f>
        <v>0</v>
      </c>
      <c r="V103" s="1026"/>
      <c r="W103" s="1028">
        <f t="shared" ref="W103:W108" si="63">SUMIF(外部開口,V103,外部開口面積)</f>
        <v>0</v>
      </c>
      <c r="X103" s="1026"/>
      <c r="Y103" s="1028">
        <f t="shared" ref="Y103:Y108" si="64">SUMIF(外部開口,X103,外部開口面積)</f>
        <v>0</v>
      </c>
      <c r="Z103" s="1026"/>
      <c r="AA103" s="1028">
        <f t="shared" ref="AA103:AA108" si="65">SUMIF(外部開口,Z103,外部開口面積)</f>
        <v>0</v>
      </c>
      <c r="AB103" s="2200"/>
      <c r="AC103" s="198" t="b">
        <f t="shared" ref="AC103:AC116" si="66">SUM(B103:AA103)&gt;0</f>
        <v>0</v>
      </c>
    </row>
    <row r="104" spans="1:29" ht="13.5" customHeight="1">
      <c r="A104" s="1739"/>
      <c r="B104" s="1027"/>
      <c r="C104" s="1029">
        <f t="shared" si="53"/>
        <v>0</v>
      </c>
      <c r="D104" s="1027"/>
      <c r="E104" s="1029">
        <f t="shared" si="54"/>
        <v>0</v>
      </c>
      <c r="F104" s="1027"/>
      <c r="G104" s="1029">
        <f t="shared" si="55"/>
        <v>0</v>
      </c>
      <c r="H104" s="1027"/>
      <c r="I104" s="1029">
        <f t="shared" si="56"/>
        <v>0</v>
      </c>
      <c r="J104" s="1027"/>
      <c r="K104" s="1029">
        <f t="shared" si="57"/>
        <v>0</v>
      </c>
      <c r="L104" s="1027"/>
      <c r="M104" s="1029">
        <f t="shared" si="58"/>
        <v>0</v>
      </c>
      <c r="N104" s="1027"/>
      <c r="O104" s="1029">
        <f t="shared" si="59"/>
        <v>0</v>
      </c>
      <c r="P104" s="1027"/>
      <c r="Q104" s="1029">
        <f t="shared" si="60"/>
        <v>0</v>
      </c>
      <c r="R104" s="1027"/>
      <c r="S104" s="1029">
        <f t="shared" si="61"/>
        <v>0</v>
      </c>
      <c r="T104" s="1027"/>
      <c r="U104" s="1029">
        <f t="shared" si="62"/>
        <v>0</v>
      </c>
      <c r="V104" s="1027"/>
      <c r="W104" s="1029">
        <f t="shared" si="63"/>
        <v>0</v>
      </c>
      <c r="X104" s="1027"/>
      <c r="Y104" s="1029">
        <f t="shared" si="64"/>
        <v>0</v>
      </c>
      <c r="Z104" s="1027"/>
      <c r="AA104" s="1029">
        <f t="shared" si="65"/>
        <v>0</v>
      </c>
      <c r="AB104" s="2200"/>
      <c r="AC104" s="198" t="b">
        <f t="shared" si="66"/>
        <v>0</v>
      </c>
    </row>
    <row r="105" spans="1:29" ht="13.5" customHeight="1">
      <c r="A105" s="1739"/>
      <c r="B105" s="1027"/>
      <c r="C105" s="1029">
        <f t="shared" si="53"/>
        <v>0</v>
      </c>
      <c r="D105" s="1027"/>
      <c r="E105" s="1029">
        <f t="shared" si="54"/>
        <v>0</v>
      </c>
      <c r="F105" s="1027"/>
      <c r="G105" s="1029">
        <f t="shared" si="55"/>
        <v>0</v>
      </c>
      <c r="H105" s="1027"/>
      <c r="I105" s="1029">
        <f t="shared" si="56"/>
        <v>0</v>
      </c>
      <c r="J105" s="1027"/>
      <c r="K105" s="1029">
        <f t="shared" si="57"/>
        <v>0</v>
      </c>
      <c r="L105" s="1027"/>
      <c r="M105" s="1029">
        <f t="shared" si="58"/>
        <v>0</v>
      </c>
      <c r="N105" s="1027"/>
      <c r="O105" s="1029">
        <f t="shared" si="59"/>
        <v>0</v>
      </c>
      <c r="P105" s="1027"/>
      <c r="Q105" s="1029">
        <f t="shared" si="60"/>
        <v>0</v>
      </c>
      <c r="R105" s="1027"/>
      <c r="S105" s="1029">
        <f t="shared" si="61"/>
        <v>0</v>
      </c>
      <c r="T105" s="1027"/>
      <c r="U105" s="1029">
        <f t="shared" si="62"/>
        <v>0</v>
      </c>
      <c r="V105" s="1027"/>
      <c r="W105" s="1029">
        <f t="shared" si="63"/>
        <v>0</v>
      </c>
      <c r="X105" s="1027"/>
      <c r="Y105" s="1029">
        <f t="shared" si="64"/>
        <v>0</v>
      </c>
      <c r="Z105" s="1027"/>
      <c r="AA105" s="1029">
        <f t="shared" si="65"/>
        <v>0</v>
      </c>
      <c r="AB105" s="2200"/>
      <c r="AC105" s="198" t="b">
        <f t="shared" ref="AC105:AC107" si="67">SUM(B105:AA105)&gt;0</f>
        <v>0</v>
      </c>
    </row>
    <row r="106" spans="1:29" ht="13.5" customHeight="1">
      <c r="A106" s="1739"/>
      <c r="B106" s="1027"/>
      <c r="C106" s="1029">
        <f t="shared" si="53"/>
        <v>0</v>
      </c>
      <c r="D106" s="1027"/>
      <c r="E106" s="1029">
        <f t="shared" si="54"/>
        <v>0</v>
      </c>
      <c r="F106" s="1027"/>
      <c r="G106" s="1029">
        <f t="shared" si="55"/>
        <v>0</v>
      </c>
      <c r="H106" s="1027"/>
      <c r="I106" s="1029">
        <f t="shared" si="56"/>
        <v>0</v>
      </c>
      <c r="J106" s="1027"/>
      <c r="K106" s="1029">
        <f t="shared" si="57"/>
        <v>0</v>
      </c>
      <c r="L106" s="1027"/>
      <c r="M106" s="1029">
        <f t="shared" si="58"/>
        <v>0</v>
      </c>
      <c r="N106" s="1027"/>
      <c r="O106" s="1029">
        <f t="shared" si="59"/>
        <v>0</v>
      </c>
      <c r="P106" s="1027"/>
      <c r="Q106" s="1029">
        <f t="shared" si="60"/>
        <v>0</v>
      </c>
      <c r="R106" s="1027"/>
      <c r="S106" s="1029">
        <f t="shared" si="61"/>
        <v>0</v>
      </c>
      <c r="T106" s="1027"/>
      <c r="U106" s="1029">
        <f t="shared" si="62"/>
        <v>0</v>
      </c>
      <c r="V106" s="1027"/>
      <c r="W106" s="1029">
        <f t="shared" si="63"/>
        <v>0</v>
      </c>
      <c r="X106" s="1027"/>
      <c r="Y106" s="1029">
        <f t="shared" si="64"/>
        <v>0</v>
      </c>
      <c r="Z106" s="1027"/>
      <c r="AA106" s="1029">
        <f t="shared" si="65"/>
        <v>0</v>
      </c>
      <c r="AB106" s="2200"/>
      <c r="AC106" s="198" t="b">
        <f t="shared" ref="AC106" si="68">SUM(B106:AA106)&gt;0</f>
        <v>0</v>
      </c>
    </row>
    <row r="107" spans="1:29" ht="13.5" customHeight="1">
      <c r="A107" s="1739"/>
      <c r="B107" s="1027"/>
      <c r="C107" s="1029">
        <f t="shared" si="53"/>
        <v>0</v>
      </c>
      <c r="D107" s="1027"/>
      <c r="E107" s="1029">
        <f t="shared" si="54"/>
        <v>0</v>
      </c>
      <c r="F107" s="1027"/>
      <c r="G107" s="1029">
        <f t="shared" si="55"/>
        <v>0</v>
      </c>
      <c r="H107" s="1027"/>
      <c r="I107" s="1029">
        <f t="shared" si="56"/>
        <v>0</v>
      </c>
      <c r="J107" s="1027"/>
      <c r="K107" s="1029">
        <f t="shared" si="57"/>
        <v>0</v>
      </c>
      <c r="L107" s="1027"/>
      <c r="M107" s="1029">
        <f t="shared" si="58"/>
        <v>0</v>
      </c>
      <c r="N107" s="1027"/>
      <c r="O107" s="1029">
        <f t="shared" si="59"/>
        <v>0</v>
      </c>
      <c r="P107" s="1027"/>
      <c r="Q107" s="1029">
        <f t="shared" si="60"/>
        <v>0</v>
      </c>
      <c r="R107" s="1027"/>
      <c r="S107" s="1029">
        <f t="shared" si="61"/>
        <v>0</v>
      </c>
      <c r="T107" s="1027"/>
      <c r="U107" s="1029">
        <f t="shared" si="62"/>
        <v>0</v>
      </c>
      <c r="V107" s="1027"/>
      <c r="W107" s="1029">
        <f t="shared" si="63"/>
        <v>0</v>
      </c>
      <c r="X107" s="1027"/>
      <c r="Y107" s="1029">
        <f t="shared" si="64"/>
        <v>0</v>
      </c>
      <c r="Z107" s="1027"/>
      <c r="AA107" s="1029">
        <f t="shared" si="65"/>
        <v>0</v>
      </c>
      <c r="AB107" s="2200"/>
      <c r="AC107" s="198" t="b">
        <f t="shared" si="67"/>
        <v>0</v>
      </c>
    </row>
    <row r="108" spans="1:29" ht="13.5" customHeight="1">
      <c r="A108" s="1739"/>
      <c r="B108" s="1027"/>
      <c r="C108" s="1029">
        <f t="shared" si="53"/>
        <v>0</v>
      </c>
      <c r="D108" s="1027"/>
      <c r="E108" s="1029">
        <f t="shared" si="54"/>
        <v>0</v>
      </c>
      <c r="F108" s="1027"/>
      <c r="G108" s="1029">
        <f t="shared" si="55"/>
        <v>0</v>
      </c>
      <c r="H108" s="1027"/>
      <c r="I108" s="1029">
        <f t="shared" si="56"/>
        <v>0</v>
      </c>
      <c r="J108" s="1027"/>
      <c r="K108" s="1029">
        <f t="shared" si="57"/>
        <v>0</v>
      </c>
      <c r="L108" s="1027"/>
      <c r="M108" s="1029">
        <f t="shared" si="58"/>
        <v>0</v>
      </c>
      <c r="N108" s="1027"/>
      <c r="O108" s="1029">
        <f t="shared" si="59"/>
        <v>0</v>
      </c>
      <c r="P108" s="1027"/>
      <c r="Q108" s="1029">
        <f t="shared" si="60"/>
        <v>0</v>
      </c>
      <c r="R108" s="1027"/>
      <c r="S108" s="1029">
        <f t="shared" si="61"/>
        <v>0</v>
      </c>
      <c r="T108" s="1027"/>
      <c r="U108" s="1029">
        <f t="shared" si="62"/>
        <v>0</v>
      </c>
      <c r="V108" s="1027"/>
      <c r="W108" s="1029">
        <f t="shared" si="63"/>
        <v>0</v>
      </c>
      <c r="X108" s="1027"/>
      <c r="Y108" s="1029">
        <f t="shared" si="64"/>
        <v>0</v>
      </c>
      <c r="Z108" s="1027"/>
      <c r="AA108" s="1029">
        <f t="shared" si="65"/>
        <v>0</v>
      </c>
      <c r="AB108" s="2200"/>
      <c r="AC108" s="198" t="b">
        <f t="shared" si="66"/>
        <v>0</v>
      </c>
    </row>
    <row r="109" spans="1:29" ht="13.5" customHeight="1">
      <c r="A109" s="1739"/>
      <c r="B109" s="3115" t="s">
        <v>5582</v>
      </c>
      <c r="C109" s="3116"/>
      <c r="D109" s="3115" t="s">
        <v>5582</v>
      </c>
      <c r="E109" s="3116"/>
      <c r="F109" s="3115" t="s">
        <v>5582</v>
      </c>
      <c r="G109" s="3116"/>
      <c r="H109" s="3115" t="s">
        <v>5582</v>
      </c>
      <c r="I109" s="3116"/>
      <c r="J109" s="3115" t="s">
        <v>5582</v>
      </c>
      <c r="K109" s="3116"/>
      <c r="L109" s="3115" t="s">
        <v>5582</v>
      </c>
      <c r="M109" s="3116"/>
      <c r="N109" s="3115" t="s">
        <v>5582</v>
      </c>
      <c r="O109" s="3116"/>
      <c r="P109" s="3115" t="s">
        <v>5582</v>
      </c>
      <c r="Q109" s="3116"/>
      <c r="R109" s="3115" t="s">
        <v>5582</v>
      </c>
      <c r="S109" s="3116"/>
      <c r="T109" s="3115" t="s">
        <v>5582</v>
      </c>
      <c r="U109" s="3116"/>
      <c r="V109" s="3115" t="s">
        <v>5582</v>
      </c>
      <c r="W109" s="3116"/>
      <c r="X109" s="3115" t="s">
        <v>5582</v>
      </c>
      <c r="Y109" s="3116"/>
      <c r="Z109" s="3115" t="s">
        <v>5582</v>
      </c>
      <c r="AA109" s="3116"/>
      <c r="AB109" s="2200"/>
      <c r="AC109" s="198" t="b">
        <f>AC116</f>
        <v>0</v>
      </c>
    </row>
    <row r="110" spans="1:29" ht="13.5" customHeight="1">
      <c r="A110" s="1739"/>
      <c r="B110" s="1027"/>
      <c r="C110" s="1029">
        <f t="shared" ref="C110:C115" si="69">SUMIF(内部開口,B110,内部開口面積)</f>
        <v>0</v>
      </c>
      <c r="D110" s="1027"/>
      <c r="E110" s="1029">
        <f t="shared" ref="E110:E115" si="70">SUMIF(内部開口,D110,内部開口面積)</f>
        <v>0</v>
      </c>
      <c r="F110" s="1027"/>
      <c r="G110" s="1029">
        <f t="shared" ref="G110:G115" si="71">SUMIF(内部開口,F110,内部開口面積)</f>
        <v>0</v>
      </c>
      <c r="H110" s="1027"/>
      <c r="I110" s="1029">
        <f t="shared" ref="I110:I115" si="72">SUMIF(内部開口,H110,内部開口面積)</f>
        <v>0</v>
      </c>
      <c r="J110" s="1027"/>
      <c r="K110" s="1029">
        <f t="shared" ref="K110:K115" si="73">SUMIF(内部開口,J110,内部開口面積)</f>
        <v>0</v>
      </c>
      <c r="L110" s="1027"/>
      <c r="M110" s="1029">
        <f t="shared" ref="M110:M115" si="74">SUMIF(内部開口,L110,内部開口面積)</f>
        <v>0</v>
      </c>
      <c r="N110" s="1027"/>
      <c r="O110" s="1029">
        <f t="shared" ref="O110:O115" si="75">SUMIF(内部開口,N110,内部開口面積)</f>
        <v>0</v>
      </c>
      <c r="P110" s="1027"/>
      <c r="Q110" s="1029">
        <f t="shared" ref="Q110:Q115" si="76">SUMIF(内部開口,P110,内部開口面積)</f>
        <v>0</v>
      </c>
      <c r="R110" s="1027"/>
      <c r="S110" s="1029">
        <f t="shared" ref="S110:S115" si="77">SUMIF(内部開口,R110,内部開口面積)</f>
        <v>0</v>
      </c>
      <c r="T110" s="1027"/>
      <c r="U110" s="1029">
        <f t="shared" ref="U110:U115" si="78">SUMIF(内部開口,T110,内部開口面積)</f>
        <v>0</v>
      </c>
      <c r="V110" s="1027"/>
      <c r="W110" s="1029">
        <f t="shared" ref="W110:W115" si="79">SUMIF(内部開口,V110,内部開口面積)</f>
        <v>0</v>
      </c>
      <c r="X110" s="1027"/>
      <c r="Y110" s="1029">
        <f t="shared" ref="Y110:Y115" si="80">SUMIF(内部開口,X110,内部開口面積)</f>
        <v>0</v>
      </c>
      <c r="Z110" s="1027"/>
      <c r="AA110" s="1029">
        <f t="shared" ref="AA110:AA115" si="81">SUMIF(内部開口,Z110,内部開口面積)</f>
        <v>0</v>
      </c>
      <c r="AB110" s="2200"/>
      <c r="AC110" s="198" t="b">
        <f t="shared" si="66"/>
        <v>0</v>
      </c>
    </row>
    <row r="111" spans="1:29" ht="13.5" customHeight="1">
      <c r="A111" s="1739"/>
      <c r="B111" s="1027"/>
      <c r="C111" s="1029">
        <f t="shared" si="69"/>
        <v>0</v>
      </c>
      <c r="D111" s="1027"/>
      <c r="E111" s="1029">
        <f t="shared" si="70"/>
        <v>0</v>
      </c>
      <c r="F111" s="1027"/>
      <c r="G111" s="1029">
        <f t="shared" si="71"/>
        <v>0</v>
      </c>
      <c r="H111" s="1027"/>
      <c r="I111" s="1029">
        <f t="shared" si="72"/>
        <v>0</v>
      </c>
      <c r="J111" s="1027"/>
      <c r="K111" s="1029">
        <f t="shared" si="73"/>
        <v>0</v>
      </c>
      <c r="L111" s="1027"/>
      <c r="M111" s="1029">
        <f t="shared" si="74"/>
        <v>0</v>
      </c>
      <c r="N111" s="1027"/>
      <c r="O111" s="1029">
        <f t="shared" si="75"/>
        <v>0</v>
      </c>
      <c r="P111" s="1027"/>
      <c r="Q111" s="1029">
        <f t="shared" si="76"/>
        <v>0</v>
      </c>
      <c r="R111" s="1027"/>
      <c r="S111" s="1029">
        <f t="shared" si="77"/>
        <v>0</v>
      </c>
      <c r="T111" s="1027"/>
      <c r="U111" s="1029">
        <f t="shared" si="78"/>
        <v>0</v>
      </c>
      <c r="V111" s="1027"/>
      <c r="W111" s="1029">
        <f t="shared" si="79"/>
        <v>0</v>
      </c>
      <c r="X111" s="1027"/>
      <c r="Y111" s="1029">
        <f t="shared" si="80"/>
        <v>0</v>
      </c>
      <c r="Z111" s="1027"/>
      <c r="AA111" s="1029">
        <f t="shared" si="81"/>
        <v>0</v>
      </c>
      <c r="AB111" s="2200"/>
      <c r="AC111" s="198" t="b">
        <f t="shared" ref="AC111:AC113" si="82">SUM(B111:AA111)&gt;0</f>
        <v>0</v>
      </c>
    </row>
    <row r="112" spans="1:29" ht="13.5" customHeight="1">
      <c r="A112" s="1739"/>
      <c r="B112" s="1027"/>
      <c r="C112" s="1029">
        <f t="shared" si="69"/>
        <v>0</v>
      </c>
      <c r="D112" s="1027"/>
      <c r="E112" s="1029">
        <f t="shared" si="70"/>
        <v>0</v>
      </c>
      <c r="F112" s="1027"/>
      <c r="G112" s="1029">
        <f t="shared" si="71"/>
        <v>0</v>
      </c>
      <c r="H112" s="1027"/>
      <c r="I112" s="1029">
        <f t="shared" si="72"/>
        <v>0</v>
      </c>
      <c r="J112" s="1027"/>
      <c r="K112" s="1029">
        <f t="shared" si="73"/>
        <v>0</v>
      </c>
      <c r="L112" s="1027"/>
      <c r="M112" s="1029">
        <f t="shared" si="74"/>
        <v>0</v>
      </c>
      <c r="N112" s="1027"/>
      <c r="O112" s="1029">
        <f t="shared" si="75"/>
        <v>0</v>
      </c>
      <c r="P112" s="1027"/>
      <c r="Q112" s="1029">
        <f t="shared" si="76"/>
        <v>0</v>
      </c>
      <c r="R112" s="1027"/>
      <c r="S112" s="1029">
        <f t="shared" si="77"/>
        <v>0</v>
      </c>
      <c r="T112" s="1027"/>
      <c r="U112" s="1029">
        <f t="shared" si="78"/>
        <v>0</v>
      </c>
      <c r="V112" s="1027"/>
      <c r="W112" s="1029">
        <f t="shared" si="79"/>
        <v>0</v>
      </c>
      <c r="X112" s="1027"/>
      <c r="Y112" s="1029">
        <f t="shared" si="80"/>
        <v>0</v>
      </c>
      <c r="Z112" s="1027"/>
      <c r="AA112" s="1029">
        <f t="shared" si="81"/>
        <v>0</v>
      </c>
      <c r="AB112" s="2200"/>
      <c r="AC112" s="198" t="b">
        <f t="shared" ref="AC112" si="83">SUM(B112:AA112)&gt;0</f>
        <v>0</v>
      </c>
    </row>
    <row r="113" spans="1:29" ht="13.5" customHeight="1">
      <c r="A113" s="1739"/>
      <c r="B113" s="1027"/>
      <c r="C113" s="1029">
        <f t="shared" si="69"/>
        <v>0</v>
      </c>
      <c r="D113" s="1027"/>
      <c r="E113" s="1029">
        <f t="shared" si="70"/>
        <v>0</v>
      </c>
      <c r="F113" s="1027"/>
      <c r="G113" s="1029">
        <f t="shared" si="71"/>
        <v>0</v>
      </c>
      <c r="H113" s="1027"/>
      <c r="I113" s="1029">
        <f t="shared" si="72"/>
        <v>0</v>
      </c>
      <c r="J113" s="1027"/>
      <c r="K113" s="1029">
        <f t="shared" si="73"/>
        <v>0</v>
      </c>
      <c r="L113" s="1027"/>
      <c r="M113" s="1029">
        <f t="shared" si="74"/>
        <v>0</v>
      </c>
      <c r="N113" s="1027"/>
      <c r="O113" s="1029">
        <f t="shared" si="75"/>
        <v>0</v>
      </c>
      <c r="P113" s="1027"/>
      <c r="Q113" s="1029">
        <f t="shared" si="76"/>
        <v>0</v>
      </c>
      <c r="R113" s="1027"/>
      <c r="S113" s="1029">
        <f t="shared" si="77"/>
        <v>0</v>
      </c>
      <c r="T113" s="1027"/>
      <c r="U113" s="1029">
        <f t="shared" si="78"/>
        <v>0</v>
      </c>
      <c r="V113" s="1027"/>
      <c r="W113" s="1029">
        <f t="shared" si="79"/>
        <v>0</v>
      </c>
      <c r="X113" s="1027"/>
      <c r="Y113" s="1029">
        <f t="shared" si="80"/>
        <v>0</v>
      </c>
      <c r="Z113" s="1027"/>
      <c r="AA113" s="1029">
        <f t="shared" si="81"/>
        <v>0</v>
      </c>
      <c r="AB113" s="2200"/>
      <c r="AC113" s="198" t="b">
        <f t="shared" si="82"/>
        <v>0</v>
      </c>
    </row>
    <row r="114" spans="1:29" ht="13.5" customHeight="1">
      <c r="A114" s="1739"/>
      <c r="B114" s="1027"/>
      <c r="C114" s="1029">
        <f t="shared" si="69"/>
        <v>0</v>
      </c>
      <c r="D114" s="1027"/>
      <c r="E114" s="1029">
        <f t="shared" si="70"/>
        <v>0</v>
      </c>
      <c r="F114" s="1027"/>
      <c r="G114" s="1029">
        <f t="shared" si="71"/>
        <v>0</v>
      </c>
      <c r="H114" s="1027"/>
      <c r="I114" s="1029">
        <f t="shared" si="72"/>
        <v>0</v>
      </c>
      <c r="J114" s="1027"/>
      <c r="K114" s="1029">
        <f t="shared" si="73"/>
        <v>0</v>
      </c>
      <c r="L114" s="1027"/>
      <c r="M114" s="1029">
        <f t="shared" si="74"/>
        <v>0</v>
      </c>
      <c r="N114" s="1027"/>
      <c r="O114" s="1029">
        <f t="shared" si="75"/>
        <v>0</v>
      </c>
      <c r="P114" s="1027"/>
      <c r="Q114" s="1029">
        <f t="shared" si="76"/>
        <v>0</v>
      </c>
      <c r="R114" s="1027"/>
      <c r="S114" s="1029">
        <f t="shared" si="77"/>
        <v>0</v>
      </c>
      <c r="T114" s="1027"/>
      <c r="U114" s="1029">
        <f t="shared" si="78"/>
        <v>0</v>
      </c>
      <c r="V114" s="1027"/>
      <c r="W114" s="1029">
        <f t="shared" si="79"/>
        <v>0</v>
      </c>
      <c r="X114" s="1027"/>
      <c r="Y114" s="1029">
        <f t="shared" si="80"/>
        <v>0</v>
      </c>
      <c r="Z114" s="1027"/>
      <c r="AA114" s="1029">
        <f t="shared" si="81"/>
        <v>0</v>
      </c>
      <c r="AB114" s="2200"/>
      <c r="AC114" s="198" t="b">
        <f t="shared" si="66"/>
        <v>0</v>
      </c>
    </row>
    <row r="115" spans="1:29" ht="13.5" customHeight="1">
      <c r="A115" s="1739"/>
      <c r="B115" s="1031"/>
      <c r="C115" s="1022">
        <f t="shared" si="69"/>
        <v>0</v>
      </c>
      <c r="D115" s="1031"/>
      <c r="E115" s="1022">
        <f t="shared" si="70"/>
        <v>0</v>
      </c>
      <c r="F115" s="1031"/>
      <c r="G115" s="1022">
        <f t="shared" si="71"/>
        <v>0</v>
      </c>
      <c r="H115" s="1031"/>
      <c r="I115" s="1022">
        <f t="shared" si="72"/>
        <v>0</v>
      </c>
      <c r="J115" s="1031"/>
      <c r="K115" s="1022">
        <f t="shared" si="73"/>
        <v>0</v>
      </c>
      <c r="L115" s="1031"/>
      <c r="M115" s="1022">
        <f t="shared" si="74"/>
        <v>0</v>
      </c>
      <c r="N115" s="1031"/>
      <c r="O115" s="1022">
        <f t="shared" si="75"/>
        <v>0</v>
      </c>
      <c r="P115" s="1031"/>
      <c r="Q115" s="1022">
        <f t="shared" si="76"/>
        <v>0</v>
      </c>
      <c r="R115" s="1031"/>
      <c r="S115" s="1022">
        <f t="shared" si="77"/>
        <v>0</v>
      </c>
      <c r="T115" s="1031"/>
      <c r="U115" s="1022">
        <f t="shared" si="78"/>
        <v>0</v>
      </c>
      <c r="V115" s="1031"/>
      <c r="W115" s="1022">
        <f t="shared" si="79"/>
        <v>0</v>
      </c>
      <c r="X115" s="1031"/>
      <c r="Y115" s="1022">
        <f t="shared" si="80"/>
        <v>0</v>
      </c>
      <c r="Z115" s="1031"/>
      <c r="AA115" s="1022">
        <f t="shared" si="81"/>
        <v>0</v>
      </c>
      <c r="AB115" s="2200"/>
      <c r="AC115" s="198" t="b">
        <f t="shared" si="66"/>
        <v>0</v>
      </c>
    </row>
    <row r="116" spans="1:29" ht="13.5" customHeight="1">
      <c r="A116" s="1740"/>
      <c r="B116" s="2095" t="s">
        <v>5546</v>
      </c>
      <c r="C116" s="1030">
        <f>SUM(C103:C115)</f>
        <v>0</v>
      </c>
      <c r="D116" s="2095" t="s">
        <v>5546</v>
      </c>
      <c r="E116" s="1030">
        <f t="shared" ref="E116" si="84">SUM(E103:E115)</f>
        <v>0</v>
      </c>
      <c r="F116" s="2095" t="s">
        <v>5546</v>
      </c>
      <c r="G116" s="1030">
        <f t="shared" ref="G116" si="85">SUM(G103:G115)</f>
        <v>0</v>
      </c>
      <c r="H116" s="2095" t="s">
        <v>5546</v>
      </c>
      <c r="I116" s="1030">
        <f t="shared" ref="I116" si="86">SUM(I103:I115)</f>
        <v>0</v>
      </c>
      <c r="J116" s="2095" t="s">
        <v>5546</v>
      </c>
      <c r="K116" s="1030">
        <f t="shared" ref="K116" si="87">SUM(K103:K115)</f>
        <v>0</v>
      </c>
      <c r="L116" s="2095" t="s">
        <v>5546</v>
      </c>
      <c r="M116" s="1030">
        <f t="shared" ref="M116" si="88">SUM(M103:M115)</f>
        <v>0</v>
      </c>
      <c r="N116" s="2095" t="s">
        <v>5546</v>
      </c>
      <c r="O116" s="1030">
        <f t="shared" ref="O116" si="89">SUM(O103:O115)</f>
        <v>0</v>
      </c>
      <c r="P116" s="2095" t="s">
        <v>5546</v>
      </c>
      <c r="Q116" s="1030">
        <f t="shared" ref="Q116" si="90">SUM(Q103:Q115)</f>
        <v>0</v>
      </c>
      <c r="R116" s="2095" t="s">
        <v>5546</v>
      </c>
      <c r="S116" s="1030">
        <f t="shared" ref="S116" si="91">SUM(S103:S115)</f>
        <v>0</v>
      </c>
      <c r="T116" s="2095" t="s">
        <v>5546</v>
      </c>
      <c r="U116" s="1030">
        <f t="shared" ref="U116" si="92">SUM(U103:U115)</f>
        <v>0</v>
      </c>
      <c r="V116" s="2095" t="s">
        <v>5546</v>
      </c>
      <c r="W116" s="1030">
        <f t="shared" ref="W116" si="93">SUM(W103:W115)</f>
        <v>0</v>
      </c>
      <c r="X116" s="2095" t="s">
        <v>5546</v>
      </c>
      <c r="Y116" s="1030">
        <f t="shared" ref="Y116" si="94">SUM(Y103:Y115)</f>
        <v>0</v>
      </c>
      <c r="Z116" s="2095" t="s">
        <v>5546</v>
      </c>
      <c r="AA116" s="1030">
        <f t="shared" ref="AA116" si="95">SUM(AA103:AA115)</f>
        <v>0</v>
      </c>
      <c r="AB116" s="2200"/>
      <c r="AC116" s="198" t="b">
        <f t="shared" si="66"/>
        <v>0</v>
      </c>
    </row>
    <row r="117" spans="1:29" ht="13.5" customHeight="1">
      <c r="A117" s="1012"/>
      <c r="B117" s="2087" t="s">
        <v>5733</v>
      </c>
      <c r="C117" s="1024"/>
      <c r="D117" s="1025"/>
      <c r="E117" s="1024"/>
      <c r="F117" s="1025"/>
      <c r="G117" s="1024"/>
      <c r="H117" s="1025"/>
      <c r="I117" s="1024"/>
      <c r="J117" s="1025"/>
      <c r="K117" s="1024"/>
      <c r="L117" s="1025"/>
      <c r="M117" s="1024"/>
      <c r="N117" s="1025"/>
      <c r="O117" s="1024"/>
      <c r="P117" s="1025"/>
      <c r="Q117" s="1024"/>
      <c r="R117" s="1025"/>
      <c r="S117" s="1024"/>
      <c r="T117" s="1025"/>
      <c r="U117" s="1024"/>
      <c r="V117" s="1025"/>
      <c r="W117" s="1024"/>
      <c r="X117" s="1025"/>
      <c r="Y117" s="1024"/>
      <c r="Z117" s="1025"/>
      <c r="AA117" s="1024"/>
      <c r="AB117" s="2200"/>
      <c r="AC117" s="1011" t="b">
        <v>0</v>
      </c>
    </row>
    <row r="118" spans="1:29" ht="13.5" customHeight="1">
      <c r="A118" s="1012"/>
      <c r="B118" s="2087" t="s">
        <v>5587</v>
      </c>
      <c r="C118" s="1024"/>
      <c r="D118" s="1025"/>
      <c r="E118" s="1024"/>
      <c r="F118" s="1025"/>
      <c r="G118" s="1024"/>
      <c r="H118" s="1025"/>
      <c r="I118" s="1024"/>
      <c r="J118" s="1025"/>
      <c r="K118" s="1024"/>
      <c r="L118" s="1025"/>
      <c r="M118" s="1024"/>
      <c r="N118" s="1025"/>
      <c r="O118" s="1024"/>
      <c r="P118" s="1025"/>
      <c r="Q118" s="1024"/>
      <c r="R118" s="1025"/>
      <c r="S118" s="1024"/>
      <c r="T118" s="1025"/>
      <c r="U118" s="1024"/>
      <c r="V118" s="1025"/>
      <c r="W118" s="1024"/>
      <c r="X118" s="1025"/>
      <c r="Y118" s="1024"/>
      <c r="Z118" s="1025"/>
      <c r="AA118" s="1024"/>
      <c r="AB118" s="2200"/>
      <c r="AC118" s="1011" t="b">
        <v>0</v>
      </c>
    </row>
    <row r="119" spans="1:29" ht="13.5" customHeight="1">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200"/>
      <c r="AC119" s="198" t="b">
        <f>AC135</f>
        <v>0</v>
      </c>
    </row>
    <row r="120" spans="1:29" ht="13.5" customHeight="1">
      <c r="A120" s="1742" t="s">
        <v>539</v>
      </c>
      <c r="B120" s="3109"/>
      <c r="C120" s="3110"/>
      <c r="D120" s="3109"/>
      <c r="E120" s="3110"/>
      <c r="F120" s="3109"/>
      <c r="G120" s="3110"/>
      <c r="H120" s="3109"/>
      <c r="I120" s="3110"/>
      <c r="J120" s="3109"/>
      <c r="K120" s="3110"/>
      <c r="L120" s="3109"/>
      <c r="M120" s="3110"/>
      <c r="N120" s="3109"/>
      <c r="O120" s="3110"/>
      <c r="P120" s="3109"/>
      <c r="Q120" s="3110"/>
      <c r="R120" s="3109"/>
      <c r="S120" s="3110"/>
      <c r="T120" s="3109"/>
      <c r="U120" s="3110"/>
      <c r="V120" s="3109"/>
      <c r="W120" s="3110"/>
      <c r="X120" s="3109"/>
      <c r="Y120" s="3110"/>
      <c r="Z120" s="3109"/>
      <c r="AA120" s="3110"/>
      <c r="AB120" s="2200"/>
      <c r="AC120" s="198" t="b">
        <f>OR(COUNTA(B120:AA120)&lt;&gt;0,AC135)</f>
        <v>0</v>
      </c>
    </row>
    <row r="121" spans="1:29" ht="13.5" customHeight="1">
      <c r="A121" s="1742" t="s">
        <v>540</v>
      </c>
      <c r="B121" s="3107"/>
      <c r="C121" s="3107"/>
      <c r="D121" s="3107"/>
      <c r="E121" s="3107"/>
      <c r="F121" s="3107"/>
      <c r="G121" s="3107"/>
      <c r="H121" s="3107"/>
      <c r="I121" s="3107"/>
      <c r="J121" s="3107"/>
      <c r="K121" s="3107"/>
      <c r="L121" s="3107"/>
      <c r="M121" s="3107"/>
      <c r="N121" s="3107"/>
      <c r="O121" s="3107"/>
      <c r="P121" s="3107"/>
      <c r="Q121" s="3107"/>
      <c r="R121" s="3107"/>
      <c r="S121" s="3107"/>
      <c r="T121" s="3107"/>
      <c r="U121" s="3107"/>
      <c r="V121" s="3107"/>
      <c r="W121" s="3107"/>
      <c r="X121" s="3107"/>
      <c r="Y121" s="3107"/>
      <c r="Z121" s="3107"/>
      <c r="AA121" s="3107"/>
      <c r="AB121" s="2200"/>
      <c r="AC121" s="198" t="b">
        <f>OR(COUNTA(B121:AA121)&lt;&gt;0,AC135)</f>
        <v>0</v>
      </c>
    </row>
    <row r="122" spans="1:29" ht="13.5" customHeight="1">
      <c r="A122" s="1743" t="s">
        <v>1513</v>
      </c>
      <c r="B122" s="3108"/>
      <c r="C122" s="3108"/>
      <c r="D122" s="3108"/>
      <c r="E122" s="3108"/>
      <c r="F122" s="3108"/>
      <c r="G122" s="3108"/>
      <c r="H122" s="3108"/>
      <c r="I122" s="3108"/>
      <c r="J122" s="3108"/>
      <c r="K122" s="3108"/>
      <c r="L122" s="3108"/>
      <c r="M122" s="3108"/>
      <c r="N122" s="3108"/>
      <c r="O122" s="3108"/>
      <c r="P122" s="3108"/>
      <c r="Q122" s="3108"/>
      <c r="R122" s="3108"/>
      <c r="S122" s="3108"/>
      <c r="T122" s="3108"/>
      <c r="U122" s="3108"/>
      <c r="V122" s="3108"/>
      <c r="W122" s="3108"/>
      <c r="X122" s="3108"/>
      <c r="Y122" s="3108"/>
      <c r="Z122" s="3108"/>
      <c r="AA122" s="3108"/>
      <c r="AB122" s="2200"/>
      <c r="AC122" s="198" t="b">
        <f t="shared" ref="AC122:AC123" si="96">COUNTA(B122:AA122)&lt;&gt;0</f>
        <v>0</v>
      </c>
    </row>
    <row r="123" spans="1:29" ht="13.5" customHeight="1">
      <c r="A123" s="1744" t="s">
        <v>1514</v>
      </c>
      <c r="B123" s="3098"/>
      <c r="C123" s="3098"/>
      <c r="D123" s="3098"/>
      <c r="E123" s="3098"/>
      <c r="F123" s="3098"/>
      <c r="G123" s="3098"/>
      <c r="H123" s="3098"/>
      <c r="I123" s="3098"/>
      <c r="J123" s="3098"/>
      <c r="K123" s="3098"/>
      <c r="L123" s="3098"/>
      <c r="M123" s="3098"/>
      <c r="N123" s="3098"/>
      <c r="O123" s="3098"/>
      <c r="P123" s="3098"/>
      <c r="Q123" s="3098"/>
      <c r="R123" s="3098"/>
      <c r="S123" s="3098"/>
      <c r="T123" s="3098"/>
      <c r="U123" s="3098"/>
      <c r="V123" s="3098"/>
      <c r="W123" s="3098"/>
      <c r="X123" s="3098"/>
      <c r="Y123" s="3098"/>
      <c r="Z123" s="3098"/>
      <c r="AA123" s="3098"/>
      <c r="AB123" s="2200"/>
      <c r="AC123" s="198" t="b">
        <f t="shared" si="96"/>
        <v>0</v>
      </c>
    </row>
    <row r="124" spans="1:29" ht="13.5" customHeight="1">
      <c r="A124" s="1745" t="s">
        <v>541</v>
      </c>
      <c r="B124" s="3111"/>
      <c r="C124" s="3112"/>
      <c r="D124" s="3111"/>
      <c r="E124" s="3112"/>
      <c r="F124" s="3111"/>
      <c r="G124" s="3112"/>
      <c r="H124" s="3111"/>
      <c r="I124" s="3112"/>
      <c r="J124" s="3111"/>
      <c r="K124" s="3112"/>
      <c r="L124" s="3111"/>
      <c r="M124" s="3112"/>
      <c r="N124" s="3111"/>
      <c r="O124" s="3112"/>
      <c r="P124" s="3111"/>
      <c r="Q124" s="3112"/>
      <c r="R124" s="3111"/>
      <c r="S124" s="3112"/>
      <c r="T124" s="3111"/>
      <c r="U124" s="3112"/>
      <c r="V124" s="3111"/>
      <c r="W124" s="3112"/>
      <c r="X124" s="3111"/>
      <c r="Y124" s="3112"/>
      <c r="Z124" s="3111"/>
      <c r="AA124" s="3112"/>
      <c r="AB124" s="2200"/>
      <c r="AC124" s="1015" t="b">
        <f>SUM(B124:AA124)&lt;&gt;0</f>
        <v>0</v>
      </c>
    </row>
    <row r="125" spans="1:29" ht="13.5" customHeight="1">
      <c r="A125" s="1745"/>
      <c r="B125" s="3099"/>
      <c r="C125" s="3100"/>
      <c r="D125" s="3099"/>
      <c r="E125" s="3100"/>
      <c r="F125" s="3099"/>
      <c r="G125" s="3100"/>
      <c r="H125" s="3099"/>
      <c r="I125" s="3100"/>
      <c r="J125" s="3099"/>
      <c r="K125" s="3100"/>
      <c r="L125" s="3099"/>
      <c r="M125" s="3100"/>
      <c r="N125" s="3099"/>
      <c r="O125" s="3100"/>
      <c r="P125" s="3099"/>
      <c r="Q125" s="3100"/>
      <c r="R125" s="3099"/>
      <c r="S125" s="3100"/>
      <c r="T125" s="3099"/>
      <c r="U125" s="3100"/>
      <c r="V125" s="3099"/>
      <c r="W125" s="3100"/>
      <c r="X125" s="3099"/>
      <c r="Y125" s="3100"/>
      <c r="Z125" s="3099"/>
      <c r="AA125" s="3100"/>
      <c r="AB125" s="2200"/>
      <c r="AC125" s="1015" t="b">
        <f t="shared" ref="AC125:AC133" si="97">SUM(B125:AA125)&lt;&gt;0</f>
        <v>0</v>
      </c>
    </row>
    <row r="126" spans="1:29" ht="13.5" customHeight="1">
      <c r="A126" s="1745"/>
      <c r="B126" s="3099"/>
      <c r="C126" s="3100"/>
      <c r="D126" s="3099"/>
      <c r="E126" s="3100"/>
      <c r="F126" s="3099"/>
      <c r="G126" s="3100"/>
      <c r="H126" s="3099"/>
      <c r="I126" s="3100"/>
      <c r="J126" s="3099"/>
      <c r="K126" s="3100"/>
      <c r="L126" s="3099"/>
      <c r="M126" s="3100"/>
      <c r="N126" s="3099"/>
      <c r="O126" s="3100"/>
      <c r="P126" s="3099"/>
      <c r="Q126" s="3100"/>
      <c r="R126" s="3099"/>
      <c r="S126" s="3100"/>
      <c r="T126" s="3099"/>
      <c r="U126" s="3100"/>
      <c r="V126" s="3099"/>
      <c r="W126" s="3100"/>
      <c r="X126" s="3099"/>
      <c r="Y126" s="3100"/>
      <c r="Z126" s="3099"/>
      <c r="AA126" s="3100"/>
      <c r="AB126" s="2200"/>
      <c r="AC126" s="1015" t="b">
        <f t="shared" si="97"/>
        <v>0</v>
      </c>
    </row>
    <row r="127" spans="1:29" ht="13.5" customHeight="1">
      <c r="A127" s="1745"/>
      <c r="B127" s="3099"/>
      <c r="C127" s="3100"/>
      <c r="D127" s="3099"/>
      <c r="E127" s="3100"/>
      <c r="F127" s="3099"/>
      <c r="G127" s="3100"/>
      <c r="H127" s="3099"/>
      <c r="I127" s="3100"/>
      <c r="J127" s="3099"/>
      <c r="K127" s="3100"/>
      <c r="L127" s="3099"/>
      <c r="M127" s="3100"/>
      <c r="N127" s="3099"/>
      <c r="O127" s="3100"/>
      <c r="P127" s="3099"/>
      <c r="Q127" s="3100"/>
      <c r="R127" s="3099"/>
      <c r="S127" s="3100"/>
      <c r="T127" s="3099"/>
      <c r="U127" s="3100"/>
      <c r="V127" s="3099"/>
      <c r="W127" s="3100"/>
      <c r="X127" s="3099"/>
      <c r="Y127" s="3100"/>
      <c r="Z127" s="3099"/>
      <c r="AA127" s="3100"/>
      <c r="AB127" s="2200"/>
      <c r="AC127" s="1015" t="b">
        <f t="shared" si="97"/>
        <v>0</v>
      </c>
    </row>
    <row r="128" spans="1:29" ht="13.5" customHeight="1">
      <c r="A128" s="1745"/>
      <c r="B128" s="3099"/>
      <c r="C128" s="3100"/>
      <c r="D128" s="3099"/>
      <c r="E128" s="3100"/>
      <c r="F128" s="3099"/>
      <c r="G128" s="3100"/>
      <c r="H128" s="3099"/>
      <c r="I128" s="3100"/>
      <c r="J128" s="3099"/>
      <c r="K128" s="3100"/>
      <c r="L128" s="3099"/>
      <c r="M128" s="3100"/>
      <c r="N128" s="3099"/>
      <c r="O128" s="3100"/>
      <c r="P128" s="3099"/>
      <c r="Q128" s="3100"/>
      <c r="R128" s="3099"/>
      <c r="S128" s="3100"/>
      <c r="T128" s="3099"/>
      <c r="U128" s="3100"/>
      <c r="V128" s="3099"/>
      <c r="W128" s="3100"/>
      <c r="X128" s="3099"/>
      <c r="Y128" s="3100"/>
      <c r="Z128" s="3099"/>
      <c r="AA128" s="3100"/>
      <c r="AB128" s="2200"/>
      <c r="AC128" s="1015" t="b">
        <f t="shared" si="97"/>
        <v>0</v>
      </c>
    </row>
    <row r="129" spans="1:29" ht="13.5" customHeight="1">
      <c r="A129" s="1745"/>
      <c r="B129" s="3099"/>
      <c r="C129" s="3100"/>
      <c r="D129" s="3099"/>
      <c r="E129" s="3100"/>
      <c r="F129" s="3099"/>
      <c r="G129" s="3100"/>
      <c r="H129" s="3099"/>
      <c r="I129" s="3100"/>
      <c r="J129" s="3099"/>
      <c r="K129" s="3100"/>
      <c r="L129" s="3099"/>
      <c r="M129" s="3100"/>
      <c r="N129" s="3099"/>
      <c r="O129" s="3100"/>
      <c r="P129" s="3099"/>
      <c r="Q129" s="3100"/>
      <c r="R129" s="3099"/>
      <c r="S129" s="3100"/>
      <c r="T129" s="3099"/>
      <c r="U129" s="3100"/>
      <c r="V129" s="3099"/>
      <c r="W129" s="3100"/>
      <c r="X129" s="3099"/>
      <c r="Y129" s="3100"/>
      <c r="Z129" s="3099"/>
      <c r="AA129" s="3100"/>
      <c r="AB129" s="2200"/>
      <c r="AC129" s="1015" t="b">
        <f t="shared" si="97"/>
        <v>0</v>
      </c>
    </row>
    <row r="130" spans="1:29" ht="13.5" customHeight="1">
      <c r="A130" s="1745"/>
      <c r="B130" s="3099"/>
      <c r="C130" s="3100"/>
      <c r="D130" s="3099"/>
      <c r="E130" s="3100"/>
      <c r="F130" s="3099"/>
      <c r="G130" s="3100"/>
      <c r="H130" s="3099"/>
      <c r="I130" s="3100"/>
      <c r="J130" s="3099"/>
      <c r="K130" s="3100"/>
      <c r="L130" s="3099"/>
      <c r="M130" s="3100"/>
      <c r="N130" s="3099"/>
      <c r="O130" s="3100"/>
      <c r="P130" s="3099"/>
      <c r="Q130" s="3100"/>
      <c r="R130" s="3099"/>
      <c r="S130" s="3100"/>
      <c r="T130" s="3099"/>
      <c r="U130" s="3100"/>
      <c r="V130" s="3099"/>
      <c r="W130" s="3100"/>
      <c r="X130" s="3099"/>
      <c r="Y130" s="3100"/>
      <c r="Z130" s="3099"/>
      <c r="AA130" s="3100"/>
      <c r="AB130" s="2200"/>
      <c r="AC130" s="1015" t="b">
        <f t="shared" si="97"/>
        <v>0</v>
      </c>
    </row>
    <row r="131" spans="1:29" ht="13.5" customHeight="1">
      <c r="A131" s="1745"/>
      <c r="B131" s="3103"/>
      <c r="C131" s="3104"/>
      <c r="D131" s="3103"/>
      <c r="E131" s="3104"/>
      <c r="F131" s="3103"/>
      <c r="G131" s="3104"/>
      <c r="H131" s="3103"/>
      <c r="I131" s="3104"/>
      <c r="J131" s="3103"/>
      <c r="K131" s="3104"/>
      <c r="L131" s="3103"/>
      <c r="M131" s="3104"/>
      <c r="N131" s="3103"/>
      <c r="O131" s="3104"/>
      <c r="P131" s="3103"/>
      <c r="Q131" s="3104"/>
      <c r="R131" s="3103"/>
      <c r="S131" s="3104"/>
      <c r="T131" s="3103"/>
      <c r="U131" s="3104"/>
      <c r="V131" s="3103"/>
      <c r="W131" s="3104"/>
      <c r="X131" s="3103"/>
      <c r="Y131" s="3104"/>
      <c r="Z131" s="3103"/>
      <c r="AA131" s="3104"/>
      <c r="AB131" s="2200"/>
      <c r="AC131" s="1015" t="b">
        <f t="shared" si="97"/>
        <v>0</v>
      </c>
    </row>
    <row r="132" spans="1:29" ht="13.5" customHeight="1">
      <c r="A132" s="1743" t="s">
        <v>5549</v>
      </c>
      <c r="B132" s="3105"/>
      <c r="C132" s="3106"/>
      <c r="D132" s="3105"/>
      <c r="E132" s="3106"/>
      <c r="F132" s="3105"/>
      <c r="G132" s="3106"/>
      <c r="H132" s="3105"/>
      <c r="I132" s="3106"/>
      <c r="J132" s="3105"/>
      <c r="K132" s="3106"/>
      <c r="L132" s="3105"/>
      <c r="M132" s="3106"/>
      <c r="N132" s="3105"/>
      <c r="O132" s="3106"/>
      <c r="P132" s="3105"/>
      <c r="Q132" s="3106"/>
      <c r="R132" s="3105"/>
      <c r="S132" s="3106"/>
      <c r="T132" s="3105"/>
      <c r="U132" s="3106"/>
      <c r="V132" s="3105"/>
      <c r="W132" s="3106"/>
      <c r="X132" s="3105"/>
      <c r="Y132" s="3106"/>
      <c r="Z132" s="3105"/>
      <c r="AA132" s="3106"/>
      <c r="AB132" s="2200"/>
      <c r="AC132" s="1015" t="b">
        <f t="shared" si="97"/>
        <v>0</v>
      </c>
    </row>
    <row r="133" spans="1:29" ht="13.5" customHeight="1">
      <c r="A133" s="1743" t="s">
        <v>926</v>
      </c>
      <c r="B133" s="3097">
        <f>C152</f>
        <v>0</v>
      </c>
      <c r="C133" s="3097"/>
      <c r="D133" s="3097">
        <f t="shared" ref="D133" si="98">E152</f>
        <v>0</v>
      </c>
      <c r="E133" s="3097"/>
      <c r="F133" s="3097">
        <f t="shared" ref="F133" si="99">G152</f>
        <v>0</v>
      </c>
      <c r="G133" s="3097"/>
      <c r="H133" s="3097">
        <f t="shared" ref="H133" si="100">I152</f>
        <v>0</v>
      </c>
      <c r="I133" s="3097"/>
      <c r="J133" s="3097">
        <f t="shared" ref="J133" si="101">K152</f>
        <v>0</v>
      </c>
      <c r="K133" s="3097"/>
      <c r="L133" s="3097">
        <f t="shared" ref="L133" si="102">M152</f>
        <v>0</v>
      </c>
      <c r="M133" s="3097"/>
      <c r="N133" s="3097">
        <f t="shared" ref="N133" si="103">O152</f>
        <v>0</v>
      </c>
      <c r="O133" s="3097"/>
      <c r="P133" s="3097">
        <f t="shared" ref="P133" si="104">Q152</f>
        <v>0</v>
      </c>
      <c r="Q133" s="3097"/>
      <c r="R133" s="3097">
        <f t="shared" ref="R133" si="105">S152</f>
        <v>0</v>
      </c>
      <c r="S133" s="3097"/>
      <c r="T133" s="3097">
        <f t="shared" ref="T133" si="106">U152</f>
        <v>0</v>
      </c>
      <c r="U133" s="3097"/>
      <c r="V133" s="3097">
        <f t="shared" ref="V133" si="107">W152</f>
        <v>0</v>
      </c>
      <c r="W133" s="3097"/>
      <c r="X133" s="3097">
        <f t="shared" ref="X133" si="108">Y152</f>
        <v>0</v>
      </c>
      <c r="Y133" s="3097"/>
      <c r="Z133" s="3097">
        <f t="shared" ref="Z133" si="109">AA152</f>
        <v>0</v>
      </c>
      <c r="AA133" s="3097"/>
      <c r="AB133" s="2200"/>
      <c r="AC133" s="1015" t="b">
        <f t="shared" si="97"/>
        <v>0</v>
      </c>
    </row>
    <row r="134" spans="1:29" ht="13.5" customHeight="1">
      <c r="A134" s="1743" t="s">
        <v>5550</v>
      </c>
      <c r="B134" s="3101">
        <v>1</v>
      </c>
      <c r="C134" s="3102"/>
      <c r="D134" s="3101">
        <v>1</v>
      </c>
      <c r="E134" s="3102"/>
      <c r="F134" s="3101">
        <v>1</v>
      </c>
      <c r="G134" s="3102"/>
      <c r="H134" s="3101">
        <v>1</v>
      </c>
      <c r="I134" s="3102"/>
      <c r="J134" s="3101">
        <v>1</v>
      </c>
      <c r="K134" s="3102"/>
      <c r="L134" s="3101">
        <v>1</v>
      </c>
      <c r="M134" s="3102"/>
      <c r="N134" s="3101">
        <v>1</v>
      </c>
      <c r="O134" s="3102"/>
      <c r="P134" s="3101">
        <v>1</v>
      </c>
      <c r="Q134" s="3102"/>
      <c r="R134" s="3101">
        <v>1</v>
      </c>
      <c r="S134" s="3102"/>
      <c r="T134" s="3101">
        <v>1</v>
      </c>
      <c r="U134" s="3102"/>
      <c r="V134" s="3101">
        <v>1</v>
      </c>
      <c r="W134" s="3102"/>
      <c r="X134" s="3101">
        <v>1</v>
      </c>
      <c r="Y134" s="3102"/>
      <c r="Z134" s="3101">
        <v>1</v>
      </c>
      <c r="AA134" s="3102"/>
      <c r="AB134" s="2200"/>
      <c r="AC134" s="1015" t="b">
        <f>AC135</f>
        <v>0</v>
      </c>
    </row>
    <row r="135" spans="1:29" ht="13.5" customHeight="1">
      <c r="A135" s="1742" t="s">
        <v>933</v>
      </c>
      <c r="B135" s="3028">
        <f>ROUNDDOWN((SUM(B124:C131)*B132-B133)*B134,2)</f>
        <v>0</v>
      </c>
      <c r="C135" s="3030"/>
      <c r="D135" s="2543">
        <f t="shared" ref="D135" si="110">ROUNDDOWN((SUM(D124:E131)*D132-D133)*D134,2)</f>
        <v>0</v>
      </c>
      <c r="E135" s="3027"/>
      <c r="F135" s="2543">
        <f t="shared" ref="F135" si="111">ROUNDDOWN((SUM(F124:G131)*F132-F133)*F134,2)</f>
        <v>0</v>
      </c>
      <c r="G135" s="3027"/>
      <c r="H135" s="2543">
        <f t="shared" ref="H135" si="112">ROUNDDOWN((SUM(H124:I131)*H132-H133)*H134,2)</f>
        <v>0</v>
      </c>
      <c r="I135" s="3027"/>
      <c r="J135" s="2543">
        <f t="shared" ref="J135" si="113">ROUNDDOWN((SUM(J124:K131)*J132-J133)*J134,2)</f>
        <v>0</v>
      </c>
      <c r="K135" s="3027"/>
      <c r="L135" s="2543">
        <f t="shared" ref="L135" si="114">ROUNDDOWN((SUM(L124:M131)*L132-L133)*L134,2)</f>
        <v>0</v>
      </c>
      <c r="M135" s="3027"/>
      <c r="N135" s="2543">
        <f t="shared" ref="N135" si="115">ROUNDDOWN((SUM(N124:O131)*N132-N133)*N134,2)</f>
        <v>0</v>
      </c>
      <c r="O135" s="3027"/>
      <c r="P135" s="2543">
        <f t="shared" ref="P135" si="116">ROUNDDOWN((SUM(P124:Q131)*P132-P133)*P134,2)</f>
        <v>0</v>
      </c>
      <c r="Q135" s="3027"/>
      <c r="R135" s="2543">
        <f t="shared" ref="R135" si="117">ROUNDDOWN((SUM(R124:S131)*R132-R133)*R134,2)</f>
        <v>0</v>
      </c>
      <c r="S135" s="3027"/>
      <c r="T135" s="2543">
        <f t="shared" ref="T135" si="118">ROUNDDOWN((SUM(T124:U131)*T132-T133)*T134,2)</f>
        <v>0</v>
      </c>
      <c r="U135" s="3027"/>
      <c r="V135" s="2543">
        <f t="shared" ref="V135" si="119">ROUNDDOWN((SUM(V124:W131)*V132-V133)*V134,2)</f>
        <v>0</v>
      </c>
      <c r="W135" s="3027"/>
      <c r="X135" s="2543">
        <f t="shared" ref="X135" si="120">ROUNDDOWN((SUM(X124:Y131)*X132-X133)*X134,2)</f>
        <v>0</v>
      </c>
      <c r="Y135" s="3027"/>
      <c r="Z135" s="2543">
        <f t="shared" ref="Z135" si="121">ROUNDDOWN((SUM(Z124:AA131)*Z132-Z133)*Z134,2)</f>
        <v>0</v>
      </c>
      <c r="AA135" s="3027"/>
      <c r="AB135" s="2200"/>
      <c r="AC135" s="204" t="b">
        <f>COUNTIF(B135:AA135,"&lt;&gt;0")-13&lt;&gt;0</f>
        <v>0</v>
      </c>
    </row>
    <row r="136" spans="1:29" ht="13.5" customHeight="1">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200"/>
      <c r="AC136" s="198" t="b">
        <f>AC171</f>
        <v>0</v>
      </c>
    </row>
    <row r="137" spans="1:29" ht="13.5" customHeight="1">
      <c r="A137" s="1737" t="s">
        <v>5548</v>
      </c>
      <c r="B137" s="3095">
        <f>B120</f>
        <v>0</v>
      </c>
      <c r="C137" s="3096"/>
      <c r="D137" s="3095">
        <f>D120</f>
        <v>0</v>
      </c>
      <c r="E137" s="3096"/>
      <c r="F137" s="3095">
        <f>F120</f>
        <v>0</v>
      </c>
      <c r="G137" s="3096"/>
      <c r="H137" s="3095">
        <f>H120</f>
        <v>0</v>
      </c>
      <c r="I137" s="3096"/>
      <c r="J137" s="3095">
        <f>J120</f>
        <v>0</v>
      </c>
      <c r="K137" s="3096"/>
      <c r="L137" s="3095">
        <f>L120</f>
        <v>0</v>
      </c>
      <c r="M137" s="3096"/>
      <c r="N137" s="3095">
        <f>N120</f>
        <v>0</v>
      </c>
      <c r="O137" s="3096"/>
      <c r="P137" s="3095">
        <f>P120</f>
        <v>0</v>
      </c>
      <c r="Q137" s="3096"/>
      <c r="R137" s="3095">
        <f>R120</f>
        <v>0</v>
      </c>
      <c r="S137" s="3096"/>
      <c r="T137" s="3095">
        <f>T120</f>
        <v>0</v>
      </c>
      <c r="U137" s="3096"/>
      <c r="V137" s="3095">
        <f>V120</f>
        <v>0</v>
      </c>
      <c r="W137" s="3096"/>
      <c r="X137" s="3095">
        <f>X120</f>
        <v>0</v>
      </c>
      <c r="Y137" s="3096"/>
      <c r="Z137" s="3095">
        <f>Z120</f>
        <v>0</v>
      </c>
      <c r="AA137" s="3096"/>
      <c r="AB137" s="2200"/>
      <c r="AC137" s="198" t="b">
        <f>AC152</f>
        <v>0</v>
      </c>
    </row>
    <row r="138" spans="1:29" ht="13.5" customHeight="1">
      <c r="A138" s="1738" t="s">
        <v>5547</v>
      </c>
      <c r="B138" s="3115" t="s">
        <v>5581</v>
      </c>
      <c r="C138" s="3116"/>
      <c r="D138" s="3115" t="s">
        <v>5581</v>
      </c>
      <c r="E138" s="3116"/>
      <c r="F138" s="3115" t="s">
        <v>5581</v>
      </c>
      <c r="G138" s="3116"/>
      <c r="H138" s="3115" t="s">
        <v>5581</v>
      </c>
      <c r="I138" s="3116"/>
      <c r="J138" s="3115" t="s">
        <v>5581</v>
      </c>
      <c r="K138" s="3116"/>
      <c r="L138" s="3115" t="s">
        <v>5581</v>
      </c>
      <c r="M138" s="3116"/>
      <c r="N138" s="3115" t="s">
        <v>5581</v>
      </c>
      <c r="O138" s="3116"/>
      <c r="P138" s="3115" t="s">
        <v>5581</v>
      </c>
      <c r="Q138" s="3116"/>
      <c r="R138" s="3115" t="s">
        <v>5581</v>
      </c>
      <c r="S138" s="3116"/>
      <c r="T138" s="3115" t="s">
        <v>5581</v>
      </c>
      <c r="U138" s="3116"/>
      <c r="V138" s="3115" t="s">
        <v>5581</v>
      </c>
      <c r="W138" s="3116"/>
      <c r="X138" s="3115" t="s">
        <v>5581</v>
      </c>
      <c r="Y138" s="3116"/>
      <c r="Z138" s="3115" t="s">
        <v>5581</v>
      </c>
      <c r="AA138" s="3116"/>
      <c r="AB138" s="2200"/>
      <c r="AC138" s="198" t="b">
        <f t="shared" ref="AC138:AC152" si="122">SUM(B138:AA138)&gt;0</f>
        <v>0</v>
      </c>
    </row>
    <row r="139" spans="1:29" ht="13.5" customHeight="1">
      <c r="A139" s="1738"/>
      <c r="B139" s="1026"/>
      <c r="C139" s="1028">
        <f t="shared" ref="C139:C144" si="123">SUMIF(外部開口,B139,外部開口面積)</f>
        <v>0</v>
      </c>
      <c r="D139" s="1026"/>
      <c r="E139" s="1028">
        <f t="shared" ref="E139:E144" si="124">SUMIF(外部開口,D139,外部開口面積)</f>
        <v>0</v>
      </c>
      <c r="F139" s="1026"/>
      <c r="G139" s="1028">
        <f t="shared" ref="G139:G144" si="125">SUMIF(外部開口,F139,外部開口面積)</f>
        <v>0</v>
      </c>
      <c r="H139" s="1026"/>
      <c r="I139" s="1028">
        <f t="shared" ref="I139:I144" si="126">SUMIF(外部開口,H139,外部開口面積)</f>
        <v>0</v>
      </c>
      <c r="J139" s="1026"/>
      <c r="K139" s="1028">
        <f t="shared" ref="K139:K144" si="127">SUMIF(外部開口,J139,外部開口面積)</f>
        <v>0</v>
      </c>
      <c r="L139" s="1026"/>
      <c r="M139" s="1028">
        <f t="shared" ref="M139:M144" si="128">SUMIF(外部開口,L139,外部開口面積)</f>
        <v>0</v>
      </c>
      <c r="N139" s="1026"/>
      <c r="O139" s="1028">
        <f t="shared" ref="O139:O144" si="129">SUMIF(外部開口,N139,外部開口面積)</f>
        <v>0</v>
      </c>
      <c r="P139" s="1026"/>
      <c r="Q139" s="1028">
        <f t="shared" ref="Q139:Q144" si="130">SUMIF(外部開口,P139,外部開口面積)</f>
        <v>0</v>
      </c>
      <c r="R139" s="1026"/>
      <c r="S139" s="1028">
        <f t="shared" ref="S139:S144" si="131">SUMIF(外部開口,R139,外部開口面積)</f>
        <v>0</v>
      </c>
      <c r="T139" s="1026"/>
      <c r="U139" s="1028">
        <f t="shared" ref="U139:U144" si="132">SUMIF(外部開口,T139,外部開口面積)</f>
        <v>0</v>
      </c>
      <c r="V139" s="1026"/>
      <c r="W139" s="1028">
        <f t="shared" ref="W139:W144" si="133">SUMIF(外部開口,V139,外部開口面積)</f>
        <v>0</v>
      </c>
      <c r="X139" s="1026"/>
      <c r="Y139" s="1028">
        <f t="shared" ref="Y139:Y144" si="134">SUMIF(外部開口,X139,外部開口面積)</f>
        <v>0</v>
      </c>
      <c r="Z139" s="1026"/>
      <c r="AA139" s="1028">
        <f t="shared" ref="AA139:AA144" si="135">SUMIF(外部開口,Z139,外部開口面積)</f>
        <v>0</v>
      </c>
      <c r="AB139" s="2200"/>
      <c r="AC139" s="198" t="b">
        <f t="shared" si="122"/>
        <v>0</v>
      </c>
    </row>
    <row r="140" spans="1:29" ht="13.5" customHeight="1">
      <c r="A140" s="1739"/>
      <c r="B140" s="1027"/>
      <c r="C140" s="1029">
        <f t="shared" si="123"/>
        <v>0</v>
      </c>
      <c r="D140" s="1027"/>
      <c r="E140" s="1029">
        <f t="shared" si="124"/>
        <v>0</v>
      </c>
      <c r="F140" s="1027"/>
      <c r="G140" s="1029">
        <f t="shared" si="125"/>
        <v>0</v>
      </c>
      <c r="H140" s="1027"/>
      <c r="I140" s="1029">
        <f t="shared" si="126"/>
        <v>0</v>
      </c>
      <c r="J140" s="1027"/>
      <c r="K140" s="1029">
        <f t="shared" si="127"/>
        <v>0</v>
      </c>
      <c r="L140" s="1027"/>
      <c r="M140" s="1029">
        <f t="shared" si="128"/>
        <v>0</v>
      </c>
      <c r="N140" s="1027"/>
      <c r="O140" s="1029">
        <f t="shared" si="129"/>
        <v>0</v>
      </c>
      <c r="P140" s="1027"/>
      <c r="Q140" s="1029">
        <f t="shared" si="130"/>
        <v>0</v>
      </c>
      <c r="R140" s="1027"/>
      <c r="S140" s="1029">
        <f t="shared" si="131"/>
        <v>0</v>
      </c>
      <c r="T140" s="1027"/>
      <c r="U140" s="1029">
        <f t="shared" si="132"/>
        <v>0</v>
      </c>
      <c r="V140" s="1027"/>
      <c r="W140" s="1029">
        <f t="shared" si="133"/>
        <v>0</v>
      </c>
      <c r="X140" s="1027"/>
      <c r="Y140" s="1029">
        <f t="shared" si="134"/>
        <v>0</v>
      </c>
      <c r="Z140" s="1027"/>
      <c r="AA140" s="1029">
        <f t="shared" si="135"/>
        <v>0</v>
      </c>
      <c r="AB140" s="2200"/>
      <c r="AC140" s="198" t="b">
        <f t="shared" si="122"/>
        <v>0</v>
      </c>
    </row>
    <row r="141" spans="1:29" ht="13.5" customHeight="1">
      <c r="A141" s="1739"/>
      <c r="B141" s="1027"/>
      <c r="C141" s="1029">
        <f t="shared" si="123"/>
        <v>0</v>
      </c>
      <c r="D141" s="1027"/>
      <c r="E141" s="1029">
        <f t="shared" si="124"/>
        <v>0</v>
      </c>
      <c r="F141" s="1027"/>
      <c r="G141" s="1029">
        <f t="shared" si="125"/>
        <v>0</v>
      </c>
      <c r="H141" s="1027"/>
      <c r="I141" s="1029">
        <f t="shared" si="126"/>
        <v>0</v>
      </c>
      <c r="J141" s="1027"/>
      <c r="K141" s="1029">
        <f t="shared" si="127"/>
        <v>0</v>
      </c>
      <c r="L141" s="1027"/>
      <c r="M141" s="1029">
        <f t="shared" si="128"/>
        <v>0</v>
      </c>
      <c r="N141" s="1027"/>
      <c r="O141" s="1029">
        <f t="shared" si="129"/>
        <v>0</v>
      </c>
      <c r="P141" s="1027"/>
      <c r="Q141" s="1029">
        <f t="shared" si="130"/>
        <v>0</v>
      </c>
      <c r="R141" s="1027"/>
      <c r="S141" s="1029">
        <f t="shared" si="131"/>
        <v>0</v>
      </c>
      <c r="T141" s="1027"/>
      <c r="U141" s="1029">
        <f t="shared" si="132"/>
        <v>0</v>
      </c>
      <c r="V141" s="1027"/>
      <c r="W141" s="1029">
        <f t="shared" si="133"/>
        <v>0</v>
      </c>
      <c r="X141" s="1027"/>
      <c r="Y141" s="1029">
        <f t="shared" si="134"/>
        <v>0</v>
      </c>
      <c r="Z141" s="1027"/>
      <c r="AA141" s="1029">
        <f t="shared" si="135"/>
        <v>0</v>
      </c>
      <c r="AB141" s="2200"/>
      <c r="AC141" s="198" t="b">
        <f t="shared" si="122"/>
        <v>0</v>
      </c>
    </row>
    <row r="142" spans="1:29" ht="13.5" customHeight="1">
      <c r="A142" s="1739"/>
      <c r="B142" s="1027"/>
      <c r="C142" s="1029">
        <f t="shared" si="123"/>
        <v>0</v>
      </c>
      <c r="D142" s="1027"/>
      <c r="E142" s="1029">
        <f t="shared" si="124"/>
        <v>0</v>
      </c>
      <c r="F142" s="1027"/>
      <c r="G142" s="1029">
        <f t="shared" si="125"/>
        <v>0</v>
      </c>
      <c r="H142" s="1027"/>
      <c r="I142" s="1029">
        <f t="shared" si="126"/>
        <v>0</v>
      </c>
      <c r="J142" s="1027"/>
      <c r="K142" s="1029">
        <f t="shared" si="127"/>
        <v>0</v>
      </c>
      <c r="L142" s="1027"/>
      <c r="M142" s="1029">
        <f t="shared" si="128"/>
        <v>0</v>
      </c>
      <c r="N142" s="1027"/>
      <c r="O142" s="1029">
        <f t="shared" si="129"/>
        <v>0</v>
      </c>
      <c r="P142" s="1027"/>
      <c r="Q142" s="1029">
        <f t="shared" si="130"/>
        <v>0</v>
      </c>
      <c r="R142" s="1027"/>
      <c r="S142" s="1029">
        <f t="shared" si="131"/>
        <v>0</v>
      </c>
      <c r="T142" s="1027"/>
      <c r="U142" s="1029">
        <f t="shared" si="132"/>
        <v>0</v>
      </c>
      <c r="V142" s="1027"/>
      <c r="W142" s="1029">
        <f t="shared" si="133"/>
        <v>0</v>
      </c>
      <c r="X142" s="1027"/>
      <c r="Y142" s="1029">
        <f t="shared" si="134"/>
        <v>0</v>
      </c>
      <c r="Z142" s="1027"/>
      <c r="AA142" s="1029">
        <f t="shared" si="135"/>
        <v>0</v>
      </c>
      <c r="AB142" s="2200"/>
      <c r="AC142" s="198" t="b">
        <f t="shared" ref="AC142" si="136">SUM(B142:AA142)&gt;0</f>
        <v>0</v>
      </c>
    </row>
    <row r="143" spans="1:29" ht="13.5" customHeight="1">
      <c r="A143" s="1739"/>
      <c r="B143" s="1027"/>
      <c r="C143" s="1029">
        <f t="shared" si="123"/>
        <v>0</v>
      </c>
      <c r="D143" s="1027"/>
      <c r="E143" s="1029">
        <f t="shared" si="124"/>
        <v>0</v>
      </c>
      <c r="F143" s="1027"/>
      <c r="G143" s="1029">
        <f t="shared" si="125"/>
        <v>0</v>
      </c>
      <c r="H143" s="1027"/>
      <c r="I143" s="1029">
        <f t="shared" si="126"/>
        <v>0</v>
      </c>
      <c r="J143" s="1027"/>
      <c r="K143" s="1029">
        <f t="shared" si="127"/>
        <v>0</v>
      </c>
      <c r="L143" s="1027"/>
      <c r="M143" s="1029">
        <f t="shared" si="128"/>
        <v>0</v>
      </c>
      <c r="N143" s="1027"/>
      <c r="O143" s="1029">
        <f t="shared" si="129"/>
        <v>0</v>
      </c>
      <c r="P143" s="1027"/>
      <c r="Q143" s="1029">
        <f t="shared" si="130"/>
        <v>0</v>
      </c>
      <c r="R143" s="1027"/>
      <c r="S143" s="1029">
        <f t="shared" si="131"/>
        <v>0</v>
      </c>
      <c r="T143" s="1027"/>
      <c r="U143" s="1029">
        <f t="shared" si="132"/>
        <v>0</v>
      </c>
      <c r="V143" s="1027"/>
      <c r="W143" s="1029">
        <f t="shared" si="133"/>
        <v>0</v>
      </c>
      <c r="X143" s="1027"/>
      <c r="Y143" s="1029">
        <f t="shared" si="134"/>
        <v>0</v>
      </c>
      <c r="Z143" s="1027"/>
      <c r="AA143" s="1029">
        <f t="shared" si="135"/>
        <v>0</v>
      </c>
      <c r="AB143" s="2200"/>
      <c r="AC143" s="198" t="b">
        <f t="shared" si="122"/>
        <v>0</v>
      </c>
    </row>
    <row r="144" spans="1:29" ht="13.5" customHeight="1">
      <c r="A144" s="1739"/>
      <c r="B144" s="1027"/>
      <c r="C144" s="1029">
        <f t="shared" si="123"/>
        <v>0</v>
      </c>
      <c r="D144" s="1027"/>
      <c r="E144" s="1029">
        <f t="shared" si="124"/>
        <v>0</v>
      </c>
      <c r="F144" s="1027"/>
      <c r="G144" s="1029">
        <f t="shared" si="125"/>
        <v>0</v>
      </c>
      <c r="H144" s="1027"/>
      <c r="I144" s="1029">
        <f t="shared" si="126"/>
        <v>0</v>
      </c>
      <c r="J144" s="1027"/>
      <c r="K144" s="1029">
        <f t="shared" si="127"/>
        <v>0</v>
      </c>
      <c r="L144" s="1027"/>
      <c r="M144" s="1029">
        <f t="shared" si="128"/>
        <v>0</v>
      </c>
      <c r="N144" s="1027"/>
      <c r="O144" s="1029">
        <f t="shared" si="129"/>
        <v>0</v>
      </c>
      <c r="P144" s="1027"/>
      <c r="Q144" s="1029">
        <f t="shared" si="130"/>
        <v>0</v>
      </c>
      <c r="R144" s="1027"/>
      <c r="S144" s="1029">
        <f t="shared" si="131"/>
        <v>0</v>
      </c>
      <c r="T144" s="1027"/>
      <c r="U144" s="1029">
        <f t="shared" si="132"/>
        <v>0</v>
      </c>
      <c r="V144" s="1027"/>
      <c r="W144" s="1029">
        <f t="shared" si="133"/>
        <v>0</v>
      </c>
      <c r="X144" s="1027"/>
      <c r="Y144" s="1029">
        <f t="shared" si="134"/>
        <v>0</v>
      </c>
      <c r="Z144" s="1027"/>
      <c r="AA144" s="1029">
        <f t="shared" si="135"/>
        <v>0</v>
      </c>
      <c r="AB144" s="2200"/>
      <c r="AC144" s="198" t="b">
        <f t="shared" si="122"/>
        <v>0</v>
      </c>
    </row>
    <row r="145" spans="1:29" ht="13.5" customHeight="1">
      <c r="A145" s="1739"/>
      <c r="B145" s="3115" t="s">
        <v>5582</v>
      </c>
      <c r="C145" s="3116"/>
      <c r="D145" s="3115" t="s">
        <v>5582</v>
      </c>
      <c r="E145" s="3116"/>
      <c r="F145" s="3115" t="s">
        <v>5582</v>
      </c>
      <c r="G145" s="3116"/>
      <c r="H145" s="3115" t="s">
        <v>5582</v>
      </c>
      <c r="I145" s="3116"/>
      <c r="J145" s="3115" t="s">
        <v>5582</v>
      </c>
      <c r="K145" s="3116"/>
      <c r="L145" s="3115" t="s">
        <v>5582</v>
      </c>
      <c r="M145" s="3116"/>
      <c r="N145" s="3115" t="s">
        <v>5582</v>
      </c>
      <c r="O145" s="3116"/>
      <c r="P145" s="3115" t="s">
        <v>5582</v>
      </c>
      <c r="Q145" s="3116"/>
      <c r="R145" s="3115" t="s">
        <v>5582</v>
      </c>
      <c r="S145" s="3116"/>
      <c r="T145" s="3115" t="s">
        <v>5582</v>
      </c>
      <c r="U145" s="3116"/>
      <c r="V145" s="3115" t="s">
        <v>5582</v>
      </c>
      <c r="W145" s="3116"/>
      <c r="X145" s="3115" t="s">
        <v>5582</v>
      </c>
      <c r="Y145" s="3116"/>
      <c r="Z145" s="3115" t="s">
        <v>5582</v>
      </c>
      <c r="AA145" s="3116"/>
      <c r="AB145" s="2200"/>
      <c r="AC145" s="198" t="b">
        <f>AC152</f>
        <v>0</v>
      </c>
    </row>
    <row r="146" spans="1:29" ht="13.5" customHeight="1">
      <c r="A146" s="1739"/>
      <c r="B146" s="1027"/>
      <c r="C146" s="1029">
        <f t="shared" ref="C146:C151" si="137">SUMIF(内部開口,B146,内部開口面積)</f>
        <v>0</v>
      </c>
      <c r="D146" s="1027"/>
      <c r="E146" s="1029">
        <f t="shared" ref="E146:E151" si="138">SUMIF(内部開口,D146,内部開口面積)</f>
        <v>0</v>
      </c>
      <c r="F146" s="1027"/>
      <c r="G146" s="1029">
        <f t="shared" ref="G146:G151" si="139">SUMIF(内部開口,F146,内部開口面積)</f>
        <v>0</v>
      </c>
      <c r="H146" s="1027"/>
      <c r="I146" s="1029">
        <f t="shared" ref="I146:I151" si="140">SUMIF(内部開口,H146,内部開口面積)</f>
        <v>0</v>
      </c>
      <c r="J146" s="1027"/>
      <c r="K146" s="1029">
        <f t="shared" ref="K146:K151" si="141">SUMIF(内部開口,J146,内部開口面積)</f>
        <v>0</v>
      </c>
      <c r="L146" s="1027"/>
      <c r="M146" s="1029">
        <f t="shared" ref="M146:M151" si="142">SUMIF(内部開口,L146,内部開口面積)</f>
        <v>0</v>
      </c>
      <c r="N146" s="1027"/>
      <c r="O146" s="1029">
        <f t="shared" ref="O146:O151" si="143">SUMIF(内部開口,N146,内部開口面積)</f>
        <v>0</v>
      </c>
      <c r="P146" s="1027"/>
      <c r="Q146" s="1029">
        <f t="shared" ref="Q146:Q151" si="144">SUMIF(内部開口,P146,内部開口面積)</f>
        <v>0</v>
      </c>
      <c r="R146" s="1027"/>
      <c r="S146" s="1029">
        <f t="shared" ref="S146:S151" si="145">SUMIF(内部開口,R146,内部開口面積)</f>
        <v>0</v>
      </c>
      <c r="T146" s="1027"/>
      <c r="U146" s="1029">
        <f t="shared" ref="U146:U151" si="146">SUMIF(内部開口,T146,内部開口面積)</f>
        <v>0</v>
      </c>
      <c r="V146" s="1027"/>
      <c r="W146" s="1029">
        <f t="shared" ref="W146:W151" si="147">SUMIF(内部開口,V146,内部開口面積)</f>
        <v>0</v>
      </c>
      <c r="X146" s="1027"/>
      <c r="Y146" s="1029">
        <f t="shared" ref="Y146:Y151" si="148">SUMIF(内部開口,X146,内部開口面積)</f>
        <v>0</v>
      </c>
      <c r="Z146" s="1027"/>
      <c r="AA146" s="1029">
        <f t="shared" ref="AA146:AA151" si="149">SUMIF(内部開口,Z146,内部開口面積)</f>
        <v>0</v>
      </c>
      <c r="AB146" s="2200"/>
      <c r="AC146" s="198" t="b">
        <f t="shared" si="122"/>
        <v>0</v>
      </c>
    </row>
    <row r="147" spans="1:29" ht="13.5" customHeight="1">
      <c r="A147" s="1739"/>
      <c r="B147" s="1027"/>
      <c r="C147" s="1029">
        <f t="shared" si="137"/>
        <v>0</v>
      </c>
      <c r="D147" s="1027"/>
      <c r="E147" s="1029">
        <f t="shared" si="138"/>
        <v>0</v>
      </c>
      <c r="F147" s="1027"/>
      <c r="G147" s="1029">
        <f t="shared" si="139"/>
        <v>0</v>
      </c>
      <c r="H147" s="1027"/>
      <c r="I147" s="1029">
        <f t="shared" si="140"/>
        <v>0</v>
      </c>
      <c r="J147" s="1027"/>
      <c r="K147" s="1029">
        <f t="shared" si="141"/>
        <v>0</v>
      </c>
      <c r="L147" s="1027"/>
      <c r="M147" s="1029">
        <f t="shared" si="142"/>
        <v>0</v>
      </c>
      <c r="N147" s="1027"/>
      <c r="O147" s="1029">
        <f t="shared" si="143"/>
        <v>0</v>
      </c>
      <c r="P147" s="1027"/>
      <c r="Q147" s="1029">
        <f t="shared" si="144"/>
        <v>0</v>
      </c>
      <c r="R147" s="1027"/>
      <c r="S147" s="1029">
        <f t="shared" si="145"/>
        <v>0</v>
      </c>
      <c r="T147" s="1027"/>
      <c r="U147" s="1029">
        <f t="shared" si="146"/>
        <v>0</v>
      </c>
      <c r="V147" s="1027"/>
      <c r="W147" s="1029">
        <f t="shared" si="147"/>
        <v>0</v>
      </c>
      <c r="X147" s="1027"/>
      <c r="Y147" s="1029">
        <f t="shared" si="148"/>
        <v>0</v>
      </c>
      <c r="Z147" s="1027"/>
      <c r="AA147" s="1029">
        <f t="shared" si="149"/>
        <v>0</v>
      </c>
      <c r="AB147" s="2200"/>
      <c r="AC147" s="198" t="b">
        <f t="shared" si="122"/>
        <v>0</v>
      </c>
    </row>
    <row r="148" spans="1:29" ht="13.5" customHeight="1">
      <c r="A148" s="1739"/>
      <c r="B148" s="1027"/>
      <c r="C148" s="1029">
        <f t="shared" si="137"/>
        <v>0</v>
      </c>
      <c r="D148" s="1027"/>
      <c r="E148" s="1029">
        <f t="shared" si="138"/>
        <v>0</v>
      </c>
      <c r="F148" s="1027"/>
      <c r="G148" s="1029">
        <f t="shared" si="139"/>
        <v>0</v>
      </c>
      <c r="H148" s="1027"/>
      <c r="I148" s="1029">
        <f t="shared" si="140"/>
        <v>0</v>
      </c>
      <c r="J148" s="1027"/>
      <c r="K148" s="1029">
        <f t="shared" si="141"/>
        <v>0</v>
      </c>
      <c r="L148" s="1027"/>
      <c r="M148" s="1029">
        <f t="shared" si="142"/>
        <v>0</v>
      </c>
      <c r="N148" s="1027"/>
      <c r="O148" s="1029">
        <f t="shared" si="143"/>
        <v>0</v>
      </c>
      <c r="P148" s="1027"/>
      <c r="Q148" s="1029">
        <f t="shared" si="144"/>
        <v>0</v>
      </c>
      <c r="R148" s="1027"/>
      <c r="S148" s="1029">
        <f t="shared" si="145"/>
        <v>0</v>
      </c>
      <c r="T148" s="1027"/>
      <c r="U148" s="1029">
        <f t="shared" si="146"/>
        <v>0</v>
      </c>
      <c r="V148" s="1027"/>
      <c r="W148" s="1029">
        <f t="shared" si="147"/>
        <v>0</v>
      </c>
      <c r="X148" s="1027"/>
      <c r="Y148" s="1029">
        <f t="shared" si="148"/>
        <v>0</v>
      </c>
      <c r="Z148" s="1027"/>
      <c r="AA148" s="1029">
        <f t="shared" si="149"/>
        <v>0</v>
      </c>
      <c r="AB148" s="2200"/>
      <c r="AC148" s="198" t="b">
        <f t="shared" si="122"/>
        <v>0</v>
      </c>
    </row>
    <row r="149" spans="1:29" ht="13.5" customHeight="1">
      <c r="A149" s="1739"/>
      <c r="B149" s="1027"/>
      <c r="C149" s="1029">
        <f t="shared" si="137"/>
        <v>0</v>
      </c>
      <c r="D149" s="1027"/>
      <c r="E149" s="1029">
        <f t="shared" si="138"/>
        <v>0</v>
      </c>
      <c r="F149" s="1027"/>
      <c r="G149" s="1029">
        <f t="shared" si="139"/>
        <v>0</v>
      </c>
      <c r="H149" s="1027"/>
      <c r="I149" s="1029">
        <f t="shared" si="140"/>
        <v>0</v>
      </c>
      <c r="J149" s="1027"/>
      <c r="K149" s="1029">
        <f t="shared" si="141"/>
        <v>0</v>
      </c>
      <c r="L149" s="1027"/>
      <c r="M149" s="1029">
        <f t="shared" si="142"/>
        <v>0</v>
      </c>
      <c r="N149" s="1027"/>
      <c r="O149" s="1029">
        <f t="shared" si="143"/>
        <v>0</v>
      </c>
      <c r="P149" s="1027"/>
      <c r="Q149" s="1029">
        <f t="shared" si="144"/>
        <v>0</v>
      </c>
      <c r="R149" s="1027"/>
      <c r="S149" s="1029">
        <f t="shared" si="145"/>
        <v>0</v>
      </c>
      <c r="T149" s="1027"/>
      <c r="U149" s="1029">
        <f t="shared" si="146"/>
        <v>0</v>
      </c>
      <c r="V149" s="1027"/>
      <c r="W149" s="1029">
        <f t="shared" si="147"/>
        <v>0</v>
      </c>
      <c r="X149" s="1027"/>
      <c r="Y149" s="1029">
        <f t="shared" si="148"/>
        <v>0</v>
      </c>
      <c r="Z149" s="1027"/>
      <c r="AA149" s="1029">
        <f t="shared" si="149"/>
        <v>0</v>
      </c>
      <c r="AB149" s="2200"/>
      <c r="AC149" s="198" t="b">
        <f t="shared" ref="AC149" si="150">SUM(B149:AA149)&gt;0</f>
        <v>0</v>
      </c>
    </row>
    <row r="150" spans="1:29" ht="13.5" customHeight="1">
      <c r="A150" s="1739"/>
      <c r="B150" s="1027"/>
      <c r="C150" s="1029">
        <f t="shared" si="137"/>
        <v>0</v>
      </c>
      <c r="D150" s="1027"/>
      <c r="E150" s="1029">
        <f t="shared" si="138"/>
        <v>0</v>
      </c>
      <c r="F150" s="1027"/>
      <c r="G150" s="1029">
        <f t="shared" si="139"/>
        <v>0</v>
      </c>
      <c r="H150" s="1027"/>
      <c r="I150" s="1029">
        <f t="shared" si="140"/>
        <v>0</v>
      </c>
      <c r="J150" s="1027"/>
      <c r="K150" s="1029">
        <f t="shared" si="141"/>
        <v>0</v>
      </c>
      <c r="L150" s="1027"/>
      <c r="M150" s="1029">
        <f t="shared" si="142"/>
        <v>0</v>
      </c>
      <c r="N150" s="1027"/>
      <c r="O150" s="1029">
        <f t="shared" si="143"/>
        <v>0</v>
      </c>
      <c r="P150" s="1027"/>
      <c r="Q150" s="1029">
        <f t="shared" si="144"/>
        <v>0</v>
      </c>
      <c r="R150" s="1027"/>
      <c r="S150" s="1029">
        <f t="shared" si="145"/>
        <v>0</v>
      </c>
      <c r="T150" s="1027"/>
      <c r="U150" s="1029">
        <f t="shared" si="146"/>
        <v>0</v>
      </c>
      <c r="V150" s="1027"/>
      <c r="W150" s="1029">
        <f t="shared" si="147"/>
        <v>0</v>
      </c>
      <c r="X150" s="1027"/>
      <c r="Y150" s="1029">
        <f t="shared" si="148"/>
        <v>0</v>
      </c>
      <c r="Z150" s="1027"/>
      <c r="AA150" s="1029">
        <f t="shared" si="149"/>
        <v>0</v>
      </c>
      <c r="AB150" s="2200"/>
      <c r="AC150" s="198" t="b">
        <f t="shared" si="122"/>
        <v>0</v>
      </c>
    </row>
    <row r="151" spans="1:29" ht="13.5" customHeight="1">
      <c r="A151" s="1739"/>
      <c r="B151" s="1031"/>
      <c r="C151" s="1022">
        <f t="shared" si="137"/>
        <v>0</v>
      </c>
      <c r="D151" s="1031"/>
      <c r="E151" s="1022">
        <f t="shared" si="138"/>
        <v>0</v>
      </c>
      <c r="F151" s="1031"/>
      <c r="G151" s="1022">
        <f t="shared" si="139"/>
        <v>0</v>
      </c>
      <c r="H151" s="1031"/>
      <c r="I151" s="1022">
        <f t="shared" si="140"/>
        <v>0</v>
      </c>
      <c r="J151" s="1031"/>
      <c r="K151" s="1022">
        <f t="shared" si="141"/>
        <v>0</v>
      </c>
      <c r="L151" s="1031"/>
      <c r="M151" s="1022">
        <f t="shared" si="142"/>
        <v>0</v>
      </c>
      <c r="N151" s="1031"/>
      <c r="O151" s="1022">
        <f t="shared" si="143"/>
        <v>0</v>
      </c>
      <c r="P151" s="1031"/>
      <c r="Q151" s="1022">
        <f t="shared" si="144"/>
        <v>0</v>
      </c>
      <c r="R151" s="1031"/>
      <c r="S151" s="1022">
        <f t="shared" si="145"/>
        <v>0</v>
      </c>
      <c r="T151" s="1031"/>
      <c r="U151" s="1022">
        <f t="shared" si="146"/>
        <v>0</v>
      </c>
      <c r="V151" s="1031"/>
      <c r="W151" s="1022">
        <f t="shared" si="147"/>
        <v>0</v>
      </c>
      <c r="X151" s="1031"/>
      <c r="Y151" s="1022">
        <f t="shared" si="148"/>
        <v>0</v>
      </c>
      <c r="Z151" s="1031"/>
      <c r="AA151" s="1022">
        <f t="shared" si="149"/>
        <v>0</v>
      </c>
      <c r="AB151" s="2200"/>
      <c r="AC151" s="198" t="b">
        <f t="shared" si="122"/>
        <v>0</v>
      </c>
    </row>
    <row r="152" spans="1:29" ht="13.5" customHeight="1">
      <c r="A152" s="1740"/>
      <c r="B152" s="2095" t="s">
        <v>498</v>
      </c>
      <c r="C152" s="1030">
        <f>SUM(C139:C151)</f>
        <v>0</v>
      </c>
      <c r="D152" s="2095" t="s">
        <v>498</v>
      </c>
      <c r="E152" s="1030">
        <f t="shared" ref="E152" si="151">SUM(E139:E151)</f>
        <v>0</v>
      </c>
      <c r="F152" s="2095" t="s">
        <v>498</v>
      </c>
      <c r="G152" s="1030">
        <f t="shared" ref="G152" si="152">SUM(G139:G151)</f>
        <v>0</v>
      </c>
      <c r="H152" s="2095" t="s">
        <v>498</v>
      </c>
      <c r="I152" s="1030">
        <f t="shared" ref="I152" si="153">SUM(I139:I151)</f>
        <v>0</v>
      </c>
      <c r="J152" s="2095" t="s">
        <v>498</v>
      </c>
      <c r="K152" s="1030">
        <f t="shared" ref="K152" si="154">SUM(K139:K151)</f>
        <v>0</v>
      </c>
      <c r="L152" s="2095" t="s">
        <v>498</v>
      </c>
      <c r="M152" s="1030">
        <f t="shared" ref="M152" si="155">SUM(M139:M151)</f>
        <v>0</v>
      </c>
      <c r="N152" s="2095" t="s">
        <v>498</v>
      </c>
      <c r="O152" s="1030">
        <f t="shared" ref="O152" si="156">SUM(O139:O151)</f>
        <v>0</v>
      </c>
      <c r="P152" s="2095" t="s">
        <v>498</v>
      </c>
      <c r="Q152" s="1030">
        <f t="shared" ref="Q152" si="157">SUM(Q139:Q151)</f>
        <v>0</v>
      </c>
      <c r="R152" s="2095" t="s">
        <v>498</v>
      </c>
      <c r="S152" s="1030">
        <f t="shared" ref="S152" si="158">SUM(S139:S151)</f>
        <v>0</v>
      </c>
      <c r="T152" s="2095" t="s">
        <v>498</v>
      </c>
      <c r="U152" s="1030">
        <f t="shared" ref="U152" si="159">SUM(U139:U151)</f>
        <v>0</v>
      </c>
      <c r="V152" s="2095" t="s">
        <v>498</v>
      </c>
      <c r="W152" s="1030">
        <f t="shared" ref="W152" si="160">SUM(W139:W151)</f>
        <v>0</v>
      </c>
      <c r="X152" s="2095" t="s">
        <v>498</v>
      </c>
      <c r="Y152" s="1030">
        <f t="shared" ref="Y152" si="161">SUM(Y139:Y151)</f>
        <v>0</v>
      </c>
      <c r="Z152" s="2095" t="s">
        <v>498</v>
      </c>
      <c r="AA152" s="1030">
        <f t="shared" ref="AA152" si="162">SUM(AA139:AA151)</f>
        <v>0</v>
      </c>
      <c r="AB152" s="2200"/>
      <c r="AC152" s="198" t="b">
        <f t="shared" si="122"/>
        <v>0</v>
      </c>
    </row>
    <row r="153" spans="1:29" ht="13.5" customHeight="1">
      <c r="A153" s="1012"/>
      <c r="B153" s="2087" t="s">
        <v>5733</v>
      </c>
      <c r="C153" s="1024"/>
      <c r="D153" s="1025"/>
      <c r="E153" s="1024"/>
      <c r="F153" s="1025"/>
      <c r="G153" s="1024"/>
      <c r="H153" s="1025"/>
      <c r="I153" s="1024"/>
      <c r="J153" s="1025"/>
      <c r="K153" s="1024"/>
      <c r="L153" s="1025"/>
      <c r="M153" s="1024"/>
      <c r="N153" s="1025"/>
      <c r="O153" s="1024"/>
      <c r="P153" s="1025"/>
      <c r="Q153" s="1024"/>
      <c r="R153" s="1025"/>
      <c r="S153" s="1024"/>
      <c r="T153" s="1025"/>
      <c r="U153" s="1024"/>
      <c r="V153" s="1025"/>
      <c r="W153" s="1024"/>
      <c r="X153" s="1025"/>
      <c r="Y153" s="1024"/>
      <c r="Z153" s="1025"/>
      <c r="AA153" s="1024"/>
      <c r="AB153" s="2200"/>
      <c r="AC153" s="1011" t="b">
        <v>0</v>
      </c>
    </row>
    <row r="154" spans="1:29" ht="13.5" customHeight="1">
      <c r="A154" s="1012"/>
      <c r="B154" s="2087" t="s">
        <v>5587</v>
      </c>
      <c r="C154" s="1024"/>
      <c r="D154" s="1025"/>
      <c r="E154" s="1024"/>
      <c r="F154" s="1025"/>
      <c r="G154" s="1024"/>
      <c r="H154" s="1025"/>
      <c r="I154" s="1024"/>
      <c r="J154" s="1025"/>
      <c r="K154" s="1024"/>
      <c r="L154" s="1025"/>
      <c r="M154" s="1024"/>
      <c r="N154" s="1025"/>
      <c r="O154" s="1024"/>
      <c r="P154" s="1025"/>
      <c r="Q154" s="1024"/>
      <c r="R154" s="1025"/>
      <c r="S154" s="1024"/>
      <c r="T154" s="1025"/>
      <c r="U154" s="1024"/>
      <c r="V154" s="1025"/>
      <c r="W154" s="1024"/>
      <c r="X154" s="1025"/>
      <c r="Y154" s="1024"/>
      <c r="Z154" s="1025"/>
      <c r="AA154" s="1024"/>
      <c r="AB154" s="2200"/>
      <c r="AC154" s="1011" t="b">
        <v>0</v>
      </c>
    </row>
    <row r="155" spans="1:29" ht="13.5" customHeight="1">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200"/>
      <c r="AC155" s="198" t="b">
        <f>AC171</f>
        <v>0</v>
      </c>
    </row>
    <row r="156" spans="1:29" ht="13.5" customHeight="1">
      <c r="A156" s="1742" t="s">
        <v>539</v>
      </c>
      <c r="B156" s="3109"/>
      <c r="C156" s="3110"/>
      <c r="D156" s="3109"/>
      <c r="E156" s="3110"/>
      <c r="F156" s="3109"/>
      <c r="G156" s="3110"/>
      <c r="H156" s="3109"/>
      <c r="I156" s="3110"/>
      <c r="J156" s="3109"/>
      <c r="K156" s="3110"/>
      <c r="L156" s="3109"/>
      <c r="M156" s="3110"/>
      <c r="N156" s="3109"/>
      <c r="O156" s="3110"/>
      <c r="P156" s="3109"/>
      <c r="Q156" s="3110"/>
      <c r="R156" s="3109"/>
      <c r="S156" s="3110"/>
      <c r="T156" s="3109"/>
      <c r="U156" s="3110"/>
      <c r="V156" s="3109"/>
      <c r="W156" s="3110"/>
      <c r="X156" s="3109"/>
      <c r="Y156" s="3110"/>
      <c r="Z156" s="3109"/>
      <c r="AA156" s="3110"/>
      <c r="AB156" s="2200"/>
      <c r="AC156" s="198" t="b">
        <f>OR(COUNTA(B156:AA156)&lt;&gt;0,AC171)</f>
        <v>0</v>
      </c>
    </row>
    <row r="157" spans="1:29" ht="13.5" customHeight="1">
      <c r="A157" s="1742" t="s">
        <v>540</v>
      </c>
      <c r="B157" s="3107"/>
      <c r="C157" s="3107"/>
      <c r="D157" s="3107"/>
      <c r="E157" s="3107"/>
      <c r="F157" s="3107"/>
      <c r="G157" s="3107"/>
      <c r="H157" s="3107"/>
      <c r="I157" s="3107"/>
      <c r="J157" s="3107"/>
      <c r="K157" s="3107"/>
      <c r="L157" s="3107"/>
      <c r="M157" s="3107"/>
      <c r="N157" s="3107"/>
      <c r="O157" s="3107"/>
      <c r="P157" s="3107"/>
      <c r="Q157" s="3107"/>
      <c r="R157" s="3107"/>
      <c r="S157" s="3107"/>
      <c r="T157" s="3107"/>
      <c r="U157" s="3107"/>
      <c r="V157" s="3107"/>
      <c r="W157" s="3107"/>
      <c r="X157" s="3107"/>
      <c r="Y157" s="3107"/>
      <c r="Z157" s="3107"/>
      <c r="AA157" s="3107"/>
      <c r="AB157" s="2200"/>
      <c r="AC157" s="198" t="b">
        <f>OR(COUNTA(B157:AA157)&lt;&gt;0,AC171)</f>
        <v>0</v>
      </c>
    </row>
    <row r="158" spans="1:29" ht="13.5" customHeight="1">
      <c r="A158" s="1743" t="s">
        <v>1513</v>
      </c>
      <c r="B158" s="3108"/>
      <c r="C158" s="3108"/>
      <c r="D158" s="3108"/>
      <c r="E158" s="3108"/>
      <c r="F158" s="3108"/>
      <c r="G158" s="3108"/>
      <c r="H158" s="3108"/>
      <c r="I158" s="3108"/>
      <c r="J158" s="3108"/>
      <c r="K158" s="3108"/>
      <c r="L158" s="3108"/>
      <c r="M158" s="3108"/>
      <c r="N158" s="3108"/>
      <c r="O158" s="3108"/>
      <c r="P158" s="3108"/>
      <c r="Q158" s="3108"/>
      <c r="R158" s="3108"/>
      <c r="S158" s="3108"/>
      <c r="T158" s="3108"/>
      <c r="U158" s="3108"/>
      <c r="V158" s="3108"/>
      <c r="W158" s="3108"/>
      <c r="X158" s="3108"/>
      <c r="Y158" s="3108"/>
      <c r="Z158" s="3108"/>
      <c r="AA158" s="3108"/>
      <c r="AB158" s="2200"/>
      <c r="AC158" s="198" t="b">
        <f t="shared" ref="AC158:AC159" si="163">COUNTA(B158:AA158)&lt;&gt;0</f>
        <v>0</v>
      </c>
    </row>
    <row r="159" spans="1:29" ht="13.5" customHeight="1">
      <c r="A159" s="1744" t="s">
        <v>1514</v>
      </c>
      <c r="B159" s="3098"/>
      <c r="C159" s="3098"/>
      <c r="D159" s="3098"/>
      <c r="E159" s="3098"/>
      <c r="F159" s="3098"/>
      <c r="G159" s="3098"/>
      <c r="H159" s="3098"/>
      <c r="I159" s="3098"/>
      <c r="J159" s="3098"/>
      <c r="K159" s="3098"/>
      <c r="L159" s="3098"/>
      <c r="M159" s="3098"/>
      <c r="N159" s="3098"/>
      <c r="O159" s="3098"/>
      <c r="P159" s="3098"/>
      <c r="Q159" s="3098"/>
      <c r="R159" s="3098"/>
      <c r="S159" s="3098"/>
      <c r="T159" s="3098"/>
      <c r="U159" s="3098"/>
      <c r="V159" s="3098"/>
      <c r="W159" s="3098"/>
      <c r="X159" s="3098"/>
      <c r="Y159" s="3098"/>
      <c r="Z159" s="3098"/>
      <c r="AA159" s="3098"/>
      <c r="AB159" s="2200"/>
      <c r="AC159" s="198" t="b">
        <f t="shared" si="163"/>
        <v>0</v>
      </c>
    </row>
    <row r="160" spans="1:29" ht="13.5" customHeight="1">
      <c r="A160" s="1745" t="s">
        <v>541</v>
      </c>
      <c r="B160" s="3111"/>
      <c r="C160" s="3112"/>
      <c r="D160" s="3111"/>
      <c r="E160" s="3112"/>
      <c r="F160" s="3111"/>
      <c r="G160" s="3112"/>
      <c r="H160" s="3111"/>
      <c r="I160" s="3112"/>
      <c r="J160" s="3111"/>
      <c r="K160" s="3112"/>
      <c r="L160" s="3111"/>
      <c r="M160" s="3112"/>
      <c r="N160" s="3111"/>
      <c r="O160" s="3112"/>
      <c r="P160" s="3111"/>
      <c r="Q160" s="3112"/>
      <c r="R160" s="3111"/>
      <c r="S160" s="3112"/>
      <c r="T160" s="3111"/>
      <c r="U160" s="3112"/>
      <c r="V160" s="3111"/>
      <c r="W160" s="3112"/>
      <c r="X160" s="3111"/>
      <c r="Y160" s="3112"/>
      <c r="Z160" s="3111"/>
      <c r="AA160" s="3112"/>
      <c r="AB160" s="2200"/>
      <c r="AC160" s="1015" t="b">
        <f>SUM(B160:AA160)&lt;&gt;0</f>
        <v>0</v>
      </c>
    </row>
    <row r="161" spans="1:29" ht="13.5" customHeight="1">
      <c r="A161" s="1745"/>
      <c r="B161" s="3099"/>
      <c r="C161" s="3100"/>
      <c r="D161" s="3099"/>
      <c r="E161" s="3100"/>
      <c r="F161" s="3099"/>
      <c r="G161" s="3100"/>
      <c r="H161" s="3099"/>
      <c r="I161" s="3100"/>
      <c r="J161" s="3099"/>
      <c r="K161" s="3100"/>
      <c r="L161" s="3099"/>
      <c r="M161" s="3100"/>
      <c r="N161" s="3099"/>
      <c r="O161" s="3100"/>
      <c r="P161" s="3099"/>
      <c r="Q161" s="3100"/>
      <c r="R161" s="3099"/>
      <c r="S161" s="3100"/>
      <c r="T161" s="3099"/>
      <c r="U161" s="3100"/>
      <c r="V161" s="3099"/>
      <c r="W161" s="3100"/>
      <c r="X161" s="3099"/>
      <c r="Y161" s="3100"/>
      <c r="Z161" s="3099"/>
      <c r="AA161" s="3100"/>
      <c r="AB161" s="2200"/>
      <c r="AC161" s="1015" t="b">
        <f t="shared" ref="AC161:AC169" si="164">SUM(B161:AA161)&lt;&gt;0</f>
        <v>0</v>
      </c>
    </row>
    <row r="162" spans="1:29" ht="13.5" customHeight="1">
      <c r="A162" s="1745"/>
      <c r="B162" s="3099"/>
      <c r="C162" s="3100"/>
      <c r="D162" s="3099"/>
      <c r="E162" s="3100"/>
      <c r="F162" s="3099"/>
      <c r="G162" s="3100"/>
      <c r="H162" s="3099"/>
      <c r="I162" s="3100"/>
      <c r="J162" s="3099"/>
      <c r="K162" s="3100"/>
      <c r="L162" s="3099"/>
      <c r="M162" s="3100"/>
      <c r="N162" s="3099"/>
      <c r="O162" s="3100"/>
      <c r="P162" s="3099"/>
      <c r="Q162" s="3100"/>
      <c r="R162" s="3099"/>
      <c r="S162" s="3100"/>
      <c r="T162" s="3099"/>
      <c r="U162" s="3100"/>
      <c r="V162" s="3099"/>
      <c r="W162" s="3100"/>
      <c r="X162" s="3099"/>
      <c r="Y162" s="3100"/>
      <c r="Z162" s="3099"/>
      <c r="AA162" s="3100"/>
      <c r="AB162" s="2200"/>
      <c r="AC162" s="1015" t="b">
        <f t="shared" si="164"/>
        <v>0</v>
      </c>
    </row>
    <row r="163" spans="1:29" ht="13.5" customHeight="1">
      <c r="A163" s="1745"/>
      <c r="B163" s="3099"/>
      <c r="C163" s="3100"/>
      <c r="D163" s="3099"/>
      <c r="E163" s="3100"/>
      <c r="F163" s="3099"/>
      <c r="G163" s="3100"/>
      <c r="H163" s="3099"/>
      <c r="I163" s="3100"/>
      <c r="J163" s="3099"/>
      <c r="K163" s="3100"/>
      <c r="L163" s="3099"/>
      <c r="M163" s="3100"/>
      <c r="N163" s="3099"/>
      <c r="O163" s="3100"/>
      <c r="P163" s="3099"/>
      <c r="Q163" s="3100"/>
      <c r="R163" s="3099"/>
      <c r="S163" s="3100"/>
      <c r="T163" s="3099"/>
      <c r="U163" s="3100"/>
      <c r="V163" s="3099"/>
      <c r="W163" s="3100"/>
      <c r="X163" s="3099"/>
      <c r="Y163" s="3100"/>
      <c r="Z163" s="3099"/>
      <c r="AA163" s="3100"/>
      <c r="AB163" s="2200"/>
      <c r="AC163" s="1015" t="b">
        <f t="shared" si="164"/>
        <v>0</v>
      </c>
    </row>
    <row r="164" spans="1:29" ht="13.5" customHeight="1">
      <c r="A164" s="1745"/>
      <c r="B164" s="3099"/>
      <c r="C164" s="3100"/>
      <c r="D164" s="3099"/>
      <c r="E164" s="3100"/>
      <c r="F164" s="3099"/>
      <c r="G164" s="3100"/>
      <c r="H164" s="3099"/>
      <c r="I164" s="3100"/>
      <c r="J164" s="3099"/>
      <c r="K164" s="3100"/>
      <c r="L164" s="3099"/>
      <c r="M164" s="3100"/>
      <c r="N164" s="3099"/>
      <c r="O164" s="3100"/>
      <c r="P164" s="3099"/>
      <c r="Q164" s="3100"/>
      <c r="R164" s="3099"/>
      <c r="S164" s="3100"/>
      <c r="T164" s="3099"/>
      <c r="U164" s="3100"/>
      <c r="V164" s="3099"/>
      <c r="W164" s="3100"/>
      <c r="X164" s="3099"/>
      <c r="Y164" s="3100"/>
      <c r="Z164" s="3099"/>
      <c r="AA164" s="3100"/>
      <c r="AB164" s="2200"/>
      <c r="AC164" s="1015" t="b">
        <f t="shared" si="164"/>
        <v>0</v>
      </c>
    </row>
    <row r="165" spans="1:29" ht="13.5" customHeight="1">
      <c r="A165" s="1745"/>
      <c r="B165" s="3099"/>
      <c r="C165" s="3100"/>
      <c r="D165" s="3099"/>
      <c r="E165" s="3100"/>
      <c r="F165" s="3099"/>
      <c r="G165" s="3100"/>
      <c r="H165" s="3099"/>
      <c r="I165" s="3100"/>
      <c r="J165" s="3099"/>
      <c r="K165" s="3100"/>
      <c r="L165" s="3099"/>
      <c r="M165" s="3100"/>
      <c r="N165" s="3099"/>
      <c r="O165" s="3100"/>
      <c r="P165" s="3099"/>
      <c r="Q165" s="3100"/>
      <c r="R165" s="3099"/>
      <c r="S165" s="3100"/>
      <c r="T165" s="3099"/>
      <c r="U165" s="3100"/>
      <c r="V165" s="3099"/>
      <c r="W165" s="3100"/>
      <c r="X165" s="3099"/>
      <c r="Y165" s="3100"/>
      <c r="Z165" s="3099"/>
      <c r="AA165" s="3100"/>
      <c r="AB165" s="2200"/>
      <c r="AC165" s="1015" t="b">
        <f t="shared" si="164"/>
        <v>0</v>
      </c>
    </row>
    <row r="166" spans="1:29" ht="13.5" customHeight="1">
      <c r="A166" s="1745"/>
      <c r="B166" s="3099"/>
      <c r="C166" s="3100"/>
      <c r="D166" s="3099"/>
      <c r="E166" s="3100"/>
      <c r="F166" s="3099"/>
      <c r="G166" s="3100"/>
      <c r="H166" s="3099"/>
      <c r="I166" s="3100"/>
      <c r="J166" s="3099"/>
      <c r="K166" s="3100"/>
      <c r="L166" s="3099"/>
      <c r="M166" s="3100"/>
      <c r="N166" s="3099"/>
      <c r="O166" s="3100"/>
      <c r="P166" s="3099"/>
      <c r="Q166" s="3100"/>
      <c r="R166" s="3099"/>
      <c r="S166" s="3100"/>
      <c r="T166" s="3099"/>
      <c r="U166" s="3100"/>
      <c r="V166" s="3099"/>
      <c r="W166" s="3100"/>
      <c r="X166" s="3099"/>
      <c r="Y166" s="3100"/>
      <c r="Z166" s="3099"/>
      <c r="AA166" s="3100"/>
      <c r="AB166" s="2200"/>
      <c r="AC166" s="1015" t="b">
        <f t="shared" si="164"/>
        <v>0</v>
      </c>
    </row>
    <row r="167" spans="1:29" ht="13.5" customHeight="1">
      <c r="A167" s="1745"/>
      <c r="B167" s="3103"/>
      <c r="C167" s="3104"/>
      <c r="D167" s="3103"/>
      <c r="E167" s="3104"/>
      <c r="F167" s="3103"/>
      <c r="G167" s="3104"/>
      <c r="H167" s="3103"/>
      <c r="I167" s="3104"/>
      <c r="J167" s="3103"/>
      <c r="K167" s="3104"/>
      <c r="L167" s="3103"/>
      <c r="M167" s="3104"/>
      <c r="N167" s="3103"/>
      <c r="O167" s="3104"/>
      <c r="P167" s="3103"/>
      <c r="Q167" s="3104"/>
      <c r="R167" s="3103"/>
      <c r="S167" s="3104"/>
      <c r="T167" s="3103"/>
      <c r="U167" s="3104"/>
      <c r="V167" s="3103"/>
      <c r="W167" s="3104"/>
      <c r="X167" s="3103"/>
      <c r="Y167" s="3104"/>
      <c r="Z167" s="3103"/>
      <c r="AA167" s="3104"/>
      <c r="AB167" s="2200"/>
      <c r="AC167" s="1015" t="b">
        <f t="shared" si="164"/>
        <v>0</v>
      </c>
    </row>
    <row r="168" spans="1:29" ht="13.5" customHeight="1">
      <c r="A168" s="1743" t="s">
        <v>5549</v>
      </c>
      <c r="B168" s="3105"/>
      <c r="C168" s="3106"/>
      <c r="D168" s="3105"/>
      <c r="E168" s="3106"/>
      <c r="F168" s="3105"/>
      <c r="G168" s="3106"/>
      <c r="H168" s="3105"/>
      <c r="I168" s="3106"/>
      <c r="J168" s="3105"/>
      <c r="K168" s="3106"/>
      <c r="L168" s="3105"/>
      <c r="M168" s="3106"/>
      <c r="N168" s="3105"/>
      <c r="O168" s="3106"/>
      <c r="P168" s="3105"/>
      <c r="Q168" s="3106"/>
      <c r="R168" s="3105"/>
      <c r="S168" s="3106"/>
      <c r="T168" s="3105"/>
      <c r="U168" s="3106"/>
      <c r="V168" s="3105"/>
      <c r="W168" s="3106"/>
      <c r="X168" s="3105"/>
      <c r="Y168" s="3106"/>
      <c r="Z168" s="3105"/>
      <c r="AA168" s="3106"/>
      <c r="AB168" s="2200"/>
      <c r="AC168" s="1015" t="b">
        <f t="shared" si="164"/>
        <v>0</v>
      </c>
    </row>
    <row r="169" spans="1:29" ht="13.5" customHeight="1">
      <c r="A169" s="1743" t="s">
        <v>926</v>
      </c>
      <c r="B169" s="3097">
        <f>C188</f>
        <v>0</v>
      </c>
      <c r="C169" s="3097"/>
      <c r="D169" s="3097">
        <f t="shared" ref="D169" si="165">E188</f>
        <v>0</v>
      </c>
      <c r="E169" s="3097"/>
      <c r="F169" s="3097">
        <f t="shared" ref="F169" si="166">G188</f>
        <v>0</v>
      </c>
      <c r="G169" s="3097"/>
      <c r="H169" s="3097">
        <f t="shared" ref="H169" si="167">I188</f>
        <v>0</v>
      </c>
      <c r="I169" s="3097"/>
      <c r="J169" s="3097">
        <f t="shared" ref="J169" si="168">K188</f>
        <v>0</v>
      </c>
      <c r="K169" s="3097"/>
      <c r="L169" s="3097">
        <f t="shared" ref="L169" si="169">M188</f>
        <v>0</v>
      </c>
      <c r="M169" s="3097"/>
      <c r="N169" s="3097">
        <f t="shared" ref="N169" si="170">O188</f>
        <v>0</v>
      </c>
      <c r="O169" s="3097"/>
      <c r="P169" s="3097">
        <f t="shared" ref="P169" si="171">Q188</f>
        <v>0</v>
      </c>
      <c r="Q169" s="3097"/>
      <c r="R169" s="3097">
        <f t="shared" ref="R169" si="172">S188</f>
        <v>0</v>
      </c>
      <c r="S169" s="3097"/>
      <c r="T169" s="3097">
        <f t="shared" ref="T169" si="173">U188</f>
        <v>0</v>
      </c>
      <c r="U169" s="3097"/>
      <c r="V169" s="3097">
        <f t="shared" ref="V169" si="174">W188</f>
        <v>0</v>
      </c>
      <c r="W169" s="3097"/>
      <c r="X169" s="3097">
        <f t="shared" ref="X169" si="175">Y188</f>
        <v>0</v>
      </c>
      <c r="Y169" s="3097"/>
      <c r="Z169" s="3097">
        <f t="shared" ref="Z169" si="176">AA188</f>
        <v>0</v>
      </c>
      <c r="AA169" s="3097"/>
      <c r="AB169" s="2200"/>
      <c r="AC169" s="1015" t="b">
        <f t="shared" si="164"/>
        <v>0</v>
      </c>
    </row>
    <row r="170" spans="1:29" ht="13.5" customHeight="1">
      <c r="A170" s="1743" t="s">
        <v>5550</v>
      </c>
      <c r="B170" s="3101">
        <v>1</v>
      </c>
      <c r="C170" s="3102"/>
      <c r="D170" s="3101">
        <v>1</v>
      </c>
      <c r="E170" s="3102"/>
      <c r="F170" s="3101">
        <v>1</v>
      </c>
      <c r="G170" s="3102"/>
      <c r="H170" s="3101">
        <v>1</v>
      </c>
      <c r="I170" s="3102"/>
      <c r="J170" s="3101">
        <v>1</v>
      </c>
      <c r="K170" s="3102"/>
      <c r="L170" s="3101">
        <v>1</v>
      </c>
      <c r="M170" s="3102"/>
      <c r="N170" s="3101">
        <v>1</v>
      </c>
      <c r="O170" s="3102"/>
      <c r="P170" s="3101">
        <v>1</v>
      </c>
      <c r="Q170" s="3102"/>
      <c r="R170" s="3101">
        <v>1</v>
      </c>
      <c r="S170" s="3102"/>
      <c r="T170" s="3101">
        <v>1</v>
      </c>
      <c r="U170" s="3102"/>
      <c r="V170" s="3101">
        <v>1</v>
      </c>
      <c r="W170" s="3102"/>
      <c r="X170" s="3101">
        <v>1</v>
      </c>
      <c r="Y170" s="3102"/>
      <c r="Z170" s="3101">
        <v>1</v>
      </c>
      <c r="AA170" s="3102"/>
      <c r="AB170" s="2200"/>
      <c r="AC170" s="1015" t="b">
        <f>AC171</f>
        <v>0</v>
      </c>
    </row>
    <row r="171" spans="1:29" ht="13.5" customHeight="1">
      <c r="A171" s="1742" t="s">
        <v>933</v>
      </c>
      <c r="B171" s="3028">
        <f>ROUNDDOWN((SUM(B160:C167)*B168-B169)*B170,2)</f>
        <v>0</v>
      </c>
      <c r="C171" s="3030"/>
      <c r="D171" s="2543">
        <f t="shared" ref="D171" si="177">ROUNDDOWN((SUM(D160:E167)*D168-D169)*D170,2)</f>
        <v>0</v>
      </c>
      <c r="E171" s="3027"/>
      <c r="F171" s="2543">
        <f t="shared" ref="F171" si="178">ROUNDDOWN((SUM(F160:G167)*F168-F169)*F170,2)</f>
        <v>0</v>
      </c>
      <c r="G171" s="3027"/>
      <c r="H171" s="2543">
        <f t="shared" ref="H171" si="179">ROUNDDOWN((SUM(H160:I167)*H168-H169)*H170,2)</f>
        <v>0</v>
      </c>
      <c r="I171" s="3027"/>
      <c r="J171" s="2543">
        <f t="shared" ref="J171" si="180">ROUNDDOWN((SUM(J160:K167)*J168-J169)*J170,2)</f>
        <v>0</v>
      </c>
      <c r="K171" s="3027"/>
      <c r="L171" s="2543">
        <f t="shared" ref="L171" si="181">ROUNDDOWN((SUM(L160:M167)*L168-L169)*L170,2)</f>
        <v>0</v>
      </c>
      <c r="M171" s="3027"/>
      <c r="N171" s="2543">
        <f t="shared" ref="N171" si="182">ROUNDDOWN((SUM(N160:O167)*N168-N169)*N170,2)</f>
        <v>0</v>
      </c>
      <c r="O171" s="3027"/>
      <c r="P171" s="2543">
        <f t="shared" ref="P171" si="183">ROUNDDOWN((SUM(P160:Q167)*P168-P169)*P170,2)</f>
        <v>0</v>
      </c>
      <c r="Q171" s="3027"/>
      <c r="R171" s="2543">
        <f t="shared" ref="R171" si="184">ROUNDDOWN((SUM(R160:S167)*R168-R169)*R170,2)</f>
        <v>0</v>
      </c>
      <c r="S171" s="3027"/>
      <c r="T171" s="2543">
        <f t="shared" ref="T171" si="185">ROUNDDOWN((SUM(T160:U167)*T168-T169)*T170,2)</f>
        <v>0</v>
      </c>
      <c r="U171" s="3027"/>
      <c r="V171" s="2543">
        <f t="shared" ref="V171" si="186">ROUNDDOWN((SUM(V160:W167)*V168-V169)*V170,2)</f>
        <v>0</v>
      </c>
      <c r="W171" s="3027"/>
      <c r="X171" s="2543">
        <f t="shared" ref="X171" si="187">ROUNDDOWN((SUM(X160:Y167)*X168-X169)*X170,2)</f>
        <v>0</v>
      </c>
      <c r="Y171" s="3027"/>
      <c r="Z171" s="2543">
        <f t="shared" ref="Z171" si="188">ROUNDDOWN((SUM(Z160:AA167)*Z168-Z169)*Z170,2)</f>
        <v>0</v>
      </c>
      <c r="AA171" s="3027"/>
      <c r="AB171" s="2200"/>
      <c r="AC171" s="204" t="b">
        <f>COUNTIF(B171:AA171,"&lt;&gt;0")-13&lt;&gt;0</f>
        <v>0</v>
      </c>
    </row>
    <row r="172" spans="1:29" ht="13.5" customHeight="1">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200"/>
      <c r="AC172" s="198" t="b">
        <f>AC188</f>
        <v>0</v>
      </c>
    </row>
    <row r="173" spans="1:29" ht="13.5" customHeight="1">
      <c r="A173" s="1737" t="s">
        <v>5548</v>
      </c>
      <c r="B173" s="3095">
        <f>B156</f>
        <v>0</v>
      </c>
      <c r="C173" s="3096"/>
      <c r="D173" s="3095">
        <f>D156</f>
        <v>0</v>
      </c>
      <c r="E173" s="3096"/>
      <c r="F173" s="3095">
        <f>F156</f>
        <v>0</v>
      </c>
      <c r="G173" s="3096"/>
      <c r="H173" s="3095">
        <f>H156</f>
        <v>0</v>
      </c>
      <c r="I173" s="3096"/>
      <c r="J173" s="3095">
        <f>J156</f>
        <v>0</v>
      </c>
      <c r="K173" s="3096"/>
      <c r="L173" s="3095">
        <f>L156</f>
        <v>0</v>
      </c>
      <c r="M173" s="3096"/>
      <c r="N173" s="3095">
        <f>N156</f>
        <v>0</v>
      </c>
      <c r="O173" s="3096"/>
      <c r="P173" s="3095">
        <f>P156</f>
        <v>0</v>
      </c>
      <c r="Q173" s="3096"/>
      <c r="R173" s="3095">
        <f>R156</f>
        <v>0</v>
      </c>
      <c r="S173" s="3096"/>
      <c r="T173" s="3095">
        <f>T156</f>
        <v>0</v>
      </c>
      <c r="U173" s="3096"/>
      <c r="V173" s="3095">
        <f>V156</f>
        <v>0</v>
      </c>
      <c r="W173" s="3096"/>
      <c r="X173" s="3095">
        <f>X156</f>
        <v>0</v>
      </c>
      <c r="Y173" s="3096"/>
      <c r="Z173" s="3095">
        <f>Z156</f>
        <v>0</v>
      </c>
      <c r="AA173" s="3096"/>
      <c r="AB173" s="2200"/>
      <c r="AC173" s="198" t="b">
        <f>AC188</f>
        <v>0</v>
      </c>
    </row>
    <row r="174" spans="1:29" ht="13.5" customHeight="1">
      <c r="A174" s="1738" t="s">
        <v>5547</v>
      </c>
      <c r="B174" s="3115" t="s">
        <v>5581</v>
      </c>
      <c r="C174" s="3116"/>
      <c r="D174" s="3115" t="s">
        <v>5581</v>
      </c>
      <c r="E174" s="3116"/>
      <c r="F174" s="3115" t="s">
        <v>5581</v>
      </c>
      <c r="G174" s="3116"/>
      <c r="H174" s="3115" t="s">
        <v>5581</v>
      </c>
      <c r="I174" s="3116"/>
      <c r="J174" s="3115" t="s">
        <v>5581</v>
      </c>
      <c r="K174" s="3116"/>
      <c r="L174" s="3115" t="s">
        <v>5581</v>
      </c>
      <c r="M174" s="3116"/>
      <c r="N174" s="3115" t="s">
        <v>5581</v>
      </c>
      <c r="O174" s="3116"/>
      <c r="P174" s="3115" t="s">
        <v>5581</v>
      </c>
      <c r="Q174" s="3116"/>
      <c r="R174" s="3115" t="s">
        <v>5581</v>
      </c>
      <c r="S174" s="3116"/>
      <c r="T174" s="3115" t="s">
        <v>5581</v>
      </c>
      <c r="U174" s="3116"/>
      <c r="V174" s="3115" t="s">
        <v>5581</v>
      </c>
      <c r="W174" s="3116"/>
      <c r="X174" s="3115" t="s">
        <v>5581</v>
      </c>
      <c r="Y174" s="3116"/>
      <c r="Z174" s="3115" t="s">
        <v>5581</v>
      </c>
      <c r="AA174" s="3116"/>
      <c r="AB174" s="2200"/>
      <c r="AC174" s="198" t="b">
        <f>AC188</f>
        <v>0</v>
      </c>
    </row>
    <row r="175" spans="1:29" ht="13.5" customHeight="1">
      <c r="A175" s="1738"/>
      <c r="B175" s="1026"/>
      <c r="C175" s="1028">
        <f t="shared" ref="C175:C180" si="189">SUMIF(外部開口,B175,外部開口面積)</f>
        <v>0</v>
      </c>
      <c r="D175" s="1026"/>
      <c r="E175" s="1028">
        <f t="shared" ref="E175:E180" si="190">SUMIF(外部開口,D175,外部開口面積)</f>
        <v>0</v>
      </c>
      <c r="F175" s="1026"/>
      <c r="G175" s="1028">
        <f t="shared" ref="G175:G180" si="191">SUMIF(外部開口,F175,外部開口面積)</f>
        <v>0</v>
      </c>
      <c r="H175" s="1026"/>
      <c r="I175" s="1028">
        <f t="shared" ref="I175:I180" si="192">SUMIF(外部開口,H175,外部開口面積)</f>
        <v>0</v>
      </c>
      <c r="J175" s="1026"/>
      <c r="K175" s="1028">
        <f t="shared" ref="K175:K180" si="193">SUMIF(外部開口,J175,外部開口面積)</f>
        <v>0</v>
      </c>
      <c r="L175" s="1026"/>
      <c r="M175" s="1028">
        <f t="shared" ref="M175:M180" si="194">SUMIF(外部開口,L175,外部開口面積)</f>
        <v>0</v>
      </c>
      <c r="N175" s="1026"/>
      <c r="O175" s="1028">
        <f t="shared" ref="O175:O180" si="195">SUMIF(外部開口,N175,外部開口面積)</f>
        <v>0</v>
      </c>
      <c r="P175" s="1026"/>
      <c r="Q175" s="1028">
        <f t="shared" ref="Q175:Q180" si="196">SUMIF(外部開口,P175,外部開口面積)</f>
        <v>0</v>
      </c>
      <c r="R175" s="1026"/>
      <c r="S175" s="1028">
        <f t="shared" ref="S175:S180" si="197">SUMIF(外部開口,R175,外部開口面積)</f>
        <v>0</v>
      </c>
      <c r="T175" s="1026"/>
      <c r="U175" s="1028">
        <f t="shared" ref="U175:U180" si="198">SUMIF(外部開口,T175,外部開口面積)</f>
        <v>0</v>
      </c>
      <c r="V175" s="1026"/>
      <c r="W175" s="1028">
        <f t="shared" ref="W175:W180" si="199">SUMIF(外部開口,V175,外部開口面積)</f>
        <v>0</v>
      </c>
      <c r="X175" s="1026"/>
      <c r="Y175" s="1028">
        <f t="shared" ref="Y175:Y180" si="200">SUMIF(外部開口,X175,外部開口面積)</f>
        <v>0</v>
      </c>
      <c r="Z175" s="1026"/>
      <c r="AA175" s="1028">
        <f t="shared" ref="AA175:AA180" si="201">SUMIF(外部開口,Z175,外部開口面積)</f>
        <v>0</v>
      </c>
      <c r="AB175" s="2200"/>
      <c r="AC175" s="198" t="b">
        <f t="shared" ref="AC175:AC188" si="202">SUM(B175:AA175)&gt;0</f>
        <v>0</v>
      </c>
    </row>
    <row r="176" spans="1:29" ht="13.5" customHeight="1">
      <c r="A176" s="1739"/>
      <c r="B176" s="1027"/>
      <c r="C176" s="1029">
        <f t="shared" si="189"/>
        <v>0</v>
      </c>
      <c r="D176" s="1027"/>
      <c r="E176" s="1029">
        <f t="shared" si="190"/>
        <v>0</v>
      </c>
      <c r="F176" s="1027"/>
      <c r="G176" s="1029">
        <f t="shared" si="191"/>
        <v>0</v>
      </c>
      <c r="H176" s="1027"/>
      <c r="I176" s="1029">
        <f t="shared" si="192"/>
        <v>0</v>
      </c>
      <c r="J176" s="1027"/>
      <c r="K176" s="1029">
        <f t="shared" si="193"/>
        <v>0</v>
      </c>
      <c r="L176" s="1027"/>
      <c r="M176" s="1029">
        <f t="shared" si="194"/>
        <v>0</v>
      </c>
      <c r="N176" s="1027"/>
      <c r="O176" s="1029">
        <f t="shared" si="195"/>
        <v>0</v>
      </c>
      <c r="P176" s="1027"/>
      <c r="Q176" s="1029">
        <f t="shared" si="196"/>
        <v>0</v>
      </c>
      <c r="R176" s="1027"/>
      <c r="S176" s="1029">
        <f t="shared" si="197"/>
        <v>0</v>
      </c>
      <c r="T176" s="1027"/>
      <c r="U176" s="1029">
        <f t="shared" si="198"/>
        <v>0</v>
      </c>
      <c r="V176" s="1027"/>
      <c r="W176" s="1029">
        <f t="shared" si="199"/>
        <v>0</v>
      </c>
      <c r="X176" s="1027"/>
      <c r="Y176" s="1029">
        <f t="shared" si="200"/>
        <v>0</v>
      </c>
      <c r="Z176" s="1027"/>
      <c r="AA176" s="1029">
        <f t="shared" si="201"/>
        <v>0</v>
      </c>
      <c r="AB176" s="2200"/>
      <c r="AC176" s="198" t="b">
        <f t="shared" si="202"/>
        <v>0</v>
      </c>
    </row>
    <row r="177" spans="1:29" ht="13.5" customHeight="1">
      <c r="A177" s="1739"/>
      <c r="B177" s="1027"/>
      <c r="C177" s="1029">
        <f t="shared" si="189"/>
        <v>0</v>
      </c>
      <c r="D177" s="1027"/>
      <c r="E177" s="1029">
        <f t="shared" si="190"/>
        <v>0</v>
      </c>
      <c r="F177" s="1027"/>
      <c r="G177" s="1029">
        <f t="shared" si="191"/>
        <v>0</v>
      </c>
      <c r="H177" s="1027"/>
      <c r="I177" s="1029">
        <f t="shared" si="192"/>
        <v>0</v>
      </c>
      <c r="J177" s="1027"/>
      <c r="K177" s="1029">
        <f t="shared" si="193"/>
        <v>0</v>
      </c>
      <c r="L177" s="1027"/>
      <c r="M177" s="1029">
        <f t="shared" si="194"/>
        <v>0</v>
      </c>
      <c r="N177" s="1027"/>
      <c r="O177" s="1029">
        <f t="shared" si="195"/>
        <v>0</v>
      </c>
      <c r="P177" s="1027"/>
      <c r="Q177" s="1029">
        <f t="shared" si="196"/>
        <v>0</v>
      </c>
      <c r="R177" s="1027"/>
      <c r="S177" s="1029">
        <f t="shared" si="197"/>
        <v>0</v>
      </c>
      <c r="T177" s="1027"/>
      <c r="U177" s="1029">
        <f t="shared" si="198"/>
        <v>0</v>
      </c>
      <c r="V177" s="1027"/>
      <c r="W177" s="1029">
        <f t="shared" si="199"/>
        <v>0</v>
      </c>
      <c r="X177" s="1027"/>
      <c r="Y177" s="1029">
        <f t="shared" si="200"/>
        <v>0</v>
      </c>
      <c r="Z177" s="1027"/>
      <c r="AA177" s="1029">
        <f t="shared" si="201"/>
        <v>0</v>
      </c>
      <c r="AB177" s="2200"/>
      <c r="AC177" s="198" t="b">
        <f t="shared" si="202"/>
        <v>0</v>
      </c>
    </row>
    <row r="178" spans="1:29" ht="13.5" customHeight="1">
      <c r="A178" s="1739"/>
      <c r="B178" s="1027"/>
      <c r="C178" s="1029">
        <f t="shared" si="189"/>
        <v>0</v>
      </c>
      <c r="D178" s="1027"/>
      <c r="E178" s="1029">
        <f t="shared" si="190"/>
        <v>0</v>
      </c>
      <c r="F178" s="1027"/>
      <c r="G178" s="1029">
        <f t="shared" si="191"/>
        <v>0</v>
      </c>
      <c r="H178" s="1027"/>
      <c r="I178" s="1029">
        <f t="shared" si="192"/>
        <v>0</v>
      </c>
      <c r="J178" s="1027"/>
      <c r="K178" s="1029">
        <f t="shared" si="193"/>
        <v>0</v>
      </c>
      <c r="L178" s="1027"/>
      <c r="M178" s="1029">
        <f t="shared" si="194"/>
        <v>0</v>
      </c>
      <c r="N178" s="1027"/>
      <c r="O178" s="1029">
        <f t="shared" si="195"/>
        <v>0</v>
      </c>
      <c r="P178" s="1027"/>
      <c r="Q178" s="1029">
        <f t="shared" si="196"/>
        <v>0</v>
      </c>
      <c r="R178" s="1027"/>
      <c r="S178" s="1029">
        <f t="shared" si="197"/>
        <v>0</v>
      </c>
      <c r="T178" s="1027"/>
      <c r="U178" s="1029">
        <f t="shared" si="198"/>
        <v>0</v>
      </c>
      <c r="V178" s="1027"/>
      <c r="W178" s="1029">
        <f t="shared" si="199"/>
        <v>0</v>
      </c>
      <c r="X178" s="1027"/>
      <c r="Y178" s="1029">
        <f t="shared" si="200"/>
        <v>0</v>
      </c>
      <c r="Z178" s="1027"/>
      <c r="AA178" s="1029">
        <f t="shared" si="201"/>
        <v>0</v>
      </c>
      <c r="AB178" s="2200"/>
      <c r="AC178" s="198" t="b">
        <f t="shared" ref="AC178" si="203">SUM(B178:AA178)&gt;0</f>
        <v>0</v>
      </c>
    </row>
    <row r="179" spans="1:29" ht="13.5" customHeight="1">
      <c r="A179" s="1739"/>
      <c r="B179" s="1027"/>
      <c r="C179" s="1029">
        <f t="shared" si="189"/>
        <v>0</v>
      </c>
      <c r="D179" s="1027"/>
      <c r="E179" s="1029">
        <f t="shared" si="190"/>
        <v>0</v>
      </c>
      <c r="F179" s="1027"/>
      <c r="G179" s="1029">
        <f t="shared" si="191"/>
        <v>0</v>
      </c>
      <c r="H179" s="1027"/>
      <c r="I179" s="1029">
        <f t="shared" si="192"/>
        <v>0</v>
      </c>
      <c r="J179" s="1027"/>
      <c r="K179" s="1029">
        <f t="shared" si="193"/>
        <v>0</v>
      </c>
      <c r="L179" s="1027"/>
      <c r="M179" s="1029">
        <f t="shared" si="194"/>
        <v>0</v>
      </c>
      <c r="N179" s="1027"/>
      <c r="O179" s="1029">
        <f t="shared" si="195"/>
        <v>0</v>
      </c>
      <c r="P179" s="1027"/>
      <c r="Q179" s="1029">
        <f t="shared" si="196"/>
        <v>0</v>
      </c>
      <c r="R179" s="1027"/>
      <c r="S179" s="1029">
        <f t="shared" si="197"/>
        <v>0</v>
      </c>
      <c r="T179" s="1027"/>
      <c r="U179" s="1029">
        <f t="shared" si="198"/>
        <v>0</v>
      </c>
      <c r="V179" s="1027"/>
      <c r="W179" s="1029">
        <f t="shared" si="199"/>
        <v>0</v>
      </c>
      <c r="X179" s="1027"/>
      <c r="Y179" s="1029">
        <f t="shared" si="200"/>
        <v>0</v>
      </c>
      <c r="Z179" s="1027"/>
      <c r="AA179" s="1029">
        <f t="shared" si="201"/>
        <v>0</v>
      </c>
      <c r="AB179" s="2200"/>
      <c r="AC179" s="198" t="b">
        <f t="shared" si="202"/>
        <v>0</v>
      </c>
    </row>
    <row r="180" spans="1:29" ht="13.5" customHeight="1">
      <c r="A180" s="1739"/>
      <c r="B180" s="1027"/>
      <c r="C180" s="1029">
        <f t="shared" si="189"/>
        <v>0</v>
      </c>
      <c r="D180" s="1027"/>
      <c r="E180" s="1029">
        <f t="shared" si="190"/>
        <v>0</v>
      </c>
      <c r="F180" s="1027"/>
      <c r="G180" s="1029">
        <f t="shared" si="191"/>
        <v>0</v>
      </c>
      <c r="H180" s="1027"/>
      <c r="I180" s="1029">
        <f t="shared" si="192"/>
        <v>0</v>
      </c>
      <c r="J180" s="1027"/>
      <c r="K180" s="1029">
        <f t="shared" si="193"/>
        <v>0</v>
      </c>
      <c r="L180" s="1027"/>
      <c r="M180" s="1029">
        <f t="shared" si="194"/>
        <v>0</v>
      </c>
      <c r="N180" s="1027"/>
      <c r="O180" s="1029">
        <f t="shared" si="195"/>
        <v>0</v>
      </c>
      <c r="P180" s="1027"/>
      <c r="Q180" s="1029">
        <f t="shared" si="196"/>
        <v>0</v>
      </c>
      <c r="R180" s="1027"/>
      <c r="S180" s="1029">
        <f t="shared" si="197"/>
        <v>0</v>
      </c>
      <c r="T180" s="1027"/>
      <c r="U180" s="1029">
        <f t="shared" si="198"/>
        <v>0</v>
      </c>
      <c r="V180" s="1027"/>
      <c r="W180" s="1029">
        <f t="shared" si="199"/>
        <v>0</v>
      </c>
      <c r="X180" s="1027"/>
      <c r="Y180" s="1029">
        <f t="shared" si="200"/>
        <v>0</v>
      </c>
      <c r="Z180" s="1027"/>
      <c r="AA180" s="1029">
        <f t="shared" si="201"/>
        <v>0</v>
      </c>
      <c r="AB180" s="2200"/>
      <c r="AC180" s="198" t="b">
        <f t="shared" si="202"/>
        <v>0</v>
      </c>
    </row>
    <row r="181" spans="1:29" ht="13.5" customHeight="1">
      <c r="A181" s="1739"/>
      <c r="B181" s="3115" t="s">
        <v>5582</v>
      </c>
      <c r="C181" s="3116"/>
      <c r="D181" s="3115" t="s">
        <v>5582</v>
      </c>
      <c r="E181" s="3116"/>
      <c r="F181" s="3115" t="s">
        <v>5582</v>
      </c>
      <c r="G181" s="3116"/>
      <c r="H181" s="3115" t="s">
        <v>5582</v>
      </c>
      <c r="I181" s="3116"/>
      <c r="J181" s="3115" t="s">
        <v>5582</v>
      </c>
      <c r="K181" s="3116"/>
      <c r="L181" s="3115" t="s">
        <v>5582</v>
      </c>
      <c r="M181" s="3116"/>
      <c r="N181" s="3115" t="s">
        <v>5582</v>
      </c>
      <c r="O181" s="3116"/>
      <c r="P181" s="3115" t="s">
        <v>5582</v>
      </c>
      <c r="Q181" s="3116"/>
      <c r="R181" s="3115" t="s">
        <v>5582</v>
      </c>
      <c r="S181" s="3116"/>
      <c r="T181" s="3115" t="s">
        <v>5582</v>
      </c>
      <c r="U181" s="3116"/>
      <c r="V181" s="3115" t="s">
        <v>5582</v>
      </c>
      <c r="W181" s="3116"/>
      <c r="X181" s="3115" t="s">
        <v>5582</v>
      </c>
      <c r="Y181" s="3116"/>
      <c r="Z181" s="3115" t="s">
        <v>5582</v>
      </c>
      <c r="AA181" s="3116"/>
      <c r="AB181" s="2200"/>
      <c r="AC181" s="198" t="b">
        <f>AC188</f>
        <v>0</v>
      </c>
    </row>
    <row r="182" spans="1:29" ht="13.5" customHeight="1">
      <c r="A182" s="1739"/>
      <c r="B182" s="1027"/>
      <c r="C182" s="1029">
        <f t="shared" ref="C182:C187" si="204">SUMIF(内部開口,B182,内部開口面積)</f>
        <v>0</v>
      </c>
      <c r="D182" s="1027"/>
      <c r="E182" s="1029">
        <f t="shared" ref="E182:E187" si="205">SUMIF(内部開口,D182,内部開口面積)</f>
        <v>0</v>
      </c>
      <c r="F182" s="1027"/>
      <c r="G182" s="1029">
        <f t="shared" ref="G182:G187" si="206">SUMIF(内部開口,F182,内部開口面積)</f>
        <v>0</v>
      </c>
      <c r="H182" s="1027"/>
      <c r="I182" s="1029">
        <f t="shared" ref="I182:I187" si="207">SUMIF(内部開口,H182,内部開口面積)</f>
        <v>0</v>
      </c>
      <c r="J182" s="1027"/>
      <c r="K182" s="1029">
        <f t="shared" ref="K182:K187" si="208">SUMIF(内部開口,J182,内部開口面積)</f>
        <v>0</v>
      </c>
      <c r="L182" s="1027"/>
      <c r="M182" s="1029">
        <f t="shared" ref="M182:M187" si="209">SUMIF(内部開口,L182,内部開口面積)</f>
        <v>0</v>
      </c>
      <c r="N182" s="1027"/>
      <c r="O182" s="1029">
        <f t="shared" ref="O182:O187" si="210">SUMIF(内部開口,N182,内部開口面積)</f>
        <v>0</v>
      </c>
      <c r="P182" s="1027"/>
      <c r="Q182" s="1029">
        <f t="shared" ref="Q182:Q187" si="211">SUMIF(内部開口,P182,内部開口面積)</f>
        <v>0</v>
      </c>
      <c r="R182" s="1027"/>
      <c r="S182" s="1029">
        <f t="shared" ref="S182:S187" si="212">SUMIF(内部開口,R182,内部開口面積)</f>
        <v>0</v>
      </c>
      <c r="T182" s="1027"/>
      <c r="U182" s="1029">
        <f t="shared" ref="U182:U187" si="213">SUMIF(内部開口,T182,内部開口面積)</f>
        <v>0</v>
      </c>
      <c r="V182" s="1027"/>
      <c r="W182" s="1029">
        <f t="shared" ref="W182:W187" si="214">SUMIF(内部開口,V182,内部開口面積)</f>
        <v>0</v>
      </c>
      <c r="X182" s="1027"/>
      <c r="Y182" s="1029">
        <f t="shared" ref="Y182:Y187" si="215">SUMIF(内部開口,X182,内部開口面積)</f>
        <v>0</v>
      </c>
      <c r="Z182" s="1027"/>
      <c r="AA182" s="1029">
        <f t="shared" ref="AA182:AA187" si="216">SUMIF(内部開口,Z182,内部開口面積)</f>
        <v>0</v>
      </c>
      <c r="AB182" s="2200"/>
      <c r="AC182" s="198" t="b">
        <f t="shared" si="202"/>
        <v>0</v>
      </c>
    </row>
    <row r="183" spans="1:29" ht="13.5" customHeight="1">
      <c r="A183" s="1739"/>
      <c r="B183" s="1027"/>
      <c r="C183" s="1029">
        <f t="shared" si="204"/>
        <v>0</v>
      </c>
      <c r="D183" s="1027"/>
      <c r="E183" s="1029">
        <f t="shared" si="205"/>
        <v>0</v>
      </c>
      <c r="F183" s="1027"/>
      <c r="G183" s="1029">
        <f t="shared" si="206"/>
        <v>0</v>
      </c>
      <c r="H183" s="1027"/>
      <c r="I183" s="1029">
        <f t="shared" si="207"/>
        <v>0</v>
      </c>
      <c r="J183" s="1027"/>
      <c r="K183" s="1029">
        <f t="shared" si="208"/>
        <v>0</v>
      </c>
      <c r="L183" s="1027"/>
      <c r="M183" s="1029">
        <f t="shared" si="209"/>
        <v>0</v>
      </c>
      <c r="N183" s="1027"/>
      <c r="O183" s="1029">
        <f t="shared" si="210"/>
        <v>0</v>
      </c>
      <c r="P183" s="1027"/>
      <c r="Q183" s="1029">
        <f t="shared" si="211"/>
        <v>0</v>
      </c>
      <c r="R183" s="1027"/>
      <c r="S183" s="1029">
        <f t="shared" si="212"/>
        <v>0</v>
      </c>
      <c r="T183" s="1027"/>
      <c r="U183" s="1029">
        <f t="shared" si="213"/>
        <v>0</v>
      </c>
      <c r="V183" s="1027"/>
      <c r="W183" s="1029">
        <f t="shared" si="214"/>
        <v>0</v>
      </c>
      <c r="X183" s="1027"/>
      <c r="Y183" s="1029">
        <f t="shared" si="215"/>
        <v>0</v>
      </c>
      <c r="Z183" s="1027"/>
      <c r="AA183" s="1029">
        <f t="shared" si="216"/>
        <v>0</v>
      </c>
      <c r="AB183" s="2200"/>
      <c r="AC183" s="198" t="b">
        <f t="shared" si="202"/>
        <v>0</v>
      </c>
    </row>
    <row r="184" spans="1:29" ht="13.5" customHeight="1">
      <c r="A184" s="1739"/>
      <c r="B184" s="1027"/>
      <c r="C184" s="1029">
        <f t="shared" si="204"/>
        <v>0</v>
      </c>
      <c r="D184" s="1027"/>
      <c r="E184" s="1029">
        <f t="shared" si="205"/>
        <v>0</v>
      </c>
      <c r="F184" s="1027"/>
      <c r="G184" s="1029">
        <f t="shared" si="206"/>
        <v>0</v>
      </c>
      <c r="H184" s="1027"/>
      <c r="I184" s="1029">
        <f t="shared" si="207"/>
        <v>0</v>
      </c>
      <c r="J184" s="1027"/>
      <c r="K184" s="1029">
        <f t="shared" si="208"/>
        <v>0</v>
      </c>
      <c r="L184" s="1027"/>
      <c r="M184" s="1029">
        <f t="shared" si="209"/>
        <v>0</v>
      </c>
      <c r="N184" s="1027"/>
      <c r="O184" s="1029">
        <f t="shared" si="210"/>
        <v>0</v>
      </c>
      <c r="P184" s="1027"/>
      <c r="Q184" s="1029">
        <f t="shared" si="211"/>
        <v>0</v>
      </c>
      <c r="R184" s="1027"/>
      <c r="S184" s="1029">
        <f t="shared" si="212"/>
        <v>0</v>
      </c>
      <c r="T184" s="1027"/>
      <c r="U184" s="1029">
        <f t="shared" si="213"/>
        <v>0</v>
      </c>
      <c r="V184" s="1027"/>
      <c r="W184" s="1029">
        <f t="shared" si="214"/>
        <v>0</v>
      </c>
      <c r="X184" s="1027"/>
      <c r="Y184" s="1029">
        <f t="shared" si="215"/>
        <v>0</v>
      </c>
      <c r="Z184" s="1027"/>
      <c r="AA184" s="1029">
        <f t="shared" si="216"/>
        <v>0</v>
      </c>
      <c r="AB184" s="2200"/>
      <c r="AC184" s="198" t="b">
        <f t="shared" ref="AC184" si="217">SUM(B184:AA184)&gt;0</f>
        <v>0</v>
      </c>
    </row>
    <row r="185" spans="1:29" ht="13.5" customHeight="1">
      <c r="A185" s="1739"/>
      <c r="B185" s="1027"/>
      <c r="C185" s="1029">
        <f t="shared" si="204"/>
        <v>0</v>
      </c>
      <c r="D185" s="1027"/>
      <c r="E185" s="1029">
        <f t="shared" si="205"/>
        <v>0</v>
      </c>
      <c r="F185" s="1027"/>
      <c r="G185" s="1029">
        <f t="shared" si="206"/>
        <v>0</v>
      </c>
      <c r="H185" s="1027"/>
      <c r="I185" s="1029">
        <f t="shared" si="207"/>
        <v>0</v>
      </c>
      <c r="J185" s="1027"/>
      <c r="K185" s="1029">
        <f t="shared" si="208"/>
        <v>0</v>
      </c>
      <c r="L185" s="1027"/>
      <c r="M185" s="1029">
        <f t="shared" si="209"/>
        <v>0</v>
      </c>
      <c r="N185" s="1027"/>
      <c r="O185" s="1029">
        <f t="shared" si="210"/>
        <v>0</v>
      </c>
      <c r="P185" s="1027"/>
      <c r="Q185" s="1029">
        <f t="shared" si="211"/>
        <v>0</v>
      </c>
      <c r="R185" s="1027"/>
      <c r="S185" s="1029">
        <f t="shared" si="212"/>
        <v>0</v>
      </c>
      <c r="T185" s="1027"/>
      <c r="U185" s="1029">
        <f t="shared" si="213"/>
        <v>0</v>
      </c>
      <c r="V185" s="1027"/>
      <c r="W185" s="1029">
        <f t="shared" si="214"/>
        <v>0</v>
      </c>
      <c r="X185" s="1027"/>
      <c r="Y185" s="1029">
        <f t="shared" si="215"/>
        <v>0</v>
      </c>
      <c r="Z185" s="1027"/>
      <c r="AA185" s="1029">
        <f t="shared" si="216"/>
        <v>0</v>
      </c>
      <c r="AB185" s="2200"/>
      <c r="AC185" s="198" t="b">
        <f t="shared" si="202"/>
        <v>0</v>
      </c>
    </row>
    <row r="186" spans="1:29" ht="13.5" customHeight="1">
      <c r="A186" s="1739"/>
      <c r="B186" s="1027"/>
      <c r="C186" s="1029">
        <f t="shared" si="204"/>
        <v>0</v>
      </c>
      <c r="D186" s="1027"/>
      <c r="E186" s="1029">
        <f t="shared" si="205"/>
        <v>0</v>
      </c>
      <c r="F186" s="1027"/>
      <c r="G186" s="1029">
        <f t="shared" si="206"/>
        <v>0</v>
      </c>
      <c r="H186" s="1027"/>
      <c r="I186" s="1029">
        <f t="shared" si="207"/>
        <v>0</v>
      </c>
      <c r="J186" s="1027"/>
      <c r="K186" s="1029">
        <f t="shared" si="208"/>
        <v>0</v>
      </c>
      <c r="L186" s="1027"/>
      <c r="M186" s="1029">
        <f t="shared" si="209"/>
        <v>0</v>
      </c>
      <c r="N186" s="1027"/>
      <c r="O186" s="1029">
        <f t="shared" si="210"/>
        <v>0</v>
      </c>
      <c r="P186" s="1027"/>
      <c r="Q186" s="1029">
        <f t="shared" si="211"/>
        <v>0</v>
      </c>
      <c r="R186" s="1027"/>
      <c r="S186" s="1029">
        <f t="shared" si="212"/>
        <v>0</v>
      </c>
      <c r="T186" s="1027"/>
      <c r="U186" s="1029">
        <f t="shared" si="213"/>
        <v>0</v>
      </c>
      <c r="V186" s="1027"/>
      <c r="W186" s="1029">
        <f t="shared" si="214"/>
        <v>0</v>
      </c>
      <c r="X186" s="1027"/>
      <c r="Y186" s="1029">
        <f t="shared" si="215"/>
        <v>0</v>
      </c>
      <c r="Z186" s="1027"/>
      <c r="AA186" s="1029">
        <f t="shared" si="216"/>
        <v>0</v>
      </c>
      <c r="AB186" s="2200"/>
      <c r="AC186" s="198" t="b">
        <f t="shared" si="202"/>
        <v>0</v>
      </c>
    </row>
    <row r="187" spans="1:29" ht="13.5" customHeight="1">
      <c r="A187" s="1739"/>
      <c r="B187" s="1031"/>
      <c r="C187" s="1022">
        <f t="shared" si="204"/>
        <v>0</v>
      </c>
      <c r="D187" s="1031"/>
      <c r="E187" s="1022">
        <f t="shared" si="205"/>
        <v>0</v>
      </c>
      <c r="F187" s="1031"/>
      <c r="G187" s="1022">
        <f t="shared" si="206"/>
        <v>0</v>
      </c>
      <c r="H187" s="1031"/>
      <c r="I187" s="1022">
        <f t="shared" si="207"/>
        <v>0</v>
      </c>
      <c r="J187" s="1031"/>
      <c r="K187" s="1022">
        <f t="shared" si="208"/>
        <v>0</v>
      </c>
      <c r="L187" s="1031"/>
      <c r="M187" s="1022">
        <f t="shared" si="209"/>
        <v>0</v>
      </c>
      <c r="N187" s="1031"/>
      <c r="O187" s="1022">
        <f t="shared" si="210"/>
        <v>0</v>
      </c>
      <c r="P187" s="1031"/>
      <c r="Q187" s="1022">
        <f t="shared" si="211"/>
        <v>0</v>
      </c>
      <c r="R187" s="1031"/>
      <c r="S187" s="1022">
        <f t="shared" si="212"/>
        <v>0</v>
      </c>
      <c r="T187" s="1031"/>
      <c r="U187" s="1022">
        <f t="shared" si="213"/>
        <v>0</v>
      </c>
      <c r="V187" s="1031"/>
      <c r="W187" s="1022">
        <f t="shared" si="214"/>
        <v>0</v>
      </c>
      <c r="X187" s="1031"/>
      <c r="Y187" s="1022">
        <f t="shared" si="215"/>
        <v>0</v>
      </c>
      <c r="Z187" s="1031"/>
      <c r="AA187" s="1022">
        <f t="shared" si="216"/>
        <v>0</v>
      </c>
      <c r="AB187" s="2200"/>
      <c r="AC187" s="198" t="b">
        <f t="shared" si="202"/>
        <v>0</v>
      </c>
    </row>
    <row r="188" spans="1:29" ht="13.5" customHeight="1">
      <c r="A188" s="1740"/>
      <c r="B188" s="2095" t="s">
        <v>498</v>
      </c>
      <c r="C188" s="1030">
        <f>SUM(C175:C187)</f>
        <v>0</v>
      </c>
      <c r="D188" s="2095" t="s">
        <v>498</v>
      </c>
      <c r="E188" s="1030">
        <f t="shared" ref="E188" si="218">SUM(E175:E187)</f>
        <v>0</v>
      </c>
      <c r="F188" s="2095" t="s">
        <v>498</v>
      </c>
      <c r="G188" s="1030">
        <f t="shared" ref="G188" si="219">SUM(G175:G187)</f>
        <v>0</v>
      </c>
      <c r="H188" s="2095" t="s">
        <v>498</v>
      </c>
      <c r="I188" s="1030">
        <f t="shared" ref="I188" si="220">SUM(I175:I187)</f>
        <v>0</v>
      </c>
      <c r="J188" s="2095" t="s">
        <v>498</v>
      </c>
      <c r="K188" s="1030">
        <f t="shared" ref="K188" si="221">SUM(K175:K187)</f>
        <v>0</v>
      </c>
      <c r="L188" s="2095" t="s">
        <v>498</v>
      </c>
      <c r="M188" s="1030">
        <f t="shared" ref="M188" si="222">SUM(M175:M187)</f>
        <v>0</v>
      </c>
      <c r="N188" s="2095" t="s">
        <v>498</v>
      </c>
      <c r="O188" s="1030">
        <f t="shared" ref="O188" si="223">SUM(O175:O187)</f>
        <v>0</v>
      </c>
      <c r="P188" s="2095" t="s">
        <v>498</v>
      </c>
      <c r="Q188" s="1030">
        <f t="shared" ref="Q188" si="224">SUM(Q175:Q187)</f>
        <v>0</v>
      </c>
      <c r="R188" s="2095" t="s">
        <v>498</v>
      </c>
      <c r="S188" s="1030">
        <f t="shared" ref="S188" si="225">SUM(S175:S187)</f>
        <v>0</v>
      </c>
      <c r="T188" s="2095" t="s">
        <v>498</v>
      </c>
      <c r="U188" s="1030">
        <f t="shared" ref="U188" si="226">SUM(U175:U187)</f>
        <v>0</v>
      </c>
      <c r="V188" s="2095" t="s">
        <v>498</v>
      </c>
      <c r="W188" s="1030">
        <f t="shared" ref="W188" si="227">SUM(W175:W187)</f>
        <v>0</v>
      </c>
      <c r="X188" s="2095" t="s">
        <v>498</v>
      </c>
      <c r="Y188" s="1030">
        <f t="shared" ref="Y188" si="228">SUM(Y175:Y187)</f>
        <v>0</v>
      </c>
      <c r="Z188" s="2095" t="s">
        <v>498</v>
      </c>
      <c r="AA188" s="1030">
        <f t="shared" ref="AA188" si="229">SUM(AA175:AA187)</f>
        <v>0</v>
      </c>
      <c r="AB188" s="2200"/>
      <c r="AC188" s="198" t="b">
        <f t="shared" si="202"/>
        <v>0</v>
      </c>
    </row>
    <row r="189" spans="1:29" ht="13.5" customHeight="1">
      <c r="A189" s="1012"/>
      <c r="B189" s="2087" t="s">
        <v>5733</v>
      </c>
      <c r="C189" s="1024"/>
      <c r="D189" s="1025"/>
      <c r="E189" s="1024"/>
      <c r="F189" s="1025"/>
      <c r="G189" s="1024"/>
      <c r="H189" s="1025"/>
      <c r="I189" s="1024"/>
      <c r="J189" s="1025"/>
      <c r="K189" s="1024"/>
      <c r="L189" s="1025"/>
      <c r="M189" s="1024"/>
      <c r="N189" s="1025"/>
      <c r="O189" s="1024"/>
      <c r="P189" s="1025"/>
      <c r="Q189" s="1024"/>
      <c r="R189" s="1025"/>
      <c r="S189" s="1024"/>
      <c r="T189" s="1025"/>
      <c r="U189" s="1024"/>
      <c r="V189" s="1025"/>
      <c r="W189" s="1024"/>
      <c r="X189" s="1025"/>
      <c r="Y189" s="1024"/>
      <c r="Z189" s="1025"/>
      <c r="AA189" s="1024"/>
      <c r="AB189" s="2200"/>
      <c r="AC189" s="1011" t="b">
        <v>0</v>
      </c>
    </row>
    <row r="190" spans="1:29" ht="13.5" customHeight="1">
      <c r="A190" s="1012"/>
      <c r="B190" s="2087" t="s">
        <v>5587</v>
      </c>
      <c r="C190" s="1024"/>
      <c r="D190" s="1025"/>
      <c r="E190" s="1024"/>
      <c r="F190" s="1025"/>
      <c r="G190" s="1024"/>
      <c r="H190" s="1025"/>
      <c r="I190" s="1024"/>
      <c r="J190" s="1025"/>
      <c r="K190" s="1024"/>
      <c r="L190" s="1025"/>
      <c r="M190" s="1024"/>
      <c r="N190" s="1025"/>
      <c r="O190" s="1024"/>
      <c r="P190" s="1025"/>
      <c r="Q190" s="1024"/>
      <c r="R190" s="1025"/>
      <c r="S190" s="1024"/>
      <c r="T190" s="1025"/>
      <c r="U190" s="1024"/>
      <c r="V190" s="1025"/>
      <c r="W190" s="1024"/>
      <c r="X190" s="1025"/>
      <c r="Y190" s="1024"/>
      <c r="Z190" s="1025"/>
      <c r="AA190" s="1024"/>
      <c r="AB190" s="2200"/>
      <c r="AC190" s="1011" t="b">
        <v>0</v>
      </c>
    </row>
    <row r="191" spans="1:29" ht="13.5" customHeight="1">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200"/>
      <c r="AC191" s="198" t="b">
        <f>AC207</f>
        <v>0</v>
      </c>
    </row>
    <row r="192" spans="1:29" ht="13.5" customHeight="1">
      <c r="A192" s="1742" t="s">
        <v>539</v>
      </c>
      <c r="B192" s="3109"/>
      <c r="C192" s="3110"/>
      <c r="D192" s="3109"/>
      <c r="E192" s="3110"/>
      <c r="F192" s="3109"/>
      <c r="G192" s="3110"/>
      <c r="H192" s="3109"/>
      <c r="I192" s="3110"/>
      <c r="J192" s="3109"/>
      <c r="K192" s="3110"/>
      <c r="L192" s="3109"/>
      <c r="M192" s="3110"/>
      <c r="N192" s="3109"/>
      <c r="O192" s="3110"/>
      <c r="P192" s="3109"/>
      <c r="Q192" s="3110"/>
      <c r="R192" s="3109"/>
      <c r="S192" s="3110"/>
      <c r="T192" s="3109"/>
      <c r="U192" s="3110"/>
      <c r="V192" s="3109"/>
      <c r="W192" s="3110"/>
      <c r="X192" s="3109"/>
      <c r="Y192" s="3110"/>
      <c r="Z192" s="3109"/>
      <c r="AA192" s="3110"/>
      <c r="AB192" s="2200"/>
      <c r="AC192" s="198" t="b">
        <f>OR(COUNTA(B192:AA192)&lt;&gt;0,AC207)</f>
        <v>0</v>
      </c>
    </row>
    <row r="193" spans="1:29" ht="13.5" customHeight="1">
      <c r="A193" s="1742" t="s">
        <v>540</v>
      </c>
      <c r="B193" s="3107"/>
      <c r="C193" s="3107"/>
      <c r="D193" s="3107"/>
      <c r="E193" s="3107"/>
      <c r="F193" s="3107"/>
      <c r="G193" s="3107"/>
      <c r="H193" s="3107"/>
      <c r="I193" s="3107"/>
      <c r="J193" s="3107"/>
      <c r="K193" s="3107"/>
      <c r="L193" s="3107"/>
      <c r="M193" s="3107"/>
      <c r="N193" s="3107"/>
      <c r="O193" s="3107"/>
      <c r="P193" s="3107"/>
      <c r="Q193" s="3107"/>
      <c r="R193" s="3107"/>
      <c r="S193" s="3107"/>
      <c r="T193" s="3107"/>
      <c r="U193" s="3107"/>
      <c r="V193" s="3107"/>
      <c r="W193" s="3107"/>
      <c r="X193" s="3107"/>
      <c r="Y193" s="3107"/>
      <c r="Z193" s="3107"/>
      <c r="AA193" s="3107"/>
      <c r="AB193" s="2200"/>
      <c r="AC193" s="198" t="b">
        <f>OR(COUNTA(B193:AA193)&lt;&gt;0,AC207)</f>
        <v>0</v>
      </c>
    </row>
    <row r="194" spans="1:29" ht="13.5" customHeight="1">
      <c r="A194" s="1743" t="s">
        <v>1513</v>
      </c>
      <c r="B194" s="3108"/>
      <c r="C194" s="3108"/>
      <c r="D194" s="3108"/>
      <c r="E194" s="3108"/>
      <c r="F194" s="3108"/>
      <c r="G194" s="3108"/>
      <c r="H194" s="3108"/>
      <c r="I194" s="3108"/>
      <c r="J194" s="3108"/>
      <c r="K194" s="3108"/>
      <c r="L194" s="3108"/>
      <c r="M194" s="3108"/>
      <c r="N194" s="3108"/>
      <c r="O194" s="3108"/>
      <c r="P194" s="3108"/>
      <c r="Q194" s="3108"/>
      <c r="R194" s="3108"/>
      <c r="S194" s="3108"/>
      <c r="T194" s="3108"/>
      <c r="U194" s="3108"/>
      <c r="V194" s="3108"/>
      <c r="W194" s="3108"/>
      <c r="X194" s="3108"/>
      <c r="Y194" s="3108"/>
      <c r="Z194" s="3108"/>
      <c r="AA194" s="3108"/>
      <c r="AB194" s="2200"/>
      <c r="AC194" s="198" t="b">
        <f t="shared" ref="AC194:AC195" si="230">COUNTA(B194:AA194)&lt;&gt;0</f>
        <v>0</v>
      </c>
    </row>
    <row r="195" spans="1:29" ht="13.5" customHeight="1">
      <c r="A195" s="1744" t="s">
        <v>1514</v>
      </c>
      <c r="B195" s="3098"/>
      <c r="C195" s="3098"/>
      <c r="D195" s="3098"/>
      <c r="E195" s="3098"/>
      <c r="F195" s="3098"/>
      <c r="G195" s="3098"/>
      <c r="H195" s="3098"/>
      <c r="I195" s="3098"/>
      <c r="J195" s="3098"/>
      <c r="K195" s="3098"/>
      <c r="L195" s="3098"/>
      <c r="M195" s="3098"/>
      <c r="N195" s="3098"/>
      <c r="O195" s="3098"/>
      <c r="P195" s="3098"/>
      <c r="Q195" s="3098"/>
      <c r="R195" s="3098"/>
      <c r="S195" s="3098"/>
      <c r="T195" s="3098"/>
      <c r="U195" s="3098"/>
      <c r="V195" s="3098"/>
      <c r="W195" s="3098"/>
      <c r="X195" s="3098"/>
      <c r="Y195" s="3098"/>
      <c r="Z195" s="3098"/>
      <c r="AA195" s="3098"/>
      <c r="AB195" s="2200"/>
      <c r="AC195" s="198" t="b">
        <f t="shared" si="230"/>
        <v>0</v>
      </c>
    </row>
    <row r="196" spans="1:29" ht="13.5" customHeight="1">
      <c r="A196" s="1745" t="s">
        <v>541</v>
      </c>
      <c r="B196" s="3111"/>
      <c r="C196" s="3112"/>
      <c r="D196" s="3111"/>
      <c r="E196" s="3112"/>
      <c r="F196" s="3111"/>
      <c r="G196" s="3112"/>
      <c r="H196" s="3111"/>
      <c r="I196" s="3112"/>
      <c r="J196" s="3111"/>
      <c r="K196" s="3112"/>
      <c r="L196" s="3111"/>
      <c r="M196" s="3112"/>
      <c r="N196" s="3111"/>
      <c r="O196" s="3112"/>
      <c r="P196" s="3111"/>
      <c r="Q196" s="3112"/>
      <c r="R196" s="3111"/>
      <c r="S196" s="3112"/>
      <c r="T196" s="3111"/>
      <c r="U196" s="3112"/>
      <c r="V196" s="3111"/>
      <c r="W196" s="3112"/>
      <c r="X196" s="3111"/>
      <c r="Y196" s="3112"/>
      <c r="Z196" s="3111"/>
      <c r="AA196" s="3112"/>
      <c r="AB196" s="2200"/>
      <c r="AC196" s="1015" t="b">
        <f>SUM(B196:AA196)&lt;&gt;0</f>
        <v>0</v>
      </c>
    </row>
    <row r="197" spans="1:29" ht="13.5" customHeight="1">
      <c r="A197" s="1745"/>
      <c r="B197" s="3099"/>
      <c r="C197" s="3100"/>
      <c r="D197" s="3099"/>
      <c r="E197" s="3100"/>
      <c r="F197" s="3099"/>
      <c r="G197" s="3100"/>
      <c r="H197" s="3099"/>
      <c r="I197" s="3100"/>
      <c r="J197" s="3099"/>
      <c r="K197" s="3100"/>
      <c r="L197" s="3099"/>
      <c r="M197" s="3100"/>
      <c r="N197" s="3099"/>
      <c r="O197" s="3100"/>
      <c r="P197" s="3099"/>
      <c r="Q197" s="3100"/>
      <c r="R197" s="3099"/>
      <c r="S197" s="3100"/>
      <c r="T197" s="3099"/>
      <c r="U197" s="3100"/>
      <c r="V197" s="3099"/>
      <c r="W197" s="3100"/>
      <c r="X197" s="3099"/>
      <c r="Y197" s="3100"/>
      <c r="Z197" s="3099"/>
      <c r="AA197" s="3100"/>
      <c r="AB197" s="2200"/>
      <c r="AC197" s="1015" t="b">
        <f t="shared" ref="AC197:AC205" si="231">SUM(B197:AA197)&lt;&gt;0</f>
        <v>0</v>
      </c>
    </row>
    <row r="198" spans="1:29" ht="13.5" customHeight="1">
      <c r="A198" s="1745"/>
      <c r="B198" s="3099"/>
      <c r="C198" s="3100"/>
      <c r="D198" s="3099"/>
      <c r="E198" s="3100"/>
      <c r="F198" s="3099"/>
      <c r="G198" s="3100"/>
      <c r="H198" s="3099"/>
      <c r="I198" s="3100"/>
      <c r="J198" s="3099"/>
      <c r="K198" s="3100"/>
      <c r="L198" s="3099"/>
      <c r="M198" s="3100"/>
      <c r="N198" s="3099"/>
      <c r="O198" s="3100"/>
      <c r="P198" s="3099"/>
      <c r="Q198" s="3100"/>
      <c r="R198" s="3099"/>
      <c r="S198" s="3100"/>
      <c r="T198" s="3099"/>
      <c r="U198" s="3100"/>
      <c r="V198" s="3099"/>
      <c r="W198" s="3100"/>
      <c r="X198" s="3099"/>
      <c r="Y198" s="3100"/>
      <c r="Z198" s="3099"/>
      <c r="AA198" s="3100"/>
      <c r="AB198" s="2200"/>
      <c r="AC198" s="1015" t="b">
        <f t="shared" si="231"/>
        <v>0</v>
      </c>
    </row>
    <row r="199" spans="1:29" ht="13.5" customHeight="1">
      <c r="A199" s="1745"/>
      <c r="B199" s="3099"/>
      <c r="C199" s="3100"/>
      <c r="D199" s="3099"/>
      <c r="E199" s="3100"/>
      <c r="F199" s="3099"/>
      <c r="G199" s="3100"/>
      <c r="H199" s="3099"/>
      <c r="I199" s="3100"/>
      <c r="J199" s="3099"/>
      <c r="K199" s="3100"/>
      <c r="L199" s="3099"/>
      <c r="M199" s="3100"/>
      <c r="N199" s="3099"/>
      <c r="O199" s="3100"/>
      <c r="P199" s="3099"/>
      <c r="Q199" s="3100"/>
      <c r="R199" s="3099"/>
      <c r="S199" s="3100"/>
      <c r="T199" s="3099"/>
      <c r="U199" s="3100"/>
      <c r="V199" s="3099"/>
      <c r="W199" s="3100"/>
      <c r="X199" s="3099"/>
      <c r="Y199" s="3100"/>
      <c r="Z199" s="3099"/>
      <c r="AA199" s="3100"/>
      <c r="AB199" s="2200"/>
      <c r="AC199" s="1015" t="b">
        <f t="shared" si="231"/>
        <v>0</v>
      </c>
    </row>
    <row r="200" spans="1:29" ht="13.5" customHeight="1">
      <c r="A200" s="1745"/>
      <c r="B200" s="3099"/>
      <c r="C200" s="3100"/>
      <c r="D200" s="3099"/>
      <c r="E200" s="3100"/>
      <c r="F200" s="3099"/>
      <c r="G200" s="3100"/>
      <c r="H200" s="3099"/>
      <c r="I200" s="3100"/>
      <c r="J200" s="3099"/>
      <c r="K200" s="3100"/>
      <c r="L200" s="3099"/>
      <c r="M200" s="3100"/>
      <c r="N200" s="3099"/>
      <c r="O200" s="3100"/>
      <c r="P200" s="3099"/>
      <c r="Q200" s="3100"/>
      <c r="R200" s="3099"/>
      <c r="S200" s="3100"/>
      <c r="T200" s="3099"/>
      <c r="U200" s="3100"/>
      <c r="V200" s="3099"/>
      <c r="W200" s="3100"/>
      <c r="X200" s="3099"/>
      <c r="Y200" s="3100"/>
      <c r="Z200" s="3099"/>
      <c r="AA200" s="3100"/>
      <c r="AB200" s="2200"/>
      <c r="AC200" s="1015" t="b">
        <f t="shared" si="231"/>
        <v>0</v>
      </c>
    </row>
    <row r="201" spans="1:29" ht="13.5" customHeight="1">
      <c r="A201" s="1745"/>
      <c r="B201" s="3099"/>
      <c r="C201" s="3100"/>
      <c r="D201" s="3099"/>
      <c r="E201" s="3100"/>
      <c r="F201" s="3099"/>
      <c r="G201" s="3100"/>
      <c r="H201" s="3099"/>
      <c r="I201" s="3100"/>
      <c r="J201" s="3099"/>
      <c r="K201" s="3100"/>
      <c r="L201" s="3099"/>
      <c r="M201" s="3100"/>
      <c r="N201" s="3099"/>
      <c r="O201" s="3100"/>
      <c r="P201" s="3099"/>
      <c r="Q201" s="3100"/>
      <c r="R201" s="3099"/>
      <c r="S201" s="3100"/>
      <c r="T201" s="3103"/>
      <c r="U201" s="3104"/>
      <c r="V201" s="3099"/>
      <c r="W201" s="3100"/>
      <c r="X201" s="3099"/>
      <c r="Y201" s="3100"/>
      <c r="Z201" s="3099"/>
      <c r="AA201" s="3100"/>
      <c r="AB201" s="2200"/>
      <c r="AC201" s="1015" t="b">
        <f t="shared" si="231"/>
        <v>0</v>
      </c>
    </row>
    <row r="202" spans="1:29" ht="13.5" customHeight="1">
      <c r="A202" s="1745"/>
      <c r="B202" s="3099"/>
      <c r="C202" s="3100"/>
      <c r="D202" s="3099"/>
      <c r="E202" s="3100"/>
      <c r="F202" s="3099"/>
      <c r="G202" s="3100"/>
      <c r="H202" s="3099"/>
      <c r="I202" s="3100"/>
      <c r="J202" s="3099"/>
      <c r="K202" s="3100"/>
      <c r="L202" s="3099"/>
      <c r="M202" s="3100"/>
      <c r="N202" s="3099"/>
      <c r="O202" s="3100"/>
      <c r="P202" s="3099"/>
      <c r="Q202" s="3100"/>
      <c r="R202" s="3099"/>
      <c r="S202" s="3100"/>
      <c r="T202" s="3103"/>
      <c r="U202" s="3104"/>
      <c r="V202" s="3099"/>
      <c r="W202" s="3100"/>
      <c r="X202" s="3099"/>
      <c r="Y202" s="3100"/>
      <c r="Z202" s="3099"/>
      <c r="AA202" s="3100"/>
      <c r="AB202" s="2200"/>
      <c r="AC202" s="1015" t="b">
        <f t="shared" si="231"/>
        <v>0</v>
      </c>
    </row>
    <row r="203" spans="1:29" ht="13.5" customHeight="1">
      <c r="A203" s="1745"/>
      <c r="B203" s="3103"/>
      <c r="C203" s="3104"/>
      <c r="D203" s="3103"/>
      <c r="E203" s="3104"/>
      <c r="F203" s="3103"/>
      <c r="G203" s="3104"/>
      <c r="H203" s="3103"/>
      <c r="I203" s="3104"/>
      <c r="J203" s="3103"/>
      <c r="K203" s="3104"/>
      <c r="L203" s="3103"/>
      <c r="M203" s="3104"/>
      <c r="N203" s="3103"/>
      <c r="O203" s="3104"/>
      <c r="P203" s="3103"/>
      <c r="Q203" s="3104"/>
      <c r="R203" s="3103"/>
      <c r="S203" s="3104"/>
      <c r="T203" s="3103"/>
      <c r="U203" s="3104"/>
      <c r="V203" s="3103"/>
      <c r="W203" s="3104"/>
      <c r="X203" s="3103"/>
      <c r="Y203" s="3104"/>
      <c r="Z203" s="3103"/>
      <c r="AA203" s="3104"/>
      <c r="AB203" s="2200"/>
      <c r="AC203" s="1015" t="b">
        <f t="shared" si="231"/>
        <v>0</v>
      </c>
    </row>
    <row r="204" spans="1:29" ht="13.5" customHeight="1">
      <c r="A204" s="1743" t="s">
        <v>5549</v>
      </c>
      <c r="B204" s="3105"/>
      <c r="C204" s="3106"/>
      <c r="D204" s="3105"/>
      <c r="E204" s="3106"/>
      <c r="F204" s="3105"/>
      <c r="G204" s="3106"/>
      <c r="H204" s="3105"/>
      <c r="I204" s="3106"/>
      <c r="J204" s="3105"/>
      <c r="K204" s="3106"/>
      <c r="L204" s="3105"/>
      <c r="M204" s="3106"/>
      <c r="N204" s="3105"/>
      <c r="O204" s="3106"/>
      <c r="P204" s="3105"/>
      <c r="Q204" s="3106"/>
      <c r="R204" s="3105"/>
      <c r="S204" s="3106"/>
      <c r="T204" s="3105"/>
      <c r="U204" s="3106"/>
      <c r="V204" s="3105"/>
      <c r="W204" s="3106"/>
      <c r="X204" s="3105"/>
      <c r="Y204" s="3106"/>
      <c r="Z204" s="3105"/>
      <c r="AA204" s="3106"/>
      <c r="AB204" s="2200"/>
      <c r="AC204" s="1015" t="b">
        <f t="shared" si="231"/>
        <v>0</v>
      </c>
    </row>
    <row r="205" spans="1:29" ht="13.5" customHeight="1">
      <c r="A205" s="1743" t="s">
        <v>926</v>
      </c>
      <c r="B205" s="3097">
        <f>C224</f>
        <v>0</v>
      </c>
      <c r="C205" s="3097"/>
      <c r="D205" s="3097">
        <f t="shared" ref="D205" si="232">E224</f>
        <v>0</v>
      </c>
      <c r="E205" s="3097"/>
      <c r="F205" s="3097">
        <f t="shared" ref="F205" si="233">G224</f>
        <v>0</v>
      </c>
      <c r="G205" s="3097"/>
      <c r="H205" s="3097">
        <f t="shared" ref="H205" si="234">I224</f>
        <v>0</v>
      </c>
      <c r="I205" s="3097"/>
      <c r="J205" s="3097">
        <f t="shared" ref="J205" si="235">K224</f>
        <v>0</v>
      </c>
      <c r="K205" s="3097"/>
      <c r="L205" s="3097">
        <f t="shared" ref="L205" si="236">M224</f>
        <v>0</v>
      </c>
      <c r="M205" s="3097"/>
      <c r="N205" s="3097">
        <f t="shared" ref="N205" si="237">O224</f>
        <v>0</v>
      </c>
      <c r="O205" s="3097"/>
      <c r="P205" s="3097">
        <f t="shared" ref="P205" si="238">Q224</f>
        <v>0</v>
      </c>
      <c r="Q205" s="3097"/>
      <c r="R205" s="3097">
        <f t="shared" ref="R205" si="239">S224</f>
        <v>0</v>
      </c>
      <c r="S205" s="3097"/>
      <c r="T205" s="3097">
        <f t="shared" ref="T205" si="240">U224</f>
        <v>0</v>
      </c>
      <c r="U205" s="3097"/>
      <c r="V205" s="3097">
        <f t="shared" ref="V205" si="241">W224</f>
        <v>0</v>
      </c>
      <c r="W205" s="3097"/>
      <c r="X205" s="3097">
        <f t="shared" ref="X205" si="242">Y224</f>
        <v>0</v>
      </c>
      <c r="Y205" s="3097"/>
      <c r="Z205" s="3097">
        <f t="shared" ref="Z205" si="243">AA224</f>
        <v>0</v>
      </c>
      <c r="AA205" s="3097"/>
      <c r="AB205" s="2200"/>
      <c r="AC205" s="1015" t="b">
        <f t="shared" si="231"/>
        <v>0</v>
      </c>
    </row>
    <row r="206" spans="1:29" ht="13.5" customHeight="1">
      <c r="A206" s="1743" t="s">
        <v>5550</v>
      </c>
      <c r="B206" s="3101">
        <v>1</v>
      </c>
      <c r="C206" s="3102"/>
      <c r="D206" s="3101">
        <v>1</v>
      </c>
      <c r="E206" s="3102"/>
      <c r="F206" s="3101">
        <v>1</v>
      </c>
      <c r="G206" s="3102"/>
      <c r="H206" s="3101">
        <v>1</v>
      </c>
      <c r="I206" s="3102"/>
      <c r="J206" s="3101">
        <v>1</v>
      </c>
      <c r="K206" s="3102"/>
      <c r="L206" s="3101">
        <v>1</v>
      </c>
      <c r="M206" s="3102"/>
      <c r="N206" s="3101">
        <v>1</v>
      </c>
      <c r="O206" s="3102"/>
      <c r="P206" s="3101">
        <v>1</v>
      </c>
      <c r="Q206" s="3102"/>
      <c r="R206" s="3101">
        <v>1</v>
      </c>
      <c r="S206" s="3102"/>
      <c r="T206" s="3101">
        <v>1</v>
      </c>
      <c r="U206" s="3102"/>
      <c r="V206" s="3101">
        <v>1</v>
      </c>
      <c r="W206" s="3102"/>
      <c r="X206" s="3101">
        <v>1</v>
      </c>
      <c r="Y206" s="3102"/>
      <c r="Z206" s="3101">
        <v>1</v>
      </c>
      <c r="AA206" s="3102"/>
      <c r="AB206" s="2200"/>
      <c r="AC206" s="1015" t="b">
        <f>AC207</f>
        <v>0</v>
      </c>
    </row>
    <row r="207" spans="1:29" ht="13.5" customHeight="1">
      <c r="A207" s="1742" t="s">
        <v>933</v>
      </c>
      <c r="B207" s="3028">
        <f>ROUNDDOWN((SUM(B196:C203)*B204-B205)*B206,2)</f>
        <v>0</v>
      </c>
      <c r="C207" s="3030"/>
      <c r="D207" s="2543">
        <f t="shared" ref="D207" si="244">ROUNDDOWN((SUM(D196:E203)*D204-D205)*D206,2)</f>
        <v>0</v>
      </c>
      <c r="E207" s="3027"/>
      <c r="F207" s="2543">
        <f t="shared" ref="F207" si="245">ROUNDDOWN((SUM(F196:G203)*F204-F205)*F206,2)</f>
        <v>0</v>
      </c>
      <c r="G207" s="3027"/>
      <c r="H207" s="2543">
        <f t="shared" ref="H207" si="246">ROUNDDOWN((SUM(H196:I203)*H204-H205)*H206,2)</f>
        <v>0</v>
      </c>
      <c r="I207" s="3027"/>
      <c r="J207" s="2543">
        <f t="shared" ref="J207" si="247">ROUNDDOWN((SUM(J196:K203)*J204-J205)*J206,2)</f>
        <v>0</v>
      </c>
      <c r="K207" s="3027"/>
      <c r="L207" s="2543">
        <f t="shared" ref="L207" si="248">ROUNDDOWN((SUM(L196:M203)*L204-L205)*L206,2)</f>
        <v>0</v>
      </c>
      <c r="M207" s="3027"/>
      <c r="N207" s="2543">
        <f t="shared" ref="N207" si="249">ROUNDDOWN((SUM(N196:O203)*N204-N205)*N206,2)</f>
        <v>0</v>
      </c>
      <c r="O207" s="3027"/>
      <c r="P207" s="2543">
        <f t="shared" ref="P207" si="250">ROUNDDOWN((SUM(P196:Q203)*P204-P205)*P206,2)</f>
        <v>0</v>
      </c>
      <c r="Q207" s="3027"/>
      <c r="R207" s="2543">
        <f t="shared" ref="R207" si="251">ROUNDDOWN((SUM(R196:S203)*R204-R205)*R206,2)</f>
        <v>0</v>
      </c>
      <c r="S207" s="3027"/>
      <c r="T207" s="2543">
        <f t="shared" ref="T207" si="252">ROUNDDOWN((SUM(T196:U203)*T204-T205)*T206,2)</f>
        <v>0</v>
      </c>
      <c r="U207" s="3027"/>
      <c r="V207" s="2543">
        <f t="shared" ref="V207" si="253">ROUNDDOWN((SUM(V196:W203)*V204-V205)*V206,2)</f>
        <v>0</v>
      </c>
      <c r="W207" s="3027"/>
      <c r="X207" s="2543">
        <f t="shared" ref="X207" si="254">ROUNDDOWN((SUM(X196:Y203)*X204-X205)*X206,2)</f>
        <v>0</v>
      </c>
      <c r="Y207" s="3027"/>
      <c r="Z207" s="2543">
        <f t="shared" ref="Z207" si="255">ROUNDDOWN((SUM(Z196:AA203)*Z204-Z205)*Z206,2)</f>
        <v>0</v>
      </c>
      <c r="AA207" s="3027"/>
      <c r="AB207" s="2200"/>
      <c r="AC207" s="204" t="b">
        <f>COUNTIF(B207:AA207,"&lt;&gt;0")-13&lt;&gt;0</f>
        <v>0</v>
      </c>
    </row>
    <row r="208" spans="1:29" ht="13.5" customHeight="1">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200"/>
      <c r="AC208" s="198" t="b">
        <f>AC224</f>
        <v>0</v>
      </c>
    </row>
    <row r="209" spans="1:29" ht="13.5" customHeight="1">
      <c r="A209" s="1737" t="s">
        <v>5548</v>
      </c>
      <c r="B209" s="3095">
        <f>B192</f>
        <v>0</v>
      </c>
      <c r="C209" s="3096"/>
      <c r="D209" s="3095">
        <f>D192</f>
        <v>0</v>
      </c>
      <c r="E209" s="3096"/>
      <c r="F209" s="3095">
        <f>F192</f>
        <v>0</v>
      </c>
      <c r="G209" s="3096"/>
      <c r="H209" s="3095">
        <f>H192</f>
        <v>0</v>
      </c>
      <c r="I209" s="3096"/>
      <c r="J209" s="3095">
        <f>J192</f>
        <v>0</v>
      </c>
      <c r="K209" s="3096"/>
      <c r="L209" s="3095">
        <f>L192</f>
        <v>0</v>
      </c>
      <c r="M209" s="3096"/>
      <c r="N209" s="3095">
        <f>N192</f>
        <v>0</v>
      </c>
      <c r="O209" s="3096"/>
      <c r="P209" s="3095">
        <f>P192</f>
        <v>0</v>
      </c>
      <c r="Q209" s="3096"/>
      <c r="R209" s="3095">
        <f>R192</f>
        <v>0</v>
      </c>
      <c r="S209" s="3096"/>
      <c r="T209" s="3095">
        <f>T192</f>
        <v>0</v>
      </c>
      <c r="U209" s="3096"/>
      <c r="V209" s="3095">
        <f>V192</f>
        <v>0</v>
      </c>
      <c r="W209" s="3096"/>
      <c r="X209" s="3095">
        <f>X192</f>
        <v>0</v>
      </c>
      <c r="Y209" s="3096"/>
      <c r="Z209" s="3095">
        <f>Z192</f>
        <v>0</v>
      </c>
      <c r="AA209" s="3096"/>
      <c r="AB209" s="2200"/>
      <c r="AC209" s="198" t="b">
        <f>AC224</f>
        <v>0</v>
      </c>
    </row>
    <row r="210" spans="1:29" ht="13.5" customHeight="1">
      <c r="A210" s="1738" t="s">
        <v>5547</v>
      </c>
      <c r="B210" s="3115" t="s">
        <v>5581</v>
      </c>
      <c r="C210" s="3116"/>
      <c r="D210" s="3115" t="s">
        <v>5581</v>
      </c>
      <c r="E210" s="3116"/>
      <c r="F210" s="3115" t="s">
        <v>5581</v>
      </c>
      <c r="G210" s="3116"/>
      <c r="H210" s="3115" t="s">
        <v>5581</v>
      </c>
      <c r="I210" s="3116"/>
      <c r="J210" s="3115" t="s">
        <v>5581</v>
      </c>
      <c r="K210" s="3116"/>
      <c r="L210" s="3115" t="s">
        <v>5581</v>
      </c>
      <c r="M210" s="3116"/>
      <c r="N210" s="3115" t="s">
        <v>5581</v>
      </c>
      <c r="O210" s="3116"/>
      <c r="P210" s="3115" t="s">
        <v>5581</v>
      </c>
      <c r="Q210" s="3116"/>
      <c r="R210" s="3115" t="s">
        <v>5581</v>
      </c>
      <c r="S210" s="3116"/>
      <c r="T210" s="3115" t="s">
        <v>5581</v>
      </c>
      <c r="U210" s="3116"/>
      <c r="V210" s="3115" t="s">
        <v>5581</v>
      </c>
      <c r="W210" s="3116"/>
      <c r="X210" s="3115" t="s">
        <v>5581</v>
      </c>
      <c r="Y210" s="3116"/>
      <c r="Z210" s="3115" t="s">
        <v>5581</v>
      </c>
      <c r="AA210" s="3116"/>
      <c r="AB210" s="2200"/>
      <c r="AC210" s="198" t="b">
        <f>AC224</f>
        <v>0</v>
      </c>
    </row>
    <row r="211" spans="1:29" ht="13.5" customHeight="1">
      <c r="A211" s="1738"/>
      <c r="B211" s="1026"/>
      <c r="C211" s="1028">
        <f t="shared" ref="C211:C216" si="256">SUMIF(外部開口,B211,外部開口面積)</f>
        <v>0</v>
      </c>
      <c r="D211" s="1026"/>
      <c r="E211" s="1028">
        <f t="shared" ref="E211:E216" si="257">SUMIF(外部開口,D211,外部開口面積)</f>
        <v>0</v>
      </c>
      <c r="F211" s="1026"/>
      <c r="G211" s="1028">
        <f t="shared" ref="G211:G216" si="258">SUMIF(外部開口,F211,外部開口面積)</f>
        <v>0</v>
      </c>
      <c r="H211" s="1026"/>
      <c r="I211" s="1028">
        <f t="shared" ref="I211:I216" si="259">SUMIF(外部開口,H211,外部開口面積)</f>
        <v>0</v>
      </c>
      <c r="J211" s="1026"/>
      <c r="K211" s="1028">
        <f t="shared" ref="K211:K216" si="260">SUMIF(外部開口,J211,外部開口面積)</f>
        <v>0</v>
      </c>
      <c r="L211" s="1026"/>
      <c r="M211" s="1028">
        <f t="shared" ref="M211:M216" si="261">SUMIF(外部開口,L211,外部開口面積)</f>
        <v>0</v>
      </c>
      <c r="N211" s="1026"/>
      <c r="O211" s="1028">
        <f t="shared" ref="O211:O216" si="262">SUMIF(外部開口,N211,外部開口面積)</f>
        <v>0</v>
      </c>
      <c r="P211" s="1026"/>
      <c r="Q211" s="1028">
        <f t="shared" ref="Q211:Q216" si="263">SUMIF(外部開口,P211,外部開口面積)</f>
        <v>0</v>
      </c>
      <c r="R211" s="1026"/>
      <c r="S211" s="1028">
        <f t="shared" ref="S211:S216" si="264">SUMIF(外部開口,R211,外部開口面積)</f>
        <v>0</v>
      </c>
      <c r="T211" s="1026"/>
      <c r="U211" s="1028">
        <f t="shared" ref="U211:U216" si="265">SUMIF(外部開口,T211,外部開口面積)</f>
        <v>0</v>
      </c>
      <c r="V211" s="1026"/>
      <c r="W211" s="1028">
        <f t="shared" ref="W211:W216" si="266">SUMIF(外部開口,V211,外部開口面積)</f>
        <v>0</v>
      </c>
      <c r="X211" s="1026"/>
      <c r="Y211" s="1028">
        <f t="shared" ref="Y211:Y216" si="267">SUMIF(外部開口,X211,外部開口面積)</f>
        <v>0</v>
      </c>
      <c r="Z211" s="1026"/>
      <c r="AA211" s="1028">
        <f t="shared" ref="AA211:AA216" si="268">SUMIF(外部開口,Z211,外部開口面積)</f>
        <v>0</v>
      </c>
      <c r="AB211" s="2200"/>
      <c r="AC211" s="198" t="b">
        <f t="shared" ref="AC211:AC224" si="269">SUM(B211:AA211)&gt;0</f>
        <v>0</v>
      </c>
    </row>
    <row r="212" spans="1:29" ht="13.5" customHeight="1">
      <c r="A212" s="1739"/>
      <c r="B212" s="1027"/>
      <c r="C212" s="1029">
        <f t="shared" si="256"/>
        <v>0</v>
      </c>
      <c r="D212" s="1027"/>
      <c r="E212" s="1029">
        <f t="shared" si="257"/>
        <v>0</v>
      </c>
      <c r="F212" s="1027"/>
      <c r="G212" s="1029">
        <f t="shared" si="258"/>
        <v>0</v>
      </c>
      <c r="H212" s="1027"/>
      <c r="I212" s="1029">
        <f t="shared" si="259"/>
        <v>0</v>
      </c>
      <c r="J212" s="1027"/>
      <c r="K212" s="1029">
        <f t="shared" si="260"/>
        <v>0</v>
      </c>
      <c r="L212" s="1027"/>
      <c r="M212" s="1029">
        <f t="shared" si="261"/>
        <v>0</v>
      </c>
      <c r="N212" s="1027"/>
      <c r="O212" s="1029">
        <f t="shared" si="262"/>
        <v>0</v>
      </c>
      <c r="P212" s="1027"/>
      <c r="Q212" s="1029">
        <f t="shared" si="263"/>
        <v>0</v>
      </c>
      <c r="R212" s="1027"/>
      <c r="S212" s="1029">
        <f t="shared" si="264"/>
        <v>0</v>
      </c>
      <c r="T212" s="1027"/>
      <c r="U212" s="1029">
        <f t="shared" si="265"/>
        <v>0</v>
      </c>
      <c r="V212" s="1027"/>
      <c r="W212" s="1029">
        <f t="shared" si="266"/>
        <v>0</v>
      </c>
      <c r="X212" s="1027"/>
      <c r="Y212" s="1029">
        <f t="shared" si="267"/>
        <v>0</v>
      </c>
      <c r="Z212" s="1027"/>
      <c r="AA212" s="1029">
        <f t="shared" si="268"/>
        <v>0</v>
      </c>
      <c r="AB212" s="2200"/>
      <c r="AC212" s="198" t="b">
        <f t="shared" si="269"/>
        <v>0</v>
      </c>
    </row>
    <row r="213" spans="1:29" ht="13.5" customHeight="1">
      <c r="A213" s="1739"/>
      <c r="B213" s="1027"/>
      <c r="C213" s="1029">
        <f t="shared" si="256"/>
        <v>0</v>
      </c>
      <c r="D213" s="1027"/>
      <c r="E213" s="1029">
        <f t="shared" si="257"/>
        <v>0</v>
      </c>
      <c r="F213" s="1027"/>
      <c r="G213" s="1029">
        <f t="shared" si="258"/>
        <v>0</v>
      </c>
      <c r="H213" s="1027"/>
      <c r="I213" s="1029">
        <f t="shared" si="259"/>
        <v>0</v>
      </c>
      <c r="J213" s="1027"/>
      <c r="K213" s="1029">
        <f t="shared" si="260"/>
        <v>0</v>
      </c>
      <c r="L213" s="1027"/>
      <c r="M213" s="1029">
        <f t="shared" si="261"/>
        <v>0</v>
      </c>
      <c r="N213" s="1027"/>
      <c r="O213" s="1029">
        <f t="shared" si="262"/>
        <v>0</v>
      </c>
      <c r="P213" s="1027"/>
      <c r="Q213" s="1029">
        <f t="shared" si="263"/>
        <v>0</v>
      </c>
      <c r="R213" s="1027"/>
      <c r="S213" s="1029">
        <f t="shared" si="264"/>
        <v>0</v>
      </c>
      <c r="T213" s="1027"/>
      <c r="U213" s="1029">
        <f t="shared" si="265"/>
        <v>0</v>
      </c>
      <c r="V213" s="1027"/>
      <c r="W213" s="1029">
        <f t="shared" si="266"/>
        <v>0</v>
      </c>
      <c r="X213" s="1027"/>
      <c r="Y213" s="1029">
        <f t="shared" si="267"/>
        <v>0</v>
      </c>
      <c r="Z213" s="1027"/>
      <c r="AA213" s="1029">
        <f t="shared" si="268"/>
        <v>0</v>
      </c>
      <c r="AB213" s="2200"/>
      <c r="AC213" s="198" t="b">
        <f t="shared" si="269"/>
        <v>0</v>
      </c>
    </row>
    <row r="214" spans="1:29" ht="13.5" customHeight="1">
      <c r="A214" s="1739"/>
      <c r="B214" s="1027"/>
      <c r="C214" s="1029">
        <f t="shared" si="256"/>
        <v>0</v>
      </c>
      <c r="D214" s="1027"/>
      <c r="E214" s="1029">
        <f t="shared" si="257"/>
        <v>0</v>
      </c>
      <c r="F214" s="1027"/>
      <c r="G214" s="1029">
        <f t="shared" si="258"/>
        <v>0</v>
      </c>
      <c r="H214" s="1027"/>
      <c r="I214" s="1029">
        <f t="shared" si="259"/>
        <v>0</v>
      </c>
      <c r="J214" s="1027"/>
      <c r="K214" s="1029">
        <f t="shared" si="260"/>
        <v>0</v>
      </c>
      <c r="L214" s="1027"/>
      <c r="M214" s="1029">
        <f t="shared" si="261"/>
        <v>0</v>
      </c>
      <c r="N214" s="1027"/>
      <c r="O214" s="1029">
        <f t="shared" si="262"/>
        <v>0</v>
      </c>
      <c r="P214" s="1027"/>
      <c r="Q214" s="1029">
        <f t="shared" si="263"/>
        <v>0</v>
      </c>
      <c r="R214" s="1027"/>
      <c r="S214" s="1029">
        <f t="shared" si="264"/>
        <v>0</v>
      </c>
      <c r="T214" s="1027"/>
      <c r="U214" s="1029">
        <f t="shared" si="265"/>
        <v>0</v>
      </c>
      <c r="V214" s="1027"/>
      <c r="W214" s="1029">
        <f t="shared" si="266"/>
        <v>0</v>
      </c>
      <c r="X214" s="1027"/>
      <c r="Y214" s="1029">
        <f t="shared" si="267"/>
        <v>0</v>
      </c>
      <c r="Z214" s="1027"/>
      <c r="AA214" s="1029">
        <f t="shared" si="268"/>
        <v>0</v>
      </c>
      <c r="AB214" s="2200"/>
      <c r="AC214" s="198" t="b">
        <f t="shared" ref="AC214" si="270">SUM(B214:AA214)&gt;0</f>
        <v>0</v>
      </c>
    </row>
    <row r="215" spans="1:29" ht="13.5" customHeight="1">
      <c r="A215" s="1739"/>
      <c r="B215" s="1027"/>
      <c r="C215" s="1029">
        <f t="shared" si="256"/>
        <v>0</v>
      </c>
      <c r="D215" s="1027"/>
      <c r="E215" s="1029">
        <f t="shared" si="257"/>
        <v>0</v>
      </c>
      <c r="F215" s="1027"/>
      <c r="G215" s="1029">
        <f t="shared" si="258"/>
        <v>0</v>
      </c>
      <c r="H215" s="1027"/>
      <c r="I215" s="1029">
        <f t="shared" si="259"/>
        <v>0</v>
      </c>
      <c r="J215" s="1027"/>
      <c r="K215" s="1029">
        <f t="shared" si="260"/>
        <v>0</v>
      </c>
      <c r="L215" s="1027"/>
      <c r="M215" s="1029">
        <f t="shared" si="261"/>
        <v>0</v>
      </c>
      <c r="N215" s="1027"/>
      <c r="O215" s="1029">
        <f t="shared" si="262"/>
        <v>0</v>
      </c>
      <c r="P215" s="1027"/>
      <c r="Q215" s="1029">
        <f t="shared" si="263"/>
        <v>0</v>
      </c>
      <c r="R215" s="1027"/>
      <c r="S215" s="1029">
        <f t="shared" si="264"/>
        <v>0</v>
      </c>
      <c r="T215" s="1027"/>
      <c r="U215" s="1029">
        <f t="shared" si="265"/>
        <v>0</v>
      </c>
      <c r="V215" s="1027"/>
      <c r="W215" s="1029">
        <f t="shared" si="266"/>
        <v>0</v>
      </c>
      <c r="X215" s="1027"/>
      <c r="Y215" s="1029">
        <f t="shared" si="267"/>
        <v>0</v>
      </c>
      <c r="Z215" s="1027"/>
      <c r="AA215" s="1029">
        <f t="shared" si="268"/>
        <v>0</v>
      </c>
      <c r="AB215" s="2200"/>
      <c r="AC215" s="198" t="b">
        <f t="shared" si="269"/>
        <v>0</v>
      </c>
    </row>
    <row r="216" spans="1:29" ht="13.5" customHeight="1">
      <c r="A216" s="1739"/>
      <c r="B216" s="1027"/>
      <c r="C216" s="1029">
        <f t="shared" si="256"/>
        <v>0</v>
      </c>
      <c r="D216" s="1027"/>
      <c r="E216" s="1029">
        <f t="shared" si="257"/>
        <v>0</v>
      </c>
      <c r="F216" s="1027"/>
      <c r="G216" s="1029">
        <f t="shared" si="258"/>
        <v>0</v>
      </c>
      <c r="H216" s="1027"/>
      <c r="I216" s="1029">
        <f t="shared" si="259"/>
        <v>0</v>
      </c>
      <c r="J216" s="1027"/>
      <c r="K216" s="1029">
        <f t="shared" si="260"/>
        <v>0</v>
      </c>
      <c r="L216" s="1027"/>
      <c r="M216" s="1029">
        <f t="shared" si="261"/>
        <v>0</v>
      </c>
      <c r="N216" s="1027"/>
      <c r="O216" s="1029">
        <f t="shared" si="262"/>
        <v>0</v>
      </c>
      <c r="P216" s="1027"/>
      <c r="Q216" s="1029">
        <f t="shared" si="263"/>
        <v>0</v>
      </c>
      <c r="R216" s="1027"/>
      <c r="S216" s="1029">
        <f t="shared" si="264"/>
        <v>0</v>
      </c>
      <c r="T216" s="1027"/>
      <c r="U216" s="1029">
        <f t="shared" si="265"/>
        <v>0</v>
      </c>
      <c r="V216" s="1027"/>
      <c r="W216" s="1029">
        <f t="shared" si="266"/>
        <v>0</v>
      </c>
      <c r="X216" s="1027"/>
      <c r="Y216" s="1029">
        <f t="shared" si="267"/>
        <v>0</v>
      </c>
      <c r="Z216" s="1027"/>
      <c r="AA216" s="1029">
        <f t="shared" si="268"/>
        <v>0</v>
      </c>
      <c r="AB216" s="2200"/>
      <c r="AC216" s="198" t="b">
        <f t="shared" si="269"/>
        <v>0</v>
      </c>
    </row>
    <row r="217" spans="1:29" ht="13.5" customHeight="1">
      <c r="A217" s="1739"/>
      <c r="B217" s="3115" t="s">
        <v>5582</v>
      </c>
      <c r="C217" s="3116"/>
      <c r="D217" s="3115" t="s">
        <v>5582</v>
      </c>
      <c r="E217" s="3116"/>
      <c r="F217" s="3115" t="s">
        <v>5582</v>
      </c>
      <c r="G217" s="3116"/>
      <c r="H217" s="3115" t="s">
        <v>5582</v>
      </c>
      <c r="I217" s="3116"/>
      <c r="J217" s="3115" t="s">
        <v>5582</v>
      </c>
      <c r="K217" s="3116"/>
      <c r="L217" s="3115" t="s">
        <v>5582</v>
      </c>
      <c r="M217" s="3116"/>
      <c r="N217" s="3115" t="s">
        <v>5582</v>
      </c>
      <c r="O217" s="3116"/>
      <c r="P217" s="3115" t="s">
        <v>5582</v>
      </c>
      <c r="Q217" s="3116"/>
      <c r="R217" s="3115" t="s">
        <v>5582</v>
      </c>
      <c r="S217" s="3116"/>
      <c r="T217" s="3115" t="s">
        <v>5582</v>
      </c>
      <c r="U217" s="3116"/>
      <c r="V217" s="3115" t="s">
        <v>5582</v>
      </c>
      <c r="W217" s="3116"/>
      <c r="X217" s="3115" t="s">
        <v>5582</v>
      </c>
      <c r="Y217" s="3116"/>
      <c r="Z217" s="3115" t="s">
        <v>5582</v>
      </c>
      <c r="AA217" s="3116"/>
      <c r="AB217" s="2200"/>
      <c r="AC217" s="198" t="b">
        <f>AC224</f>
        <v>0</v>
      </c>
    </row>
    <row r="218" spans="1:29" ht="13.5" customHeight="1">
      <c r="A218" s="1739"/>
      <c r="B218" s="1027"/>
      <c r="C218" s="1029">
        <f t="shared" ref="C218:C223" si="271">SUMIF(内部開口,B218,内部開口面積)</f>
        <v>0</v>
      </c>
      <c r="D218" s="1027"/>
      <c r="E218" s="1029">
        <f t="shared" ref="E218:E223" si="272">SUMIF(内部開口,D218,内部開口面積)</f>
        <v>0</v>
      </c>
      <c r="F218" s="1027"/>
      <c r="G218" s="1029">
        <f t="shared" ref="G218:G223" si="273">SUMIF(内部開口,F218,内部開口面積)</f>
        <v>0</v>
      </c>
      <c r="H218" s="1027"/>
      <c r="I218" s="1029">
        <f t="shared" ref="I218:I223" si="274">SUMIF(内部開口,H218,内部開口面積)</f>
        <v>0</v>
      </c>
      <c r="J218" s="1027"/>
      <c r="K218" s="1029">
        <f t="shared" ref="K218:K223" si="275">SUMIF(内部開口,J218,内部開口面積)</f>
        <v>0</v>
      </c>
      <c r="L218" s="1027"/>
      <c r="M218" s="1029">
        <f t="shared" ref="M218:M223" si="276">SUMIF(内部開口,L218,内部開口面積)</f>
        <v>0</v>
      </c>
      <c r="N218" s="1027"/>
      <c r="O218" s="1029">
        <f t="shared" ref="O218:O223" si="277">SUMIF(内部開口,N218,内部開口面積)</f>
        <v>0</v>
      </c>
      <c r="P218" s="1027"/>
      <c r="Q218" s="1029">
        <f t="shared" ref="Q218:Q223" si="278">SUMIF(内部開口,P218,内部開口面積)</f>
        <v>0</v>
      </c>
      <c r="R218" s="1027"/>
      <c r="S218" s="1029">
        <f t="shared" ref="S218:S223" si="279">SUMIF(内部開口,R218,内部開口面積)</f>
        <v>0</v>
      </c>
      <c r="T218" s="1027"/>
      <c r="U218" s="1029">
        <f t="shared" ref="U218:U223" si="280">SUMIF(内部開口,T218,内部開口面積)</f>
        <v>0</v>
      </c>
      <c r="V218" s="1027"/>
      <c r="W218" s="1029">
        <f t="shared" ref="W218:W223" si="281">SUMIF(内部開口,V218,内部開口面積)</f>
        <v>0</v>
      </c>
      <c r="X218" s="1027"/>
      <c r="Y218" s="1029">
        <f t="shared" ref="Y218:Y223" si="282">SUMIF(内部開口,X218,内部開口面積)</f>
        <v>0</v>
      </c>
      <c r="Z218" s="1027"/>
      <c r="AA218" s="1029">
        <f t="shared" ref="AA218:AA223" si="283">SUMIF(内部開口,Z218,内部開口面積)</f>
        <v>0</v>
      </c>
      <c r="AB218" s="2200"/>
      <c r="AC218" s="198" t="b">
        <f t="shared" si="269"/>
        <v>0</v>
      </c>
    </row>
    <row r="219" spans="1:29" ht="13.5" customHeight="1">
      <c r="A219" s="1739"/>
      <c r="B219" s="1027"/>
      <c r="C219" s="1029">
        <f t="shared" si="271"/>
        <v>0</v>
      </c>
      <c r="D219" s="1027"/>
      <c r="E219" s="1029">
        <f t="shared" si="272"/>
        <v>0</v>
      </c>
      <c r="F219" s="1027"/>
      <c r="G219" s="1029">
        <f t="shared" si="273"/>
        <v>0</v>
      </c>
      <c r="H219" s="1027"/>
      <c r="I219" s="1029">
        <f t="shared" si="274"/>
        <v>0</v>
      </c>
      <c r="J219" s="1027"/>
      <c r="K219" s="1029">
        <f t="shared" si="275"/>
        <v>0</v>
      </c>
      <c r="L219" s="1027"/>
      <c r="M219" s="1029">
        <f t="shared" si="276"/>
        <v>0</v>
      </c>
      <c r="N219" s="1027"/>
      <c r="O219" s="1029">
        <f t="shared" si="277"/>
        <v>0</v>
      </c>
      <c r="P219" s="1027"/>
      <c r="Q219" s="1029">
        <f t="shared" si="278"/>
        <v>0</v>
      </c>
      <c r="R219" s="1027"/>
      <c r="S219" s="1029">
        <f t="shared" si="279"/>
        <v>0</v>
      </c>
      <c r="T219" s="1027"/>
      <c r="U219" s="1029">
        <f t="shared" si="280"/>
        <v>0</v>
      </c>
      <c r="V219" s="1027"/>
      <c r="W219" s="1029">
        <f t="shared" si="281"/>
        <v>0</v>
      </c>
      <c r="X219" s="1027"/>
      <c r="Y219" s="1029">
        <f t="shared" si="282"/>
        <v>0</v>
      </c>
      <c r="Z219" s="1027"/>
      <c r="AA219" s="1029">
        <f t="shared" si="283"/>
        <v>0</v>
      </c>
      <c r="AB219" s="2200"/>
      <c r="AC219" s="198" t="b">
        <f t="shared" si="269"/>
        <v>0</v>
      </c>
    </row>
    <row r="220" spans="1:29" ht="13.5" customHeight="1">
      <c r="A220" s="1739"/>
      <c r="B220" s="1027"/>
      <c r="C220" s="1029">
        <f t="shared" si="271"/>
        <v>0</v>
      </c>
      <c r="D220" s="1027"/>
      <c r="E220" s="1029">
        <f t="shared" si="272"/>
        <v>0</v>
      </c>
      <c r="F220" s="1027"/>
      <c r="G220" s="1029">
        <f t="shared" si="273"/>
        <v>0</v>
      </c>
      <c r="H220" s="1027"/>
      <c r="I220" s="1029">
        <f t="shared" si="274"/>
        <v>0</v>
      </c>
      <c r="J220" s="1027"/>
      <c r="K220" s="1029">
        <f t="shared" si="275"/>
        <v>0</v>
      </c>
      <c r="L220" s="1027"/>
      <c r="M220" s="1029">
        <f t="shared" si="276"/>
        <v>0</v>
      </c>
      <c r="N220" s="1027"/>
      <c r="O220" s="1029">
        <f t="shared" si="277"/>
        <v>0</v>
      </c>
      <c r="P220" s="1027"/>
      <c r="Q220" s="1029">
        <f t="shared" si="278"/>
        <v>0</v>
      </c>
      <c r="R220" s="1027"/>
      <c r="S220" s="1029">
        <f t="shared" si="279"/>
        <v>0</v>
      </c>
      <c r="T220" s="1027"/>
      <c r="U220" s="1029">
        <f t="shared" si="280"/>
        <v>0</v>
      </c>
      <c r="V220" s="1027"/>
      <c r="W220" s="1029">
        <f t="shared" si="281"/>
        <v>0</v>
      </c>
      <c r="X220" s="1027"/>
      <c r="Y220" s="1029">
        <f t="shared" si="282"/>
        <v>0</v>
      </c>
      <c r="Z220" s="1027"/>
      <c r="AA220" s="1029">
        <f t="shared" si="283"/>
        <v>0</v>
      </c>
      <c r="AB220" s="2200"/>
      <c r="AC220" s="198" t="b">
        <f t="shared" ref="AC220" si="284">SUM(B220:AA220)&gt;0</f>
        <v>0</v>
      </c>
    </row>
    <row r="221" spans="1:29" ht="13.5" customHeight="1">
      <c r="A221" s="1739"/>
      <c r="B221" s="1027"/>
      <c r="C221" s="1029">
        <f t="shared" si="271"/>
        <v>0</v>
      </c>
      <c r="D221" s="1027"/>
      <c r="E221" s="1029">
        <f t="shared" si="272"/>
        <v>0</v>
      </c>
      <c r="F221" s="1027"/>
      <c r="G221" s="1029">
        <f t="shared" si="273"/>
        <v>0</v>
      </c>
      <c r="H221" s="1027"/>
      <c r="I221" s="1029">
        <f t="shared" si="274"/>
        <v>0</v>
      </c>
      <c r="J221" s="1027"/>
      <c r="K221" s="1029">
        <f t="shared" si="275"/>
        <v>0</v>
      </c>
      <c r="L221" s="1027"/>
      <c r="M221" s="1029">
        <f t="shared" si="276"/>
        <v>0</v>
      </c>
      <c r="N221" s="1027"/>
      <c r="O221" s="1029">
        <f t="shared" si="277"/>
        <v>0</v>
      </c>
      <c r="P221" s="1027"/>
      <c r="Q221" s="1029">
        <f t="shared" si="278"/>
        <v>0</v>
      </c>
      <c r="R221" s="1027"/>
      <c r="S221" s="1029">
        <f t="shared" si="279"/>
        <v>0</v>
      </c>
      <c r="T221" s="1027"/>
      <c r="U221" s="1029">
        <f t="shared" si="280"/>
        <v>0</v>
      </c>
      <c r="V221" s="1027"/>
      <c r="W221" s="1029">
        <f t="shared" si="281"/>
        <v>0</v>
      </c>
      <c r="X221" s="1027"/>
      <c r="Y221" s="1029">
        <f t="shared" si="282"/>
        <v>0</v>
      </c>
      <c r="Z221" s="1027"/>
      <c r="AA221" s="1029">
        <f t="shared" si="283"/>
        <v>0</v>
      </c>
      <c r="AB221" s="2200"/>
      <c r="AC221" s="198" t="b">
        <f t="shared" si="269"/>
        <v>0</v>
      </c>
    </row>
    <row r="222" spans="1:29" ht="13.5" customHeight="1">
      <c r="A222" s="1739"/>
      <c r="B222" s="1027"/>
      <c r="C222" s="1029">
        <f t="shared" si="271"/>
        <v>0</v>
      </c>
      <c r="D222" s="1027"/>
      <c r="E222" s="1029">
        <f t="shared" si="272"/>
        <v>0</v>
      </c>
      <c r="F222" s="1027"/>
      <c r="G222" s="1029">
        <f t="shared" si="273"/>
        <v>0</v>
      </c>
      <c r="H222" s="1027"/>
      <c r="I222" s="1029">
        <f t="shared" si="274"/>
        <v>0</v>
      </c>
      <c r="J222" s="1027"/>
      <c r="K222" s="1029">
        <f t="shared" si="275"/>
        <v>0</v>
      </c>
      <c r="L222" s="1027"/>
      <c r="M222" s="1029">
        <f t="shared" si="276"/>
        <v>0</v>
      </c>
      <c r="N222" s="1027"/>
      <c r="O222" s="1029">
        <f t="shared" si="277"/>
        <v>0</v>
      </c>
      <c r="P222" s="1027"/>
      <c r="Q222" s="1029">
        <f t="shared" si="278"/>
        <v>0</v>
      </c>
      <c r="R222" s="1027"/>
      <c r="S222" s="1029">
        <f t="shared" si="279"/>
        <v>0</v>
      </c>
      <c r="T222" s="1027"/>
      <c r="U222" s="1029">
        <f t="shared" si="280"/>
        <v>0</v>
      </c>
      <c r="V222" s="1027"/>
      <c r="W222" s="1029">
        <f t="shared" si="281"/>
        <v>0</v>
      </c>
      <c r="X222" s="1027"/>
      <c r="Y222" s="1029">
        <f t="shared" si="282"/>
        <v>0</v>
      </c>
      <c r="Z222" s="1027"/>
      <c r="AA222" s="1029">
        <f t="shared" si="283"/>
        <v>0</v>
      </c>
      <c r="AB222" s="2200"/>
      <c r="AC222" s="198" t="b">
        <f t="shared" si="269"/>
        <v>0</v>
      </c>
    </row>
    <row r="223" spans="1:29" ht="13.5" customHeight="1">
      <c r="A223" s="1739"/>
      <c r="B223" s="1031"/>
      <c r="C223" s="1022">
        <f t="shared" si="271"/>
        <v>0</v>
      </c>
      <c r="D223" s="1031"/>
      <c r="E223" s="1022">
        <f t="shared" si="272"/>
        <v>0</v>
      </c>
      <c r="F223" s="1031"/>
      <c r="G223" s="1022">
        <f t="shared" si="273"/>
        <v>0</v>
      </c>
      <c r="H223" s="1031"/>
      <c r="I223" s="1022">
        <f t="shared" si="274"/>
        <v>0</v>
      </c>
      <c r="J223" s="1031"/>
      <c r="K223" s="1022">
        <f t="shared" si="275"/>
        <v>0</v>
      </c>
      <c r="L223" s="1031"/>
      <c r="M223" s="1022">
        <f t="shared" si="276"/>
        <v>0</v>
      </c>
      <c r="N223" s="1031"/>
      <c r="O223" s="1022">
        <f t="shared" si="277"/>
        <v>0</v>
      </c>
      <c r="P223" s="1031"/>
      <c r="Q223" s="1022">
        <f t="shared" si="278"/>
        <v>0</v>
      </c>
      <c r="R223" s="1031"/>
      <c r="S223" s="1022">
        <f t="shared" si="279"/>
        <v>0</v>
      </c>
      <c r="T223" s="1031"/>
      <c r="U223" s="1022">
        <f t="shared" si="280"/>
        <v>0</v>
      </c>
      <c r="V223" s="1031"/>
      <c r="W223" s="1022">
        <f t="shared" si="281"/>
        <v>0</v>
      </c>
      <c r="X223" s="1031"/>
      <c r="Y223" s="1022">
        <f t="shared" si="282"/>
        <v>0</v>
      </c>
      <c r="Z223" s="1031"/>
      <c r="AA223" s="1022">
        <f t="shared" si="283"/>
        <v>0</v>
      </c>
      <c r="AB223" s="2200"/>
      <c r="AC223" s="198" t="b">
        <f t="shared" si="269"/>
        <v>0</v>
      </c>
    </row>
    <row r="224" spans="1:29" ht="13.5" customHeight="1">
      <c r="A224" s="1740"/>
      <c r="B224" s="2095" t="s">
        <v>498</v>
      </c>
      <c r="C224" s="1030">
        <f>SUM(C211:C223)</f>
        <v>0</v>
      </c>
      <c r="D224" s="2095" t="s">
        <v>498</v>
      </c>
      <c r="E224" s="1030">
        <f t="shared" ref="E224" si="285">SUM(E211:E223)</f>
        <v>0</v>
      </c>
      <c r="F224" s="2095" t="s">
        <v>498</v>
      </c>
      <c r="G224" s="1030">
        <f t="shared" ref="G224" si="286">SUM(G211:G223)</f>
        <v>0</v>
      </c>
      <c r="H224" s="2095" t="s">
        <v>498</v>
      </c>
      <c r="I224" s="1030">
        <f t="shared" ref="I224" si="287">SUM(I211:I223)</f>
        <v>0</v>
      </c>
      <c r="J224" s="2095" t="s">
        <v>498</v>
      </c>
      <c r="K224" s="1030">
        <f t="shared" ref="K224" si="288">SUM(K211:K223)</f>
        <v>0</v>
      </c>
      <c r="L224" s="2095" t="s">
        <v>498</v>
      </c>
      <c r="M224" s="1030">
        <f t="shared" ref="M224" si="289">SUM(M211:M223)</f>
        <v>0</v>
      </c>
      <c r="N224" s="2095" t="s">
        <v>498</v>
      </c>
      <c r="O224" s="1030">
        <f t="shared" ref="O224" si="290">SUM(O211:O223)</f>
        <v>0</v>
      </c>
      <c r="P224" s="2095" t="s">
        <v>498</v>
      </c>
      <c r="Q224" s="1030">
        <f t="shared" ref="Q224" si="291">SUM(Q211:Q223)</f>
        <v>0</v>
      </c>
      <c r="R224" s="2095" t="s">
        <v>498</v>
      </c>
      <c r="S224" s="1030">
        <f t="shared" ref="S224" si="292">SUM(S211:S223)</f>
        <v>0</v>
      </c>
      <c r="T224" s="2095" t="s">
        <v>498</v>
      </c>
      <c r="U224" s="1030">
        <f t="shared" ref="U224" si="293">SUM(U211:U223)</f>
        <v>0</v>
      </c>
      <c r="V224" s="2095" t="s">
        <v>498</v>
      </c>
      <c r="W224" s="1030">
        <f t="shared" ref="W224" si="294">SUM(W211:W223)</f>
        <v>0</v>
      </c>
      <c r="X224" s="2095" t="s">
        <v>498</v>
      </c>
      <c r="Y224" s="1030">
        <f t="shared" ref="Y224" si="295">SUM(Y211:Y223)</f>
        <v>0</v>
      </c>
      <c r="Z224" s="2095" t="s">
        <v>498</v>
      </c>
      <c r="AA224" s="1030">
        <f t="shared" ref="AA224" si="296">SUM(AA211:AA223)</f>
        <v>0</v>
      </c>
      <c r="AB224" s="2200"/>
      <c r="AC224" s="198" t="b">
        <f t="shared" si="269"/>
        <v>0</v>
      </c>
    </row>
    <row r="225" spans="1:29" ht="13.5" customHeight="1">
      <c r="A225" s="1012"/>
      <c r="B225" s="2087" t="s">
        <v>5733</v>
      </c>
      <c r="C225" s="1024"/>
      <c r="D225" s="1025"/>
      <c r="E225" s="1024"/>
      <c r="F225" s="1025"/>
      <c r="G225" s="1024"/>
      <c r="H225" s="1025"/>
      <c r="I225" s="1024"/>
      <c r="J225" s="1025"/>
      <c r="K225" s="1024"/>
      <c r="L225" s="1025"/>
      <c r="M225" s="1024"/>
      <c r="N225" s="1025"/>
      <c r="O225" s="1024"/>
      <c r="P225" s="1025"/>
      <c r="Q225" s="1024"/>
      <c r="R225" s="1025"/>
      <c r="S225" s="1024"/>
      <c r="T225" s="1025"/>
      <c r="U225" s="1024"/>
      <c r="V225" s="1025"/>
      <c r="W225" s="1024"/>
      <c r="X225" s="1025"/>
      <c r="Y225" s="1024"/>
      <c r="Z225" s="1025"/>
      <c r="AA225" s="1024"/>
      <c r="AB225" s="2200"/>
      <c r="AC225" s="1011" t="b">
        <v>0</v>
      </c>
    </row>
    <row r="226" spans="1:29" ht="13.5" customHeight="1">
      <c r="B226" s="2087" t="s">
        <v>5587</v>
      </c>
      <c r="AB226" s="2200"/>
      <c r="AC226" s="1011" t="b">
        <v>0</v>
      </c>
    </row>
  </sheetData>
  <autoFilter ref="AC2:AC225" xr:uid="{00000000-0009-0000-0000-000007000000}"/>
  <customSheetViews>
    <customSheetView guid="{6CFAA980-29D1-42A9-8342-BF14629EBE3B}" showGridLines="0" fitToPage="1" showAutoFilter="1">
      <pane ySplit="2" topLeftCell="A3" activePane="bottomLeft" state="frozen"/>
      <selection pane="bottomLeft" activeCell="L36" sqref="L36"/>
      <pageMargins left="0.9" right="0.39" top="0.35" bottom="0.39" header="0.26" footer="0.19"/>
      <pageSetup paperSize="9" scale="24" orientation="landscape" r:id="rId1"/>
      <headerFooter alignWithMargins="0">
        <oddFooter>&amp;R&amp;"ＭＳ ゴシック,標準"&amp;D　&amp;T</oddFooter>
      </headerFooter>
      <autoFilter ref="AB2:AB225" xr:uid="{3F2EC3BA-8EC6-4406-941A-70A243CFBDD4}"/>
    </customSheetView>
  </customSheetViews>
  <mergeCells count="1056">
    <mergeCell ref="L167:M167"/>
    <mergeCell ref="T167:U167"/>
    <mergeCell ref="R167:S167"/>
    <mergeCell ref="J167:K167"/>
    <mergeCell ref="R169:S169"/>
    <mergeCell ref="T210:U210"/>
    <mergeCell ref="V210:W210"/>
    <mergeCell ref="X210:Y210"/>
    <mergeCell ref="Z210:AA210"/>
    <mergeCell ref="B217:C217"/>
    <mergeCell ref="D217:E217"/>
    <mergeCell ref="F217:G217"/>
    <mergeCell ref="H217:I217"/>
    <mergeCell ref="J217:K217"/>
    <mergeCell ref="L217:M217"/>
    <mergeCell ref="N217:O217"/>
    <mergeCell ref="P217:Q217"/>
    <mergeCell ref="R217:S217"/>
    <mergeCell ref="T217:U217"/>
    <mergeCell ref="V217:W217"/>
    <mergeCell ref="X217:Y217"/>
    <mergeCell ref="Z217:AA217"/>
    <mergeCell ref="B210:C210"/>
    <mergeCell ref="D210:E210"/>
    <mergeCell ref="F210:G210"/>
    <mergeCell ref="H210:I210"/>
    <mergeCell ref="J210:K210"/>
    <mergeCell ref="L210:M210"/>
    <mergeCell ref="N210:O210"/>
    <mergeCell ref="P210:Q210"/>
    <mergeCell ref="R210:S210"/>
    <mergeCell ref="V174:W174"/>
    <mergeCell ref="X174:Y174"/>
    <mergeCell ref="Z174:AA174"/>
    <mergeCell ref="B181:C181"/>
    <mergeCell ref="D181:E181"/>
    <mergeCell ref="F181:G181"/>
    <mergeCell ref="H181:I181"/>
    <mergeCell ref="J181:K181"/>
    <mergeCell ref="L181:M181"/>
    <mergeCell ref="N181:O181"/>
    <mergeCell ref="P181:Q181"/>
    <mergeCell ref="R181:S181"/>
    <mergeCell ref="T181:U181"/>
    <mergeCell ref="V181:W181"/>
    <mergeCell ref="X181:Y181"/>
    <mergeCell ref="Z181:AA181"/>
    <mergeCell ref="B174:C174"/>
    <mergeCell ref="D174:E174"/>
    <mergeCell ref="F174:G174"/>
    <mergeCell ref="H174:I174"/>
    <mergeCell ref="J174:K174"/>
    <mergeCell ref="L174:M174"/>
    <mergeCell ref="N174:O174"/>
    <mergeCell ref="P174:Q174"/>
    <mergeCell ref="R174:S174"/>
    <mergeCell ref="T102:U102"/>
    <mergeCell ref="V102:W102"/>
    <mergeCell ref="X102:Y102"/>
    <mergeCell ref="Z102:AA102"/>
    <mergeCell ref="D109:E109"/>
    <mergeCell ref="F109:G109"/>
    <mergeCell ref="H109:I109"/>
    <mergeCell ref="J109:K109"/>
    <mergeCell ref="L109:M109"/>
    <mergeCell ref="N109:O109"/>
    <mergeCell ref="P109:Q109"/>
    <mergeCell ref="R109:S109"/>
    <mergeCell ref="T109:U109"/>
    <mergeCell ref="V109:W109"/>
    <mergeCell ref="X109:Y109"/>
    <mergeCell ref="Z109:AA109"/>
    <mergeCell ref="T125:U125"/>
    <mergeCell ref="F125:G125"/>
    <mergeCell ref="X121:Y121"/>
    <mergeCell ref="B170:C170"/>
    <mergeCell ref="D170:E170"/>
    <mergeCell ref="F170:G170"/>
    <mergeCell ref="H170:I170"/>
    <mergeCell ref="J170:K170"/>
    <mergeCell ref="X170:Y170"/>
    <mergeCell ref="Z170:AA170"/>
    <mergeCell ref="L170:M170"/>
    <mergeCell ref="N170:O170"/>
    <mergeCell ref="P170:Q170"/>
    <mergeCell ref="R170:S170"/>
    <mergeCell ref="T170:U170"/>
    <mergeCell ref="V170:W170"/>
    <mergeCell ref="Z121:AA121"/>
    <mergeCell ref="V124:W124"/>
    <mergeCell ref="X124:Y124"/>
    <mergeCell ref="Z124:AA124"/>
    <mergeCell ref="V122:W122"/>
    <mergeCell ref="X122:Y122"/>
    <mergeCell ref="Z169:AA169"/>
    <mergeCell ref="X168:Y168"/>
    <mergeCell ref="B164:C164"/>
    <mergeCell ref="Z162:AA162"/>
    <mergeCell ref="T168:U168"/>
    <mergeCell ref="Z166:AA166"/>
    <mergeCell ref="Z164:AA164"/>
    <mergeCell ref="B166:C166"/>
    <mergeCell ref="X169:Y169"/>
    <mergeCell ref="V169:W169"/>
    <mergeCell ref="T169:U169"/>
    <mergeCell ref="R164:S164"/>
    <mergeCell ref="Z125:AA125"/>
    <mergeCell ref="Z93:AA93"/>
    <mergeCell ref="X94:Y94"/>
    <mergeCell ref="Z94:AA94"/>
    <mergeCell ref="X85:Y85"/>
    <mergeCell ref="Z85:AA85"/>
    <mergeCell ref="X97:Y97"/>
    <mergeCell ref="R30:T30"/>
    <mergeCell ref="R31:T31"/>
    <mergeCell ref="X96:Y96"/>
    <mergeCell ref="Z96:AA96"/>
    <mergeCell ref="R85:S85"/>
    <mergeCell ref="Z99:AA99"/>
    <mergeCell ref="V120:W120"/>
    <mergeCell ref="X120:Y120"/>
    <mergeCell ref="Z120:AA120"/>
    <mergeCell ref="V99:W99"/>
    <mergeCell ref="X93:Y93"/>
    <mergeCell ref="X99:Y99"/>
    <mergeCell ref="Z97:AA97"/>
    <mergeCell ref="V95:W95"/>
    <mergeCell ref="X95:Y95"/>
    <mergeCell ref="Z95:AA95"/>
    <mergeCell ref="T120:U120"/>
    <mergeCell ref="Y64:AA64"/>
    <mergeCell ref="Y65:AA65"/>
    <mergeCell ref="Y69:AA69"/>
    <mergeCell ref="Y67:AA67"/>
    <mergeCell ref="Y68:AA68"/>
    <mergeCell ref="Y66:AA66"/>
    <mergeCell ref="R84:S84"/>
    <mergeCell ref="T84:U84"/>
    <mergeCell ref="T94:U94"/>
    <mergeCell ref="P84:Q84"/>
    <mergeCell ref="D84:E84"/>
    <mergeCell ref="V84:W84"/>
    <mergeCell ref="X84:Y84"/>
    <mergeCell ref="L84:M84"/>
    <mergeCell ref="V44:AA44"/>
    <mergeCell ref="R66:T66"/>
    <mergeCell ref="O44:T44"/>
    <mergeCell ref="K65:M65"/>
    <mergeCell ref="D64:F64"/>
    <mergeCell ref="K64:M64"/>
    <mergeCell ref="X166:Y166"/>
    <mergeCell ref="R166:S166"/>
    <mergeCell ref="V166:W166"/>
    <mergeCell ref="R162:S162"/>
    <mergeCell ref="X158:Y158"/>
    <mergeCell ref="X135:Y135"/>
    <mergeCell ref="V163:W163"/>
    <mergeCell ref="T159:U159"/>
    <mergeCell ref="V159:W159"/>
    <mergeCell ref="T135:U135"/>
    <mergeCell ref="T163:U163"/>
    <mergeCell ref="T164:U164"/>
    <mergeCell ref="T166:U166"/>
    <mergeCell ref="T165:U165"/>
    <mergeCell ref="T158:U158"/>
    <mergeCell ref="T160:U160"/>
    <mergeCell ref="X160:Y160"/>
    <mergeCell ref="T157:U157"/>
    <mergeCell ref="X156:Y156"/>
    <mergeCell ref="R157:S157"/>
    <mergeCell ref="T156:U156"/>
    <mergeCell ref="V138:W138"/>
    <mergeCell ref="X138:Y138"/>
    <mergeCell ref="R145:S145"/>
    <mergeCell ref="T145:U145"/>
    <mergeCell ref="V145:W145"/>
    <mergeCell ref="X145:Y145"/>
    <mergeCell ref="Z165:AA165"/>
    <mergeCell ref="V165:W165"/>
    <mergeCell ref="X128:Y128"/>
    <mergeCell ref="X165:Y165"/>
    <mergeCell ref="X161:Y161"/>
    <mergeCell ref="V129:W129"/>
    <mergeCell ref="X129:Y129"/>
    <mergeCell ref="V134:W134"/>
    <mergeCell ref="Z122:AA122"/>
    <mergeCell ref="Z129:AA129"/>
    <mergeCell ref="X130:Y130"/>
    <mergeCell ref="Z130:AA130"/>
    <mergeCell ref="X134:Y134"/>
    <mergeCell ref="V164:W164"/>
    <mergeCell ref="X164:Y164"/>
    <mergeCell ref="Z157:AA157"/>
    <mergeCell ref="Z156:AA156"/>
    <mergeCell ref="V156:W156"/>
    <mergeCell ref="V158:W158"/>
    <mergeCell ref="V157:W157"/>
    <mergeCell ref="X157:Y157"/>
    <mergeCell ref="Z160:AA160"/>
    <mergeCell ref="V161:W161"/>
    <mergeCell ref="V160:W160"/>
    <mergeCell ref="T127:U127"/>
    <mergeCell ref="Z145:AA145"/>
    <mergeCell ref="V127:W127"/>
    <mergeCell ref="X127:Y127"/>
    <mergeCell ref="Z127:AA127"/>
    <mergeCell ref="Z128:AA128"/>
    <mergeCell ref="V125:W125"/>
    <mergeCell ref="V128:W128"/>
    <mergeCell ref="Z126:AA126"/>
    <mergeCell ref="X125:Y125"/>
    <mergeCell ref="B165:C165"/>
    <mergeCell ref="L165:M165"/>
    <mergeCell ref="F166:G166"/>
    <mergeCell ref="H166:I166"/>
    <mergeCell ref="J166:K166"/>
    <mergeCell ref="L166:M166"/>
    <mergeCell ref="N166:O166"/>
    <mergeCell ref="P166:Q166"/>
    <mergeCell ref="N165:O165"/>
    <mergeCell ref="P165:Q165"/>
    <mergeCell ref="D165:E165"/>
    <mergeCell ref="F165:G165"/>
    <mergeCell ref="H165:I165"/>
    <mergeCell ref="J165:K165"/>
    <mergeCell ref="D166:E166"/>
    <mergeCell ref="R165:S165"/>
    <mergeCell ref="T162:U162"/>
    <mergeCell ref="V131:W131"/>
    <mergeCell ref="X131:Y131"/>
    <mergeCell ref="Z131:AA131"/>
    <mergeCell ref="Z134:AA134"/>
    <mergeCell ref="X132:Y132"/>
    <mergeCell ref="Z132:AA132"/>
    <mergeCell ref="X133:Y133"/>
    <mergeCell ref="B169:C169"/>
    <mergeCell ref="D169:E169"/>
    <mergeCell ref="F169:G169"/>
    <mergeCell ref="H169:I169"/>
    <mergeCell ref="P169:Q169"/>
    <mergeCell ref="J169:K169"/>
    <mergeCell ref="L169:M169"/>
    <mergeCell ref="N169:O169"/>
    <mergeCell ref="V133:W133"/>
    <mergeCell ref="V162:W162"/>
    <mergeCell ref="X162:Y162"/>
    <mergeCell ref="Z167:AA167"/>
    <mergeCell ref="B168:C168"/>
    <mergeCell ref="D168:E168"/>
    <mergeCell ref="F168:G168"/>
    <mergeCell ref="H168:I168"/>
    <mergeCell ref="J168:K168"/>
    <mergeCell ref="L168:M168"/>
    <mergeCell ref="N168:O168"/>
    <mergeCell ref="P168:Q168"/>
    <mergeCell ref="R168:S168"/>
    <mergeCell ref="X167:Y167"/>
    <mergeCell ref="B167:C167"/>
    <mergeCell ref="D167:E167"/>
    <mergeCell ref="F167:G167"/>
    <mergeCell ref="H167:I167"/>
    <mergeCell ref="V167:W167"/>
    <mergeCell ref="N167:O167"/>
    <mergeCell ref="Z168:AA168"/>
    <mergeCell ref="V168:W168"/>
    <mergeCell ref="P167:Q167"/>
    <mergeCell ref="Z135:AA135"/>
    <mergeCell ref="P134:Q134"/>
    <mergeCell ref="L134:M134"/>
    <mergeCell ref="N134:O134"/>
    <mergeCell ref="R134:S134"/>
    <mergeCell ref="H135:I135"/>
    <mergeCell ref="P161:Q161"/>
    <mergeCell ref="T161:U161"/>
    <mergeCell ref="R161:S161"/>
    <mergeCell ref="V132:W132"/>
    <mergeCell ref="L162:M162"/>
    <mergeCell ref="H161:I161"/>
    <mergeCell ref="J161:K161"/>
    <mergeCell ref="L161:M161"/>
    <mergeCell ref="H158:I158"/>
    <mergeCell ref="N138:O138"/>
    <mergeCell ref="P138:Q138"/>
    <mergeCell ref="Z138:AA138"/>
    <mergeCell ref="H145:I145"/>
    <mergeCell ref="J145:K145"/>
    <mergeCell ref="L145:M145"/>
    <mergeCell ref="N145:O145"/>
    <mergeCell ref="L157:M157"/>
    <mergeCell ref="N157:O157"/>
    <mergeCell ref="P157:Q157"/>
    <mergeCell ref="J158:K158"/>
    <mergeCell ref="L158:M158"/>
    <mergeCell ref="H160:I160"/>
    <mergeCell ref="J160:K160"/>
    <mergeCell ref="L159:M159"/>
    <mergeCell ref="N159:O159"/>
    <mergeCell ref="R138:S138"/>
    <mergeCell ref="T138:U138"/>
    <mergeCell ref="J164:K164"/>
    <mergeCell ref="D162:E162"/>
    <mergeCell ref="F162:G162"/>
    <mergeCell ref="H162:I162"/>
    <mergeCell ref="J162:K162"/>
    <mergeCell ref="J135:K135"/>
    <mergeCell ref="N158:O158"/>
    <mergeCell ref="P158:Q158"/>
    <mergeCell ref="R158:S158"/>
    <mergeCell ref="B160:C160"/>
    <mergeCell ref="D160:E160"/>
    <mergeCell ref="F160:G160"/>
    <mergeCell ref="N135:O135"/>
    <mergeCell ref="L133:M133"/>
    <mergeCell ref="D164:E164"/>
    <mergeCell ref="F164:G164"/>
    <mergeCell ref="H164:I164"/>
    <mergeCell ref="L164:M164"/>
    <mergeCell ref="N164:O164"/>
    <mergeCell ref="N162:O162"/>
    <mergeCell ref="P162:Q162"/>
    <mergeCell ref="B161:C161"/>
    <mergeCell ref="B162:C162"/>
    <mergeCell ref="P135:Q135"/>
    <mergeCell ref="B158:C158"/>
    <mergeCell ref="D158:E158"/>
    <mergeCell ref="D161:E161"/>
    <mergeCell ref="F161:G161"/>
    <mergeCell ref="F158:G158"/>
    <mergeCell ref="B145:C145"/>
    <mergeCell ref="D145:E145"/>
    <mergeCell ref="F145:G145"/>
    <mergeCell ref="B129:C129"/>
    <mergeCell ref="B127:C127"/>
    <mergeCell ref="B128:C128"/>
    <mergeCell ref="B122:C122"/>
    <mergeCell ref="B130:C130"/>
    <mergeCell ref="B137:C137"/>
    <mergeCell ref="H129:I129"/>
    <mergeCell ref="J129:K129"/>
    <mergeCell ref="D132:E132"/>
    <mergeCell ref="R160:S160"/>
    <mergeCell ref="L129:M129"/>
    <mergeCell ref="F135:G135"/>
    <mergeCell ref="B132:C132"/>
    <mergeCell ref="B131:C131"/>
    <mergeCell ref="D129:E129"/>
    <mergeCell ref="F129:G129"/>
    <mergeCell ref="P145:Q145"/>
    <mergeCell ref="B157:C157"/>
    <mergeCell ref="D157:E157"/>
    <mergeCell ref="F157:G157"/>
    <mergeCell ref="H157:I157"/>
    <mergeCell ref="J157:K157"/>
    <mergeCell ref="H122:I122"/>
    <mergeCell ref="J122:K122"/>
    <mergeCell ref="D131:E131"/>
    <mergeCell ref="F131:G131"/>
    <mergeCell ref="H131:I131"/>
    <mergeCell ref="J131:K131"/>
    <mergeCell ref="B133:C133"/>
    <mergeCell ref="D133:E133"/>
    <mergeCell ref="H133:I133"/>
    <mergeCell ref="D125:E125"/>
    <mergeCell ref="B135:C135"/>
    <mergeCell ref="P156:Q156"/>
    <mergeCell ref="D120:E120"/>
    <mergeCell ref="F120:G120"/>
    <mergeCell ref="J134:K134"/>
    <mergeCell ref="F130:G130"/>
    <mergeCell ref="H130:I130"/>
    <mergeCell ref="F132:G132"/>
    <mergeCell ref="H132:I132"/>
    <mergeCell ref="J132:K132"/>
    <mergeCell ref="F133:G133"/>
    <mergeCell ref="J133:K133"/>
    <mergeCell ref="D134:E134"/>
    <mergeCell ref="F134:G134"/>
    <mergeCell ref="H134:I134"/>
    <mergeCell ref="L135:M135"/>
    <mergeCell ref="D135:E135"/>
    <mergeCell ref="P125:Q125"/>
    <mergeCell ref="N125:O125"/>
    <mergeCell ref="J120:K120"/>
    <mergeCell ref="D137:E137"/>
    <mergeCell ref="F137:G137"/>
    <mergeCell ref="N133:O133"/>
    <mergeCell ref="L132:M132"/>
    <mergeCell ref="N132:O132"/>
    <mergeCell ref="P132:Q132"/>
    <mergeCell ref="N129:O129"/>
    <mergeCell ref="P120:Q120"/>
    <mergeCell ref="D121:E121"/>
    <mergeCell ref="F121:G121"/>
    <mergeCell ref="H121:I121"/>
    <mergeCell ref="J121:K121"/>
    <mergeCell ref="B138:C138"/>
    <mergeCell ref="D138:E138"/>
    <mergeCell ref="F138:G138"/>
    <mergeCell ref="H138:I138"/>
    <mergeCell ref="J138:K138"/>
    <mergeCell ref="L138:M138"/>
    <mergeCell ref="B134:C134"/>
    <mergeCell ref="L131:M131"/>
    <mergeCell ref="T128:U128"/>
    <mergeCell ref="N124:O124"/>
    <mergeCell ref="J130:K130"/>
    <mergeCell ref="R127:S127"/>
    <mergeCell ref="N130:O130"/>
    <mergeCell ref="D130:E130"/>
    <mergeCell ref="B126:C126"/>
    <mergeCell ref="N128:O128"/>
    <mergeCell ref="N127:O127"/>
    <mergeCell ref="P127:Q127"/>
    <mergeCell ref="L127:M127"/>
    <mergeCell ref="P130:Q130"/>
    <mergeCell ref="R130:S130"/>
    <mergeCell ref="P131:Q131"/>
    <mergeCell ref="N131:O131"/>
    <mergeCell ref="T132:U132"/>
    <mergeCell ref="R132:S132"/>
    <mergeCell ref="H125:I125"/>
    <mergeCell ref="J125:K125"/>
    <mergeCell ref="F128:G128"/>
    <mergeCell ref="R131:S131"/>
    <mergeCell ref="D124:E124"/>
    <mergeCell ref="F124:G124"/>
    <mergeCell ref="L130:M130"/>
    <mergeCell ref="H128:I128"/>
    <mergeCell ref="D127:E127"/>
    <mergeCell ref="F127:G127"/>
    <mergeCell ref="H127:I127"/>
    <mergeCell ref="D128:E128"/>
    <mergeCell ref="D126:E126"/>
    <mergeCell ref="F126:G126"/>
    <mergeCell ref="J127:K127"/>
    <mergeCell ref="R120:S120"/>
    <mergeCell ref="L125:M125"/>
    <mergeCell ref="D102:E102"/>
    <mergeCell ref="F102:G102"/>
    <mergeCell ref="H102:I102"/>
    <mergeCell ref="P128:Q128"/>
    <mergeCell ref="R128:S128"/>
    <mergeCell ref="P124:Q124"/>
    <mergeCell ref="L128:M128"/>
    <mergeCell ref="L124:M124"/>
    <mergeCell ref="F122:G122"/>
    <mergeCell ref="L102:M102"/>
    <mergeCell ref="N102:O102"/>
    <mergeCell ref="P102:Q102"/>
    <mergeCell ref="R102:S102"/>
    <mergeCell ref="H120:I120"/>
    <mergeCell ref="R93:S93"/>
    <mergeCell ref="P95:Q95"/>
    <mergeCell ref="L95:M95"/>
    <mergeCell ref="N95:O95"/>
    <mergeCell ref="L121:M121"/>
    <mergeCell ref="N121:O121"/>
    <mergeCell ref="P121:Q121"/>
    <mergeCell ref="L120:M120"/>
    <mergeCell ref="N120:O120"/>
    <mergeCell ref="L98:M98"/>
    <mergeCell ref="N98:O98"/>
    <mergeCell ref="P98:Q98"/>
    <mergeCell ref="R98:S98"/>
    <mergeCell ref="P94:Q94"/>
    <mergeCell ref="R94:S94"/>
    <mergeCell ref="H98:I98"/>
    <mergeCell ref="J98:K98"/>
    <mergeCell ref="R121:S121"/>
    <mergeCell ref="P99:Q99"/>
    <mergeCell ref="R99:S99"/>
    <mergeCell ref="L93:M93"/>
    <mergeCell ref="T95:U95"/>
    <mergeCell ref="T96:U96"/>
    <mergeCell ref="T98:U98"/>
    <mergeCell ref="T99:U99"/>
    <mergeCell ref="N94:O94"/>
    <mergeCell ref="N97:O97"/>
    <mergeCell ref="P97:Q97"/>
    <mergeCell ref="R95:S95"/>
    <mergeCell ref="N96:O96"/>
    <mergeCell ref="P96:Q96"/>
    <mergeCell ref="R96:S96"/>
    <mergeCell ref="L99:M99"/>
    <mergeCell ref="N99:O99"/>
    <mergeCell ref="D96:E96"/>
    <mergeCell ref="F96:G96"/>
    <mergeCell ref="H97:I97"/>
    <mergeCell ref="J97:K97"/>
    <mergeCell ref="H95:I95"/>
    <mergeCell ref="H94:I94"/>
    <mergeCell ref="J94:K94"/>
    <mergeCell ref="D98:E98"/>
    <mergeCell ref="F98:G98"/>
    <mergeCell ref="D99:E99"/>
    <mergeCell ref="L96:M96"/>
    <mergeCell ref="R97:S97"/>
    <mergeCell ref="B95:C95"/>
    <mergeCell ref="B124:C124"/>
    <mergeCell ref="B125:C125"/>
    <mergeCell ref="B96:C96"/>
    <mergeCell ref="D92:E92"/>
    <mergeCell ref="F92:G92"/>
    <mergeCell ref="H92:I92"/>
    <mergeCell ref="B97:C97"/>
    <mergeCell ref="N93:O93"/>
    <mergeCell ref="P93:Q93"/>
    <mergeCell ref="L97:M97"/>
    <mergeCell ref="D95:E95"/>
    <mergeCell ref="F95:G95"/>
    <mergeCell ref="H96:I96"/>
    <mergeCell ref="J96:K96"/>
    <mergeCell ref="F99:G99"/>
    <mergeCell ref="H99:I99"/>
    <mergeCell ref="J99:K99"/>
    <mergeCell ref="J95:K95"/>
    <mergeCell ref="D97:E97"/>
    <mergeCell ref="F97:G97"/>
    <mergeCell ref="B121:C121"/>
    <mergeCell ref="B94:C94"/>
    <mergeCell ref="B93:C93"/>
    <mergeCell ref="J124:K124"/>
    <mergeCell ref="B98:C98"/>
    <mergeCell ref="B102:C102"/>
    <mergeCell ref="B109:C109"/>
    <mergeCell ref="J102:K102"/>
    <mergeCell ref="B99:C99"/>
    <mergeCell ref="B120:C120"/>
    <mergeCell ref="D122:E122"/>
    <mergeCell ref="J92:K92"/>
    <mergeCell ref="F94:G94"/>
    <mergeCell ref="D93:E93"/>
    <mergeCell ref="L92:M92"/>
    <mergeCell ref="L94:M94"/>
    <mergeCell ref="H93:I93"/>
    <mergeCell ref="J93:K93"/>
    <mergeCell ref="D90:E90"/>
    <mergeCell ref="F90:G90"/>
    <mergeCell ref="H90:I90"/>
    <mergeCell ref="J90:K90"/>
    <mergeCell ref="F93:G93"/>
    <mergeCell ref="F91:G91"/>
    <mergeCell ref="H91:I91"/>
    <mergeCell ref="N89:O89"/>
    <mergeCell ref="F89:G89"/>
    <mergeCell ref="D94:E94"/>
    <mergeCell ref="B86:C86"/>
    <mergeCell ref="D86:E86"/>
    <mergeCell ref="F86:G86"/>
    <mergeCell ref="H86:I86"/>
    <mergeCell ref="B92:C92"/>
    <mergeCell ref="T87:U87"/>
    <mergeCell ref="T92:U92"/>
    <mergeCell ref="L85:M85"/>
    <mergeCell ref="L86:M86"/>
    <mergeCell ref="L90:M90"/>
    <mergeCell ref="J91:K91"/>
    <mergeCell ref="L91:M91"/>
    <mergeCell ref="J87:K87"/>
    <mergeCell ref="L87:M87"/>
    <mergeCell ref="F88:G88"/>
    <mergeCell ref="H88:I88"/>
    <mergeCell ref="J88:K88"/>
    <mergeCell ref="D89:E89"/>
    <mergeCell ref="H89:I89"/>
    <mergeCell ref="J89:K89"/>
    <mergeCell ref="L89:M89"/>
    <mergeCell ref="N87:O87"/>
    <mergeCell ref="P87:Q87"/>
    <mergeCell ref="R87:S87"/>
    <mergeCell ref="B88:C88"/>
    <mergeCell ref="B89:C89"/>
    <mergeCell ref="B90:C90"/>
    <mergeCell ref="B91:C91"/>
    <mergeCell ref="D91:E91"/>
    <mergeCell ref="D88:E88"/>
    <mergeCell ref="L88:M88"/>
    <mergeCell ref="N88:O88"/>
    <mergeCell ref="V87:W87"/>
    <mergeCell ref="T93:U93"/>
    <mergeCell ref="V92:W92"/>
    <mergeCell ref="N91:O91"/>
    <mergeCell ref="P91:Q91"/>
    <mergeCell ref="R91:S91"/>
    <mergeCell ref="T91:U91"/>
    <mergeCell ref="V91:W91"/>
    <mergeCell ref="T90:U90"/>
    <mergeCell ref="P92:Q92"/>
    <mergeCell ref="Z86:AA86"/>
    <mergeCell ref="X86:Y86"/>
    <mergeCell ref="F84:G84"/>
    <mergeCell ref="H84:I84"/>
    <mergeCell ref="B71:C71"/>
    <mergeCell ref="I71:J71"/>
    <mergeCell ref="P71:Q71"/>
    <mergeCell ref="W71:X71"/>
    <mergeCell ref="H85:I85"/>
    <mergeCell ref="D85:E85"/>
    <mergeCell ref="F85:G85"/>
    <mergeCell ref="J86:K86"/>
    <mergeCell ref="N85:O85"/>
    <mergeCell ref="P85:Q85"/>
    <mergeCell ref="B85:C85"/>
    <mergeCell ref="V86:W86"/>
    <mergeCell ref="Z90:AA90"/>
    <mergeCell ref="P89:Q89"/>
    <mergeCell ref="R92:S92"/>
    <mergeCell ref="Z91:AA91"/>
    <mergeCell ref="X91:Y91"/>
    <mergeCell ref="V89:W89"/>
    <mergeCell ref="B171:C171"/>
    <mergeCell ref="D171:E171"/>
    <mergeCell ref="F171:G171"/>
    <mergeCell ref="H171:I171"/>
    <mergeCell ref="J171:K171"/>
    <mergeCell ref="L171:M171"/>
    <mergeCell ref="N171:O171"/>
    <mergeCell ref="X87:Y87"/>
    <mergeCell ref="Z87:AA87"/>
    <mergeCell ref="B123:C123"/>
    <mergeCell ref="D123:E123"/>
    <mergeCell ref="F123:G123"/>
    <mergeCell ref="H123:I123"/>
    <mergeCell ref="J123:K123"/>
    <mergeCell ref="L123:M123"/>
    <mergeCell ref="N123:O123"/>
    <mergeCell ref="X98:Y98"/>
    <mergeCell ref="Z98:AA98"/>
    <mergeCell ref="V90:W90"/>
    <mergeCell ref="T122:U122"/>
    <mergeCell ref="Z88:AA88"/>
    <mergeCell ref="T97:U97"/>
    <mergeCell ref="V94:W94"/>
    <mergeCell ref="V96:W96"/>
    <mergeCell ref="L163:M163"/>
    <mergeCell ref="N163:O163"/>
    <mergeCell ref="P163:Q163"/>
    <mergeCell ref="R163:S163"/>
    <mergeCell ref="X89:Y89"/>
    <mergeCell ref="Z89:AA89"/>
    <mergeCell ref="V88:W88"/>
    <mergeCell ref="X88:Y88"/>
    <mergeCell ref="A6:F6"/>
    <mergeCell ref="H6:M6"/>
    <mergeCell ref="K26:M26"/>
    <mergeCell ref="K27:M27"/>
    <mergeCell ref="K28:M28"/>
    <mergeCell ref="K29:M29"/>
    <mergeCell ref="O6:T6"/>
    <mergeCell ref="V6:AA6"/>
    <mergeCell ref="T85:U85"/>
    <mergeCell ref="V85:W85"/>
    <mergeCell ref="J85:K85"/>
    <mergeCell ref="J84:K84"/>
    <mergeCell ref="K68:M68"/>
    <mergeCell ref="D66:F66"/>
    <mergeCell ref="K66:M66"/>
    <mergeCell ref="D65:F65"/>
    <mergeCell ref="A82:B82"/>
    <mergeCell ref="A44:F44"/>
    <mergeCell ref="R26:T26"/>
    <mergeCell ref="R27:T27"/>
    <mergeCell ref="R28:T28"/>
    <mergeCell ref="R64:T64"/>
    <mergeCell ref="R65:T65"/>
    <mergeCell ref="B84:C84"/>
    <mergeCell ref="K30:M30"/>
    <mergeCell ref="K31:M31"/>
    <mergeCell ref="Y30:AA30"/>
    <mergeCell ref="N84:O84"/>
    <mergeCell ref="D30:F30"/>
    <mergeCell ref="D31:F31"/>
    <mergeCell ref="Y31:AA31"/>
    <mergeCell ref="Z84:AA84"/>
    <mergeCell ref="A4:B4"/>
    <mergeCell ref="B156:C156"/>
    <mergeCell ref="D156:E156"/>
    <mergeCell ref="F156:G156"/>
    <mergeCell ref="H156:I156"/>
    <mergeCell ref="J156:K156"/>
    <mergeCell ref="L156:M156"/>
    <mergeCell ref="N156:O156"/>
    <mergeCell ref="X90:Y90"/>
    <mergeCell ref="C4:D4"/>
    <mergeCell ref="C82:D82"/>
    <mergeCell ref="D69:F69"/>
    <mergeCell ref="K69:M69"/>
    <mergeCell ref="R68:T68"/>
    <mergeCell ref="R67:T67"/>
    <mergeCell ref="D67:F67"/>
    <mergeCell ref="K67:M67"/>
    <mergeCell ref="D68:F68"/>
    <mergeCell ref="R69:T69"/>
    <mergeCell ref="H44:M44"/>
    <mergeCell ref="Y27:AA27"/>
    <mergeCell ref="Y28:AA28"/>
    <mergeCell ref="Y29:AA29"/>
    <mergeCell ref="R29:T29"/>
    <mergeCell ref="X92:Y92"/>
    <mergeCell ref="Z92:AA92"/>
    <mergeCell ref="V93:W93"/>
    <mergeCell ref="P88:Q88"/>
    <mergeCell ref="R88:S88"/>
    <mergeCell ref="T88:U88"/>
    <mergeCell ref="R89:S89"/>
    <mergeCell ref="T89:U89"/>
    <mergeCell ref="L194:M194"/>
    <mergeCell ref="N194:O194"/>
    <mergeCell ref="R192:S192"/>
    <mergeCell ref="T192:U192"/>
    <mergeCell ref="R194:S194"/>
    <mergeCell ref="F195:G195"/>
    <mergeCell ref="B173:C173"/>
    <mergeCell ref="D173:E173"/>
    <mergeCell ref="F173:G173"/>
    <mergeCell ref="H173:I173"/>
    <mergeCell ref="J173:K173"/>
    <mergeCell ref="L173:M173"/>
    <mergeCell ref="N173:O173"/>
    <mergeCell ref="P173:Q173"/>
    <mergeCell ref="R173:S173"/>
    <mergeCell ref="P192:Q192"/>
    <mergeCell ref="B192:C192"/>
    <mergeCell ref="D192:E192"/>
    <mergeCell ref="F192:G192"/>
    <mergeCell ref="H192:I192"/>
    <mergeCell ref="H195:I195"/>
    <mergeCell ref="J195:K195"/>
    <mergeCell ref="L195:M195"/>
    <mergeCell ref="N195:O195"/>
    <mergeCell ref="T174:U174"/>
    <mergeCell ref="B200:C200"/>
    <mergeCell ref="D200:E200"/>
    <mergeCell ref="F200:G200"/>
    <mergeCell ref="H200:I200"/>
    <mergeCell ref="J200:K200"/>
    <mergeCell ref="L200:M200"/>
    <mergeCell ref="N200:O200"/>
    <mergeCell ref="B198:C198"/>
    <mergeCell ref="D198:E198"/>
    <mergeCell ref="F198:G198"/>
    <mergeCell ref="H198:I198"/>
    <mergeCell ref="J198:K198"/>
    <mergeCell ref="L198:M198"/>
    <mergeCell ref="N198:O198"/>
    <mergeCell ref="B199:C199"/>
    <mergeCell ref="Z200:AA200"/>
    <mergeCell ref="Z198:AA198"/>
    <mergeCell ref="T200:U200"/>
    <mergeCell ref="V200:W200"/>
    <mergeCell ref="P200:Q200"/>
    <mergeCell ref="R200:S200"/>
    <mergeCell ref="R198:S198"/>
    <mergeCell ref="T198:U198"/>
    <mergeCell ref="V198:W198"/>
    <mergeCell ref="X198:Y198"/>
    <mergeCell ref="Z199:AA199"/>
    <mergeCell ref="P198:Q198"/>
    <mergeCell ref="Z202:AA202"/>
    <mergeCell ref="Z201:AA201"/>
    <mergeCell ref="B202:C202"/>
    <mergeCell ref="D202:E202"/>
    <mergeCell ref="F202:G202"/>
    <mergeCell ref="H202:I202"/>
    <mergeCell ref="J202:K202"/>
    <mergeCell ref="L202:M202"/>
    <mergeCell ref="N202:O202"/>
    <mergeCell ref="B201:C201"/>
    <mergeCell ref="D201:E201"/>
    <mergeCell ref="F201:G201"/>
    <mergeCell ref="H201:I201"/>
    <mergeCell ref="T202:U202"/>
    <mergeCell ref="V202:W202"/>
    <mergeCell ref="P202:Q202"/>
    <mergeCell ref="R202:S202"/>
    <mergeCell ref="R201:S201"/>
    <mergeCell ref="T201:U201"/>
    <mergeCell ref="V201:W201"/>
    <mergeCell ref="X201:Y201"/>
    <mergeCell ref="J201:K201"/>
    <mergeCell ref="L201:M201"/>
    <mergeCell ref="N201:O201"/>
    <mergeCell ref="P201:Q201"/>
    <mergeCell ref="B204:C204"/>
    <mergeCell ref="D204:E204"/>
    <mergeCell ref="F204:G204"/>
    <mergeCell ref="H204:I204"/>
    <mergeCell ref="J204:K204"/>
    <mergeCell ref="L204:M204"/>
    <mergeCell ref="N204:O204"/>
    <mergeCell ref="B203:C203"/>
    <mergeCell ref="D203:E203"/>
    <mergeCell ref="F203:G203"/>
    <mergeCell ref="H203:I203"/>
    <mergeCell ref="J203:K203"/>
    <mergeCell ref="L203:M203"/>
    <mergeCell ref="V206:W206"/>
    <mergeCell ref="Z204:AA204"/>
    <mergeCell ref="Z203:AA203"/>
    <mergeCell ref="T204:U204"/>
    <mergeCell ref="V204:W204"/>
    <mergeCell ref="P204:Q204"/>
    <mergeCell ref="R204:S204"/>
    <mergeCell ref="R203:S203"/>
    <mergeCell ref="T203:U203"/>
    <mergeCell ref="V203:W203"/>
    <mergeCell ref="X207:Y207"/>
    <mergeCell ref="Z206:AA206"/>
    <mergeCell ref="B206:C206"/>
    <mergeCell ref="D206:E206"/>
    <mergeCell ref="F206:G206"/>
    <mergeCell ref="H206:I206"/>
    <mergeCell ref="B205:C205"/>
    <mergeCell ref="D205:E205"/>
    <mergeCell ref="F205:G205"/>
    <mergeCell ref="H205:I205"/>
    <mergeCell ref="Z205:AA205"/>
    <mergeCell ref="J205:K205"/>
    <mergeCell ref="V205:W205"/>
    <mergeCell ref="X205:Y205"/>
    <mergeCell ref="L205:M205"/>
    <mergeCell ref="N205:O205"/>
    <mergeCell ref="P205:Q205"/>
    <mergeCell ref="R205:S205"/>
    <mergeCell ref="T205:U205"/>
    <mergeCell ref="J206:K206"/>
    <mergeCell ref="L206:M206"/>
    <mergeCell ref="N206:O206"/>
    <mergeCell ref="P206:Q206"/>
    <mergeCell ref="R206:S206"/>
    <mergeCell ref="B207:C207"/>
    <mergeCell ref="D207:E207"/>
    <mergeCell ref="F207:G207"/>
    <mergeCell ref="H207:I207"/>
    <mergeCell ref="J207:K207"/>
    <mergeCell ref="L207:M207"/>
    <mergeCell ref="N207:O207"/>
    <mergeCell ref="V207:W207"/>
    <mergeCell ref="P207:Q207"/>
    <mergeCell ref="R207:S207"/>
    <mergeCell ref="T207:U207"/>
    <mergeCell ref="Y26:AA26"/>
    <mergeCell ref="D26:F26"/>
    <mergeCell ref="D27:F27"/>
    <mergeCell ref="D28:F28"/>
    <mergeCell ref="D29:F29"/>
    <mergeCell ref="Z158:AA158"/>
    <mergeCell ref="B194:C194"/>
    <mergeCell ref="D194:E194"/>
    <mergeCell ref="F194:G194"/>
    <mergeCell ref="H194:I194"/>
    <mergeCell ref="J194:K194"/>
    <mergeCell ref="N86:O86"/>
    <mergeCell ref="P86:Q86"/>
    <mergeCell ref="L122:M122"/>
    <mergeCell ref="N122:O122"/>
    <mergeCell ref="P122:Q122"/>
    <mergeCell ref="R122:S122"/>
    <mergeCell ref="R86:S86"/>
    <mergeCell ref="T86:U86"/>
    <mergeCell ref="N90:O90"/>
    <mergeCell ref="P90:Q90"/>
    <mergeCell ref="R90:S90"/>
    <mergeCell ref="N92:O92"/>
    <mergeCell ref="T193:U193"/>
    <mergeCell ref="B163:C163"/>
    <mergeCell ref="D163:E163"/>
    <mergeCell ref="F163:G163"/>
    <mergeCell ref="H163:I163"/>
    <mergeCell ref="J163:K163"/>
    <mergeCell ref="X197:Y197"/>
    <mergeCell ref="Z197:AA197"/>
    <mergeCell ref="Z196:AA196"/>
    <mergeCell ref="B197:C197"/>
    <mergeCell ref="D197:E197"/>
    <mergeCell ref="R196:S196"/>
    <mergeCell ref="T196:U196"/>
    <mergeCell ref="V196:W196"/>
    <mergeCell ref="T197:U197"/>
    <mergeCell ref="V197:W197"/>
    <mergeCell ref="R197:S197"/>
    <mergeCell ref="X196:Y196"/>
    <mergeCell ref="P197:Q197"/>
    <mergeCell ref="F197:G197"/>
    <mergeCell ref="H197:I197"/>
    <mergeCell ref="J197:K197"/>
    <mergeCell ref="L197:M197"/>
    <mergeCell ref="N197:O197"/>
    <mergeCell ref="B196:C196"/>
    <mergeCell ref="D196:E196"/>
    <mergeCell ref="F196:G196"/>
    <mergeCell ref="H196:I196"/>
    <mergeCell ref="J196:K196"/>
    <mergeCell ref="L196:M196"/>
    <mergeCell ref="N196:O196"/>
    <mergeCell ref="P196:Q196"/>
    <mergeCell ref="R171:S171"/>
    <mergeCell ref="T173:U173"/>
    <mergeCell ref="V173:W173"/>
    <mergeCell ref="X171:Y171"/>
    <mergeCell ref="Z171:AA171"/>
    <mergeCell ref="V121:W121"/>
    <mergeCell ref="Z163:AA163"/>
    <mergeCell ref="P123:Q123"/>
    <mergeCell ref="R123:S123"/>
    <mergeCell ref="T123:U123"/>
    <mergeCell ref="T134:U134"/>
    <mergeCell ref="R125:S125"/>
    <mergeCell ref="R124:S124"/>
    <mergeCell ref="T124:U124"/>
    <mergeCell ref="T121:U121"/>
    <mergeCell ref="P164:Q164"/>
    <mergeCell ref="R156:S156"/>
    <mergeCell ref="R135:S135"/>
    <mergeCell ref="Z161:AA161"/>
    <mergeCell ref="V130:W130"/>
    <mergeCell ref="V137:W137"/>
    <mergeCell ref="X137:Y137"/>
    <mergeCell ref="Z137:AA137"/>
    <mergeCell ref="T129:U129"/>
    <mergeCell ref="T130:U130"/>
    <mergeCell ref="T131:U131"/>
    <mergeCell ref="P133:Q133"/>
    <mergeCell ref="P129:Q129"/>
    <mergeCell ref="P159:Q159"/>
    <mergeCell ref="R129:S129"/>
    <mergeCell ref="Z133:AA133"/>
    <mergeCell ref="V135:W135"/>
    <mergeCell ref="V97:W97"/>
    <mergeCell ref="V98:W98"/>
    <mergeCell ref="V123:W123"/>
    <mergeCell ref="X123:Y123"/>
    <mergeCell ref="Z123:AA123"/>
    <mergeCell ref="L192:M192"/>
    <mergeCell ref="N192:O192"/>
    <mergeCell ref="H126:I126"/>
    <mergeCell ref="J126:K126"/>
    <mergeCell ref="L126:M126"/>
    <mergeCell ref="N126:O126"/>
    <mergeCell ref="P126:Q126"/>
    <mergeCell ref="R126:S126"/>
    <mergeCell ref="T126:U126"/>
    <mergeCell ref="V126:W126"/>
    <mergeCell ref="X126:Y126"/>
    <mergeCell ref="Z159:AA159"/>
    <mergeCell ref="H124:I124"/>
    <mergeCell ref="J128:K128"/>
    <mergeCell ref="L160:M160"/>
    <mergeCell ref="N160:O160"/>
    <mergeCell ref="P160:Q160"/>
    <mergeCell ref="N161:O161"/>
    <mergeCell ref="X192:Y192"/>
    <mergeCell ref="Z101:AA101"/>
    <mergeCell ref="H137:I137"/>
    <mergeCell ref="J137:K137"/>
    <mergeCell ref="L137:M137"/>
    <mergeCell ref="N137:O137"/>
    <mergeCell ref="P137:Q137"/>
    <mergeCell ref="R137:S137"/>
    <mergeCell ref="T137:U137"/>
    <mergeCell ref="R159:S159"/>
    <mergeCell ref="X163:Y163"/>
    <mergeCell ref="Z173:AA173"/>
    <mergeCell ref="X193:Y193"/>
    <mergeCell ref="X194:Y194"/>
    <mergeCell ref="Z193:AA193"/>
    <mergeCell ref="Z192:AA192"/>
    <mergeCell ref="B193:C193"/>
    <mergeCell ref="Z194:AA194"/>
    <mergeCell ref="T194:U194"/>
    <mergeCell ref="V194:W194"/>
    <mergeCell ref="P194:Q194"/>
    <mergeCell ref="B195:C195"/>
    <mergeCell ref="D195:E195"/>
    <mergeCell ref="V192:W192"/>
    <mergeCell ref="J192:K192"/>
    <mergeCell ref="D193:E193"/>
    <mergeCell ref="F193:G193"/>
    <mergeCell ref="H193:I193"/>
    <mergeCell ref="J193:K193"/>
    <mergeCell ref="L193:M193"/>
    <mergeCell ref="N193:O193"/>
    <mergeCell ref="V193:W193"/>
    <mergeCell ref="P193:Q193"/>
    <mergeCell ref="R193:S193"/>
    <mergeCell ref="P195:Q195"/>
    <mergeCell ref="R195:S195"/>
    <mergeCell ref="T195:U195"/>
    <mergeCell ref="V195:W195"/>
    <mergeCell ref="T171:U171"/>
    <mergeCell ref="V171:W171"/>
    <mergeCell ref="P171:Q171"/>
    <mergeCell ref="B209:C209"/>
    <mergeCell ref="D209:E209"/>
    <mergeCell ref="F209:G209"/>
    <mergeCell ref="H209:I209"/>
    <mergeCell ref="J209:K209"/>
    <mergeCell ref="L209:M209"/>
    <mergeCell ref="N209:O209"/>
    <mergeCell ref="P209:Q209"/>
    <mergeCell ref="R209:S209"/>
    <mergeCell ref="T209:U209"/>
    <mergeCell ref="V209:W209"/>
    <mergeCell ref="X209:Y209"/>
    <mergeCell ref="Z209:AA209"/>
    <mergeCell ref="D199:E199"/>
    <mergeCell ref="F199:G199"/>
    <mergeCell ref="H199:I199"/>
    <mergeCell ref="J199:K199"/>
    <mergeCell ref="L199:M199"/>
    <mergeCell ref="N199:O199"/>
    <mergeCell ref="P199:Q199"/>
    <mergeCell ref="R199:S199"/>
    <mergeCell ref="T199:U199"/>
    <mergeCell ref="V199:W199"/>
    <mergeCell ref="X206:Y206"/>
    <mergeCell ref="T206:U206"/>
    <mergeCell ref="X203:Y203"/>
    <mergeCell ref="N203:O203"/>
    <mergeCell ref="P203:Q203"/>
    <mergeCell ref="X204:Y204"/>
    <mergeCell ref="X202:Y202"/>
    <mergeCell ref="X200:Y200"/>
    <mergeCell ref="X199:Y199"/>
    <mergeCell ref="Z207:AA207"/>
    <mergeCell ref="I33:J33"/>
    <mergeCell ref="W33:X33"/>
    <mergeCell ref="T133:U133"/>
    <mergeCell ref="R133:S133"/>
    <mergeCell ref="X173:Y173"/>
    <mergeCell ref="B33:C33"/>
    <mergeCell ref="P33:Q33"/>
    <mergeCell ref="B101:C101"/>
    <mergeCell ref="D101:E101"/>
    <mergeCell ref="F101:G101"/>
    <mergeCell ref="H101:I101"/>
    <mergeCell ref="J101:K101"/>
    <mergeCell ref="L101:M101"/>
    <mergeCell ref="N101:O101"/>
    <mergeCell ref="P101:Q101"/>
    <mergeCell ref="R101:S101"/>
    <mergeCell ref="T101:U101"/>
    <mergeCell ref="V101:W101"/>
    <mergeCell ref="X101:Y101"/>
    <mergeCell ref="X159:Y159"/>
    <mergeCell ref="B87:C87"/>
    <mergeCell ref="D87:E87"/>
    <mergeCell ref="F87:G87"/>
    <mergeCell ref="H87:I87"/>
    <mergeCell ref="X195:Y195"/>
    <mergeCell ref="Z195:AA195"/>
    <mergeCell ref="B159:C159"/>
    <mergeCell ref="D159:E159"/>
    <mergeCell ref="F159:G159"/>
    <mergeCell ref="H159:I159"/>
    <mergeCell ref="J159:K159"/>
  </mergeCells>
  <phoneticPr fontId="17"/>
  <dataValidations disablePrompts="1" count="6">
    <dataValidation type="list" allowBlank="1" showInputMessage="1" showErrorMessage="1" error="調書シートで追加（又は修正）した後、再度選択してくだい。" sqref="B85:AB85 B157:AB157 B121:AB121 B193:AB193" xr:uid="{00000000-0002-0000-0700-000000000000}">
      <formula1>内部名称</formula1>
    </dataValidation>
    <dataValidation type="list" allowBlank="1" showInputMessage="1" showErrorMessage="1" error="調書シートで追加（又は修正）した後、再度選択してくだい。" sqref="D26 K64 R64 Y64 D64 K26 R26 Y26" xr:uid="{00000000-0002-0000-0700-000001000000}">
      <formula1>間仕切名称</formula1>
    </dataValidation>
    <dataValidation type="list" allowBlank="1" showInputMessage="1" showErrorMessage="1" sqref="B158:AB159 B86:AB87 B122:AB123 B194:AB195" xr:uid="{00000000-0002-0000-0700-000002000000}">
      <formula1>断熱名称</formula1>
    </dataValidation>
    <dataValidation imeMode="off" allowBlank="1" showInputMessage="1" showErrorMessage="1" sqref="A8:B25 D8:E25 H8:I25 K8:L25 O8:P25 V8:W25 R8:S25 Y8:Z25 D28:F28 D30:F30 B160:AB170 K30:M30 K28:M28 R30:T30 R28:T28 Y30:AB31 A46:B63 D46:E63 H46:I63 K46:L63 O46:P63 R46:S63 V46:W63 Y46:Z63 K66:M66 R66:T66 Y66:AB66 Y28:AB28 Y68:AB69 R68:T68 K68:M68 D68:F68 D66:F66 B124:AB134 B88:AB98 B196:AB206" xr:uid="{00000000-0002-0000-0700-000003000000}"/>
    <dataValidation type="list" allowBlank="1" showInputMessage="1" sqref="Z103:Z108 Z139:Z144 Z175:Z180 X103:X108 V103:V108 T103:T108 R103:R108 P103:P108 N103:N108 L103:L108 J103:J108 H103:H108 F103:F108 D103:D108 B103:B108 X139:X144 V139:V144 T139:T144 R139:R144 P139:P144 N139:N144 L139:L144 J139:J144 H139:H144 F139:F144 D139:D144 B139:B144 X175:X180 V175:V180 T175:T180 R175:R180 P175:P180 N175:N180 L175:L180 J175:J180 H175:H180 F175:F180 D175:D180 B175:B180 V211:V216 T211:T216 R211:R216 P211:P216 N211:N216 L211:L216 J211:J216 H211:H216 F211:F216 D211:D216 B211:B216 Z211:Z216 X211:X216" xr:uid="{00000000-0002-0000-0700-000004000000}">
      <formula1>外部開口</formula1>
    </dataValidation>
    <dataValidation type="list" allowBlank="1" showInputMessage="1" sqref="B110:B115 B34:B39 W34:W39 I34:I39 P34:P39 P72:P77 I72:I77 B72:B77 W72:W77 B146:B151 B182:B187 Z110:Z115 X110:X115 V110:V115 T110:T115 R110:R115 P110:P115 N110:N115 L110:L115 J110:J115 H110:H115 F110:F115 D110:D115 Z146:Z151 X146:X151 V146:V151 T146:T151 R146:R151 P146:P151 N146:N151 L146:L151 J146:J151 H146:H151 F146:F151 D146:D151 Z182:Z187 X182:X187 V182:V187 T182:T187 R182:R187 P182:P187 N182:N187 L182:L187 J182:J187 H182:H187 F182:F187 D182:D187 X218:X223 V218:V223 T218:T223 R218:R223 P218:P223 N218:N223 L218:L223 J218:J223 H218:H223 F218:F223 D218:D223 B218:B223 Z218:Z223" xr:uid="{00000000-0002-0000-0700-000005000000}">
      <formula1>内部開口</formula1>
    </dataValidation>
  </dataValidations>
  <pageMargins left="0.9" right="0.39" top="0.35" bottom="0.39" header="0.26" footer="0.19"/>
  <pageSetup paperSize="9" scale="24" orientation="landscape" r:id="rId2"/>
  <headerFooter alignWithMargins="0">
    <oddFooter>&amp;R&amp;"ＭＳ ゴシック,標準"&amp;D　&amp;T</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X100"/>
  <sheetViews>
    <sheetView showGridLines="0" zoomScaleNormal="100" workbookViewId="0">
      <pane xSplit="2" ySplit="5" topLeftCell="C6" activePane="bottomRight" state="frozen"/>
      <selection activeCell="A2" sqref="A2:F2"/>
      <selection pane="topRight" activeCell="A2" sqref="A2:F2"/>
      <selection pane="bottomLeft" activeCell="A2" sqref="A2:F2"/>
      <selection pane="bottomRight" activeCell="M16" sqref="M16"/>
    </sheetView>
  </sheetViews>
  <sheetFormatPr defaultColWidth="12" defaultRowHeight="15" customHeight="1"/>
  <cols>
    <col min="1" max="1" width="6" style="205" bestFit="1" customWidth="1"/>
    <col min="2" max="2" width="21" style="205" customWidth="1"/>
    <col min="3" max="3" width="10.6640625" style="205" customWidth="1"/>
    <col min="4" max="4" width="4" style="205" bestFit="1" customWidth="1"/>
    <col min="5" max="5" width="10.6640625" style="205" customWidth="1"/>
    <col min="6" max="6" width="4" style="205" bestFit="1" customWidth="1"/>
    <col min="7" max="7" width="11" style="205" customWidth="1"/>
    <col min="8" max="8" width="4.33203125" style="205" customWidth="1"/>
    <col min="9" max="9" width="11" style="205" customWidth="1"/>
    <col min="10" max="14" width="8" style="205" customWidth="1"/>
    <col min="15" max="15" width="21" style="205" customWidth="1"/>
    <col min="16" max="16" width="18.109375" style="205" customWidth="1"/>
    <col min="17" max="17" width="19.33203125" style="205" customWidth="1"/>
    <col min="18" max="19" width="10.77734375" style="205" customWidth="1"/>
    <col min="20" max="20" width="14.77734375" style="205" customWidth="1"/>
    <col min="21" max="22" width="10.77734375" style="205" customWidth="1"/>
    <col min="23" max="23" width="5.6640625" bestFit="1" customWidth="1"/>
    <col min="24" max="24" width="12.33203125" style="198" bestFit="1" customWidth="1"/>
    <col min="25" max="16384" width="12" style="205"/>
  </cols>
  <sheetData>
    <row r="1" spans="1:24" ht="15" customHeight="1">
      <c r="A1" s="2083"/>
    </row>
    <row r="2" spans="1:24" ht="15" customHeight="1">
      <c r="A2" s="197" t="s">
        <v>542</v>
      </c>
      <c r="X2" s="198" t="b">
        <v>1</v>
      </c>
    </row>
    <row r="3" spans="1:24" ht="15" customHeight="1" thickBot="1">
      <c r="A3" s="197"/>
      <c r="P3" s="2086" t="s">
        <v>5734</v>
      </c>
      <c r="X3" s="198" t="b">
        <v>1</v>
      </c>
    </row>
    <row r="4" spans="1:24" ht="15" customHeight="1">
      <c r="A4" s="3140" t="s">
        <v>543</v>
      </c>
      <c r="B4" s="3140" t="s">
        <v>544</v>
      </c>
      <c r="C4" s="1746" t="s">
        <v>962</v>
      </c>
      <c r="D4" s="1746"/>
      <c r="E4" s="1746"/>
      <c r="F4" s="1746"/>
      <c r="G4" s="1746"/>
      <c r="H4" s="3145" t="s">
        <v>963</v>
      </c>
      <c r="I4" s="3143" t="s">
        <v>964</v>
      </c>
      <c r="J4" s="1748" t="s">
        <v>5545</v>
      </c>
      <c r="K4" s="1749"/>
      <c r="L4" s="1749"/>
      <c r="M4" s="1749"/>
      <c r="N4" s="1750"/>
      <c r="O4" s="3138" t="s">
        <v>544</v>
      </c>
      <c r="P4" s="1755" t="s">
        <v>473</v>
      </c>
      <c r="Q4" s="1749"/>
      <c r="R4" s="1749"/>
      <c r="S4" s="1749"/>
      <c r="T4" s="1749"/>
      <c r="U4" s="1749"/>
      <c r="V4" s="1750"/>
      <c r="W4" s="3129" t="s">
        <v>5812</v>
      </c>
      <c r="X4" s="198" t="b">
        <v>1</v>
      </c>
    </row>
    <row r="5" spans="1:24" ht="15" customHeight="1">
      <c r="A5" s="3142"/>
      <c r="B5" s="3141"/>
      <c r="C5" s="1747" t="s">
        <v>474</v>
      </c>
      <c r="D5" s="1747"/>
      <c r="E5" s="1747" t="s">
        <v>475</v>
      </c>
      <c r="F5" s="1747"/>
      <c r="G5" s="1747" t="s">
        <v>476</v>
      </c>
      <c r="H5" s="3141"/>
      <c r="I5" s="3144"/>
      <c r="J5" s="1751" t="s">
        <v>477</v>
      </c>
      <c r="K5" s="2149" t="s">
        <v>478</v>
      </c>
      <c r="L5" s="1753" t="s">
        <v>479</v>
      </c>
      <c r="M5" s="1752" t="s">
        <v>1145</v>
      </c>
      <c r="N5" s="1754" t="s">
        <v>480</v>
      </c>
      <c r="O5" s="3139"/>
      <c r="P5" s="1756" t="s">
        <v>481</v>
      </c>
      <c r="Q5" s="1757" t="s">
        <v>482</v>
      </c>
      <c r="R5" s="1758" t="s">
        <v>1515</v>
      </c>
      <c r="S5" s="1759"/>
      <c r="T5" s="1757" t="s">
        <v>483</v>
      </c>
      <c r="U5" s="1758" t="s">
        <v>1516</v>
      </c>
      <c r="V5" s="1760"/>
      <c r="W5" s="3129"/>
      <c r="X5" s="198" t="b">
        <v>1</v>
      </c>
    </row>
    <row r="6" spans="1:24" ht="15" customHeight="1">
      <c r="A6" s="206" t="s">
        <v>484</v>
      </c>
      <c r="B6" s="1997"/>
      <c r="C6" s="1709"/>
      <c r="D6" s="207" t="s">
        <v>857</v>
      </c>
      <c r="E6" s="1709"/>
      <c r="F6" s="207" t="s">
        <v>485</v>
      </c>
      <c r="G6" s="176">
        <f t="shared" ref="G6:G19" si="0">ROUNDDOWN(C6*E6,2)</f>
        <v>0</v>
      </c>
      <c r="H6" s="1995">
        <v>1</v>
      </c>
      <c r="I6" s="872">
        <f t="shared" ref="I6:I37" si="1">G6*H6</f>
        <v>0</v>
      </c>
      <c r="J6" s="208"/>
      <c r="K6" s="2150"/>
      <c r="L6" s="208"/>
      <c r="M6" s="208"/>
      <c r="N6" s="209"/>
      <c r="O6" s="728">
        <f t="shared" ref="O6:O37" si="2">B6</f>
        <v>0</v>
      </c>
      <c r="P6" s="732"/>
      <c r="Q6" s="210"/>
      <c r="R6" s="780"/>
      <c r="S6" s="788"/>
      <c r="T6" s="210"/>
      <c r="U6" s="780"/>
      <c r="V6" s="781"/>
      <c r="W6" s="2200"/>
      <c r="X6" s="198" t="b">
        <f t="shared" ref="X6:X37" si="3">G6&lt;&gt;0</f>
        <v>0</v>
      </c>
    </row>
    <row r="7" spans="1:24" ht="15" customHeight="1">
      <c r="A7" s="211"/>
      <c r="B7" s="1998"/>
      <c r="C7" s="1709"/>
      <c r="D7" s="207" t="s">
        <v>857</v>
      </c>
      <c r="E7" s="1709"/>
      <c r="F7" s="207" t="s">
        <v>485</v>
      </c>
      <c r="G7" s="176">
        <f t="shared" si="0"/>
        <v>0</v>
      </c>
      <c r="H7" s="1995">
        <v>1</v>
      </c>
      <c r="I7" s="873">
        <f t="shared" si="1"/>
        <v>0</v>
      </c>
      <c r="J7" s="212"/>
      <c r="K7" s="2151"/>
      <c r="L7" s="212"/>
      <c r="M7" s="212"/>
      <c r="N7" s="213"/>
      <c r="O7" s="729">
        <f t="shared" si="2"/>
        <v>0</v>
      </c>
      <c r="P7" s="732"/>
      <c r="Q7" s="210"/>
      <c r="R7" s="782"/>
      <c r="S7" s="789"/>
      <c r="T7" s="210"/>
      <c r="U7" s="782"/>
      <c r="V7" s="783"/>
      <c r="W7" s="2200"/>
      <c r="X7" s="198" t="b">
        <f t="shared" si="3"/>
        <v>0</v>
      </c>
    </row>
    <row r="8" spans="1:24" ht="15" customHeight="1">
      <c r="A8" s="211"/>
      <c r="B8" s="1998"/>
      <c r="C8" s="1709"/>
      <c r="D8" s="207" t="s">
        <v>857</v>
      </c>
      <c r="E8" s="1709"/>
      <c r="F8" s="207" t="s">
        <v>485</v>
      </c>
      <c r="G8" s="176">
        <f t="shared" si="0"/>
        <v>0</v>
      </c>
      <c r="H8" s="1995">
        <v>1</v>
      </c>
      <c r="I8" s="873">
        <f t="shared" si="1"/>
        <v>0</v>
      </c>
      <c r="J8" s="212"/>
      <c r="K8" s="2151"/>
      <c r="L8" s="212"/>
      <c r="M8" s="212"/>
      <c r="N8" s="213"/>
      <c r="O8" s="729">
        <f t="shared" si="2"/>
        <v>0</v>
      </c>
      <c r="P8" s="732"/>
      <c r="Q8" s="210"/>
      <c r="R8" s="782"/>
      <c r="S8" s="789"/>
      <c r="T8" s="210"/>
      <c r="U8" s="782"/>
      <c r="V8" s="783"/>
      <c r="W8" s="2200"/>
      <c r="X8" s="198" t="b">
        <f t="shared" si="3"/>
        <v>0</v>
      </c>
    </row>
    <row r="9" spans="1:24" ht="15" customHeight="1">
      <c r="A9" s="211"/>
      <c r="B9" s="1998"/>
      <c r="C9" s="1709"/>
      <c r="D9" s="207" t="s">
        <v>857</v>
      </c>
      <c r="E9" s="1709"/>
      <c r="F9" s="207" t="s">
        <v>485</v>
      </c>
      <c r="G9" s="176">
        <f t="shared" si="0"/>
        <v>0</v>
      </c>
      <c r="H9" s="1995">
        <v>1</v>
      </c>
      <c r="I9" s="873">
        <f t="shared" si="1"/>
        <v>0</v>
      </c>
      <c r="J9" s="212"/>
      <c r="K9" s="2151"/>
      <c r="L9" s="212"/>
      <c r="M9" s="212"/>
      <c r="N9" s="213"/>
      <c r="O9" s="729">
        <f t="shared" si="2"/>
        <v>0</v>
      </c>
      <c r="P9" s="732"/>
      <c r="Q9" s="210"/>
      <c r="R9" s="782"/>
      <c r="S9" s="789"/>
      <c r="T9" s="210"/>
      <c r="U9" s="782"/>
      <c r="V9" s="783"/>
      <c r="W9" s="2200"/>
      <c r="X9" s="198" t="b">
        <f t="shared" si="3"/>
        <v>0</v>
      </c>
    </row>
    <row r="10" spans="1:24" ht="15" customHeight="1">
      <c r="A10" s="211"/>
      <c r="B10" s="1998"/>
      <c r="C10" s="1709"/>
      <c r="D10" s="207" t="s">
        <v>857</v>
      </c>
      <c r="E10" s="1709"/>
      <c r="F10" s="207" t="s">
        <v>485</v>
      </c>
      <c r="G10" s="176">
        <f t="shared" si="0"/>
        <v>0</v>
      </c>
      <c r="H10" s="1995">
        <v>1</v>
      </c>
      <c r="I10" s="873">
        <f t="shared" si="1"/>
        <v>0</v>
      </c>
      <c r="J10" s="212"/>
      <c r="K10" s="2151"/>
      <c r="L10" s="212"/>
      <c r="M10" s="212"/>
      <c r="N10" s="213"/>
      <c r="O10" s="729">
        <f t="shared" si="2"/>
        <v>0</v>
      </c>
      <c r="P10" s="733"/>
      <c r="Q10" s="214"/>
      <c r="R10" s="784"/>
      <c r="S10" s="790"/>
      <c r="T10" s="214"/>
      <c r="U10" s="784"/>
      <c r="V10" s="785"/>
      <c r="W10" s="2200"/>
      <c r="X10" s="198" t="b">
        <f t="shared" si="3"/>
        <v>0</v>
      </c>
    </row>
    <row r="11" spans="1:24" ht="15" customHeight="1">
      <c r="A11" s="211"/>
      <c r="B11" s="1998"/>
      <c r="C11" s="1709"/>
      <c r="D11" s="207" t="s">
        <v>857</v>
      </c>
      <c r="E11" s="1709"/>
      <c r="F11" s="207" t="s">
        <v>485</v>
      </c>
      <c r="G11" s="176">
        <f t="shared" si="0"/>
        <v>0</v>
      </c>
      <c r="H11" s="1995">
        <v>1</v>
      </c>
      <c r="I11" s="873">
        <f t="shared" si="1"/>
        <v>0</v>
      </c>
      <c r="J11" s="212"/>
      <c r="K11" s="2151"/>
      <c r="L11" s="212"/>
      <c r="M11" s="212"/>
      <c r="N11" s="213"/>
      <c r="O11" s="729">
        <f t="shared" si="2"/>
        <v>0</v>
      </c>
      <c r="P11" s="733"/>
      <c r="Q11" s="214"/>
      <c r="R11" s="784"/>
      <c r="S11" s="790"/>
      <c r="T11" s="214"/>
      <c r="U11" s="784"/>
      <c r="V11" s="785"/>
      <c r="W11" s="2200"/>
      <c r="X11" s="198" t="b">
        <f t="shared" si="3"/>
        <v>0</v>
      </c>
    </row>
    <row r="12" spans="1:24" ht="15" customHeight="1">
      <c r="A12" s="211"/>
      <c r="B12" s="1998"/>
      <c r="C12" s="1709"/>
      <c r="D12" s="207" t="s">
        <v>857</v>
      </c>
      <c r="E12" s="1709"/>
      <c r="F12" s="207" t="s">
        <v>485</v>
      </c>
      <c r="G12" s="176">
        <f t="shared" si="0"/>
        <v>0</v>
      </c>
      <c r="H12" s="1995">
        <v>1</v>
      </c>
      <c r="I12" s="873">
        <f t="shared" si="1"/>
        <v>0</v>
      </c>
      <c r="J12" s="212"/>
      <c r="K12" s="2151"/>
      <c r="L12" s="212"/>
      <c r="M12" s="212"/>
      <c r="N12" s="213"/>
      <c r="O12" s="729">
        <f t="shared" si="2"/>
        <v>0</v>
      </c>
      <c r="P12" s="733"/>
      <c r="Q12" s="214"/>
      <c r="R12" s="784"/>
      <c r="S12" s="790"/>
      <c r="T12" s="214"/>
      <c r="U12" s="784"/>
      <c r="V12" s="785"/>
      <c r="W12" s="2200"/>
      <c r="X12" s="198" t="b">
        <f t="shared" si="3"/>
        <v>0</v>
      </c>
    </row>
    <row r="13" spans="1:24" ht="15" customHeight="1">
      <c r="A13" s="211"/>
      <c r="B13" s="1998"/>
      <c r="C13" s="1709"/>
      <c r="D13" s="207" t="s">
        <v>857</v>
      </c>
      <c r="E13" s="1709"/>
      <c r="F13" s="207" t="s">
        <v>485</v>
      </c>
      <c r="G13" s="176">
        <f t="shared" si="0"/>
        <v>0</v>
      </c>
      <c r="H13" s="1995">
        <v>1</v>
      </c>
      <c r="I13" s="873">
        <f t="shared" si="1"/>
        <v>0</v>
      </c>
      <c r="J13" s="212"/>
      <c r="K13" s="2151"/>
      <c r="L13" s="212"/>
      <c r="M13" s="212"/>
      <c r="N13" s="213"/>
      <c r="O13" s="729">
        <f t="shared" si="2"/>
        <v>0</v>
      </c>
      <c r="P13" s="733"/>
      <c r="Q13" s="214"/>
      <c r="R13" s="784"/>
      <c r="S13" s="790"/>
      <c r="T13" s="214"/>
      <c r="U13" s="784"/>
      <c r="V13" s="785"/>
      <c r="W13" s="2200"/>
      <c r="X13" s="198" t="b">
        <f t="shared" si="3"/>
        <v>0</v>
      </c>
    </row>
    <row r="14" spans="1:24" ht="15" customHeight="1">
      <c r="A14" s="211"/>
      <c r="B14" s="1998"/>
      <c r="C14" s="1709"/>
      <c r="D14" s="207" t="s">
        <v>857</v>
      </c>
      <c r="E14" s="1709"/>
      <c r="F14" s="207" t="s">
        <v>485</v>
      </c>
      <c r="G14" s="176">
        <f t="shared" si="0"/>
        <v>0</v>
      </c>
      <c r="H14" s="1995">
        <v>1</v>
      </c>
      <c r="I14" s="873">
        <f t="shared" si="1"/>
        <v>0</v>
      </c>
      <c r="J14" s="212"/>
      <c r="K14" s="2151"/>
      <c r="L14" s="212"/>
      <c r="M14" s="212"/>
      <c r="N14" s="213"/>
      <c r="O14" s="729">
        <f t="shared" si="2"/>
        <v>0</v>
      </c>
      <c r="P14" s="733"/>
      <c r="Q14" s="214"/>
      <c r="R14" s="784"/>
      <c r="S14" s="790"/>
      <c r="T14" s="214"/>
      <c r="U14" s="784"/>
      <c r="V14" s="785"/>
      <c r="W14" s="2200"/>
      <c r="X14" s="198" t="b">
        <f t="shared" si="3"/>
        <v>0</v>
      </c>
    </row>
    <row r="15" spans="1:24" ht="15" customHeight="1">
      <c r="A15" s="211"/>
      <c r="B15" s="1998"/>
      <c r="C15" s="1709"/>
      <c r="D15" s="207" t="s">
        <v>857</v>
      </c>
      <c r="E15" s="1709"/>
      <c r="F15" s="207" t="s">
        <v>485</v>
      </c>
      <c r="G15" s="176">
        <f t="shared" si="0"/>
        <v>0</v>
      </c>
      <c r="H15" s="1995">
        <v>1</v>
      </c>
      <c r="I15" s="873">
        <f t="shared" si="1"/>
        <v>0</v>
      </c>
      <c r="J15" s="212"/>
      <c r="K15" s="2151"/>
      <c r="L15" s="212"/>
      <c r="M15" s="212"/>
      <c r="N15" s="213"/>
      <c r="O15" s="729">
        <f t="shared" si="2"/>
        <v>0</v>
      </c>
      <c r="P15" s="733"/>
      <c r="Q15" s="214"/>
      <c r="R15" s="784"/>
      <c r="S15" s="790"/>
      <c r="T15" s="214"/>
      <c r="U15" s="784"/>
      <c r="V15" s="785"/>
      <c r="W15" s="2200"/>
      <c r="X15" s="198" t="b">
        <f t="shared" si="3"/>
        <v>0</v>
      </c>
    </row>
    <row r="16" spans="1:24" ht="15" customHeight="1">
      <c r="A16" s="211"/>
      <c r="B16" s="1998"/>
      <c r="C16" s="1709"/>
      <c r="D16" s="207" t="s">
        <v>857</v>
      </c>
      <c r="E16" s="1709"/>
      <c r="F16" s="207" t="s">
        <v>485</v>
      </c>
      <c r="G16" s="176">
        <f t="shared" si="0"/>
        <v>0</v>
      </c>
      <c r="H16" s="1995">
        <v>1</v>
      </c>
      <c r="I16" s="873">
        <f t="shared" si="1"/>
        <v>0</v>
      </c>
      <c r="J16" s="212"/>
      <c r="K16" s="2151"/>
      <c r="L16" s="212"/>
      <c r="M16" s="212"/>
      <c r="N16" s="213"/>
      <c r="O16" s="729">
        <f t="shared" si="2"/>
        <v>0</v>
      </c>
      <c r="P16" s="733"/>
      <c r="Q16" s="214"/>
      <c r="R16" s="784"/>
      <c r="S16" s="790"/>
      <c r="T16" s="214"/>
      <c r="U16" s="784"/>
      <c r="V16" s="785"/>
      <c r="W16" s="2200"/>
      <c r="X16" s="198" t="b">
        <f t="shared" si="3"/>
        <v>0</v>
      </c>
    </row>
    <row r="17" spans="1:24" ht="15" customHeight="1">
      <c r="A17" s="211"/>
      <c r="B17" s="1998"/>
      <c r="C17" s="1709"/>
      <c r="D17" s="207" t="s">
        <v>857</v>
      </c>
      <c r="E17" s="1709"/>
      <c r="F17" s="207" t="s">
        <v>485</v>
      </c>
      <c r="G17" s="176">
        <f t="shared" si="0"/>
        <v>0</v>
      </c>
      <c r="H17" s="1995">
        <v>1</v>
      </c>
      <c r="I17" s="873">
        <f t="shared" si="1"/>
        <v>0</v>
      </c>
      <c r="J17" s="212"/>
      <c r="K17" s="2151"/>
      <c r="L17" s="212"/>
      <c r="M17" s="212"/>
      <c r="N17" s="213"/>
      <c r="O17" s="729">
        <f t="shared" si="2"/>
        <v>0</v>
      </c>
      <c r="P17" s="733"/>
      <c r="Q17" s="214"/>
      <c r="R17" s="784"/>
      <c r="S17" s="790"/>
      <c r="T17" s="214"/>
      <c r="U17" s="784"/>
      <c r="V17" s="785"/>
      <c r="W17" s="2200"/>
      <c r="X17" s="198" t="b">
        <f t="shared" si="3"/>
        <v>0</v>
      </c>
    </row>
    <row r="18" spans="1:24" ht="15" customHeight="1">
      <c r="A18" s="211"/>
      <c r="B18" s="1998"/>
      <c r="C18" s="1709"/>
      <c r="D18" s="207" t="s">
        <v>857</v>
      </c>
      <c r="E18" s="1709"/>
      <c r="F18" s="207" t="s">
        <v>485</v>
      </c>
      <c r="G18" s="176">
        <f t="shared" si="0"/>
        <v>0</v>
      </c>
      <c r="H18" s="1995">
        <v>1</v>
      </c>
      <c r="I18" s="873">
        <f t="shared" si="1"/>
        <v>0</v>
      </c>
      <c r="J18" s="212"/>
      <c r="K18" s="2151"/>
      <c r="L18" s="212"/>
      <c r="M18" s="212"/>
      <c r="N18" s="213"/>
      <c r="O18" s="729">
        <f t="shared" si="2"/>
        <v>0</v>
      </c>
      <c r="P18" s="733"/>
      <c r="Q18" s="214"/>
      <c r="R18" s="784"/>
      <c r="S18" s="790"/>
      <c r="T18" s="214"/>
      <c r="U18" s="784"/>
      <c r="V18" s="785"/>
      <c r="W18" s="2200"/>
      <c r="X18" s="198" t="b">
        <f t="shared" si="3"/>
        <v>0</v>
      </c>
    </row>
    <row r="19" spans="1:24" ht="15" customHeight="1">
      <c r="A19" s="211"/>
      <c r="B19" s="1998"/>
      <c r="C19" s="1710"/>
      <c r="D19" s="215" t="s">
        <v>486</v>
      </c>
      <c r="E19" s="1710"/>
      <c r="F19" s="215" t="s">
        <v>485</v>
      </c>
      <c r="G19" s="170">
        <f t="shared" si="0"/>
        <v>0</v>
      </c>
      <c r="H19" s="1996">
        <v>1</v>
      </c>
      <c r="I19" s="873">
        <f t="shared" si="1"/>
        <v>0</v>
      </c>
      <c r="J19" s="212"/>
      <c r="K19" s="2151"/>
      <c r="L19" s="212"/>
      <c r="M19" s="212"/>
      <c r="N19" s="213"/>
      <c r="O19" s="729">
        <f t="shared" si="2"/>
        <v>0</v>
      </c>
      <c r="P19" s="733"/>
      <c r="Q19" s="214"/>
      <c r="R19" s="784"/>
      <c r="S19" s="790"/>
      <c r="T19" s="214"/>
      <c r="U19" s="784"/>
      <c r="V19" s="785"/>
      <c r="W19" s="2200"/>
      <c r="X19" s="198" t="b">
        <f t="shared" si="3"/>
        <v>0</v>
      </c>
    </row>
    <row r="20" spans="1:24" ht="15" customHeight="1">
      <c r="A20" s="216"/>
      <c r="B20" s="1999" t="s">
        <v>487</v>
      </c>
      <c r="C20" s="3">
        <f>調書!M10</f>
        <v>0</v>
      </c>
      <c r="D20" s="217" t="s">
        <v>488</v>
      </c>
      <c r="E20" s="3">
        <f>SUM(I6:I19)</f>
        <v>0</v>
      </c>
      <c r="F20" s="217" t="s">
        <v>485</v>
      </c>
      <c r="G20" s="3">
        <f>C20-E20</f>
        <v>0</v>
      </c>
      <c r="H20" s="218">
        <v>1</v>
      </c>
      <c r="I20" s="874">
        <f t="shared" si="1"/>
        <v>0</v>
      </c>
      <c r="J20" s="219"/>
      <c r="K20" s="2152"/>
      <c r="L20" s="219"/>
      <c r="M20" s="219"/>
      <c r="N20" s="220"/>
      <c r="O20" s="730" t="str">
        <f t="shared" si="2"/>
        <v>（端数処理）</v>
      </c>
      <c r="P20" s="734"/>
      <c r="Q20" s="221"/>
      <c r="R20" s="786"/>
      <c r="S20" s="791"/>
      <c r="T20" s="221"/>
      <c r="U20" s="786"/>
      <c r="V20" s="787"/>
      <c r="W20" s="2200"/>
      <c r="X20" s="198" t="b">
        <f t="shared" si="3"/>
        <v>0</v>
      </c>
    </row>
    <row r="21" spans="1:24" ht="15" customHeight="1">
      <c r="A21" s="2173" t="s">
        <v>489</v>
      </c>
      <c r="B21" s="2174"/>
      <c r="C21" s="2172"/>
      <c r="D21" s="2175" t="s">
        <v>486</v>
      </c>
      <c r="E21" s="2172"/>
      <c r="F21" s="2175" t="s">
        <v>485</v>
      </c>
      <c r="G21" s="2171">
        <f t="shared" ref="G21:G34" si="4">ROUNDDOWN(C21*E21,2)</f>
        <v>0</v>
      </c>
      <c r="H21" s="2176">
        <v>1</v>
      </c>
      <c r="I21" s="2177">
        <f t="shared" si="1"/>
        <v>0</v>
      </c>
      <c r="J21" s="2178"/>
      <c r="K21" s="2179"/>
      <c r="L21" s="2178"/>
      <c r="M21" s="2178"/>
      <c r="N21" s="2180"/>
      <c r="O21" s="2181">
        <f t="shared" si="2"/>
        <v>0</v>
      </c>
      <c r="P21" s="2182"/>
      <c r="Q21" s="2183"/>
      <c r="R21" s="780"/>
      <c r="S21" s="788"/>
      <c r="T21" s="2183"/>
      <c r="U21" s="780"/>
      <c r="V21" s="781"/>
      <c r="W21" s="2200"/>
      <c r="X21" s="198" t="b">
        <f t="shared" si="3"/>
        <v>0</v>
      </c>
    </row>
    <row r="22" spans="1:24" ht="15" customHeight="1">
      <c r="A22" s="211"/>
      <c r="B22" s="1998"/>
      <c r="C22" s="1710"/>
      <c r="D22" s="215" t="s">
        <v>486</v>
      </c>
      <c r="E22" s="1710"/>
      <c r="F22" s="215" t="s">
        <v>485</v>
      </c>
      <c r="G22" s="170">
        <f t="shared" si="4"/>
        <v>0</v>
      </c>
      <c r="H22" s="1996">
        <v>1</v>
      </c>
      <c r="I22" s="873">
        <f t="shared" si="1"/>
        <v>0</v>
      </c>
      <c r="J22" s="212"/>
      <c r="K22" s="2151"/>
      <c r="L22" s="212"/>
      <c r="M22" s="212"/>
      <c r="N22" s="213"/>
      <c r="O22" s="729">
        <f t="shared" si="2"/>
        <v>0</v>
      </c>
      <c r="P22" s="733"/>
      <c r="Q22" s="214"/>
      <c r="R22" s="784"/>
      <c r="S22" s="790"/>
      <c r="T22" s="214"/>
      <c r="U22" s="784"/>
      <c r="V22" s="785"/>
      <c r="W22" s="2200"/>
      <c r="X22" s="198" t="b">
        <f t="shared" si="3"/>
        <v>0</v>
      </c>
    </row>
    <row r="23" spans="1:24" ht="15" customHeight="1">
      <c r="A23" s="211"/>
      <c r="B23" s="1998"/>
      <c r="C23" s="1710"/>
      <c r="D23" s="215" t="s">
        <v>486</v>
      </c>
      <c r="E23" s="1710"/>
      <c r="F23" s="215" t="s">
        <v>485</v>
      </c>
      <c r="G23" s="170">
        <f t="shared" si="4"/>
        <v>0</v>
      </c>
      <c r="H23" s="1996">
        <v>1</v>
      </c>
      <c r="I23" s="873">
        <f t="shared" si="1"/>
        <v>0</v>
      </c>
      <c r="J23" s="212"/>
      <c r="K23" s="2151"/>
      <c r="L23" s="212"/>
      <c r="M23" s="212"/>
      <c r="N23" s="213"/>
      <c r="O23" s="729">
        <f t="shared" si="2"/>
        <v>0</v>
      </c>
      <c r="P23" s="733"/>
      <c r="Q23" s="214"/>
      <c r="R23" s="784"/>
      <c r="S23" s="790"/>
      <c r="T23" s="214"/>
      <c r="U23" s="784"/>
      <c r="V23" s="785"/>
      <c r="W23" s="2200"/>
      <c r="X23" s="198" t="b">
        <f t="shared" si="3"/>
        <v>0</v>
      </c>
    </row>
    <row r="24" spans="1:24" ht="15" customHeight="1">
      <c r="A24" s="211"/>
      <c r="B24" s="1998"/>
      <c r="C24" s="1710"/>
      <c r="D24" s="215" t="s">
        <v>486</v>
      </c>
      <c r="E24" s="1710"/>
      <c r="F24" s="215" t="s">
        <v>485</v>
      </c>
      <c r="G24" s="170">
        <f t="shared" si="4"/>
        <v>0</v>
      </c>
      <c r="H24" s="1996">
        <v>1</v>
      </c>
      <c r="I24" s="873">
        <f t="shared" si="1"/>
        <v>0</v>
      </c>
      <c r="J24" s="212"/>
      <c r="K24" s="2151"/>
      <c r="L24" s="212"/>
      <c r="M24" s="212"/>
      <c r="N24" s="213"/>
      <c r="O24" s="729">
        <f t="shared" si="2"/>
        <v>0</v>
      </c>
      <c r="P24" s="733"/>
      <c r="Q24" s="214"/>
      <c r="R24" s="784"/>
      <c r="S24" s="790"/>
      <c r="T24" s="214"/>
      <c r="U24" s="784"/>
      <c r="V24" s="785"/>
      <c r="W24" s="2200"/>
      <c r="X24" s="198" t="b">
        <f t="shared" si="3"/>
        <v>0</v>
      </c>
    </row>
    <row r="25" spans="1:24" ht="15" customHeight="1">
      <c r="A25" s="211"/>
      <c r="B25" s="1998"/>
      <c r="C25" s="1710"/>
      <c r="D25" s="215" t="s">
        <v>486</v>
      </c>
      <c r="E25" s="1710"/>
      <c r="F25" s="215" t="s">
        <v>485</v>
      </c>
      <c r="G25" s="170">
        <f t="shared" si="4"/>
        <v>0</v>
      </c>
      <c r="H25" s="1996">
        <v>1</v>
      </c>
      <c r="I25" s="873">
        <f t="shared" si="1"/>
        <v>0</v>
      </c>
      <c r="J25" s="212"/>
      <c r="K25" s="2151"/>
      <c r="L25" s="212"/>
      <c r="M25" s="212"/>
      <c r="N25" s="213"/>
      <c r="O25" s="729">
        <f t="shared" si="2"/>
        <v>0</v>
      </c>
      <c r="P25" s="733"/>
      <c r="Q25" s="214"/>
      <c r="R25" s="784"/>
      <c r="S25" s="790"/>
      <c r="T25" s="214"/>
      <c r="U25" s="784"/>
      <c r="V25" s="785"/>
      <c r="W25" s="2200"/>
      <c r="X25" s="198" t="b">
        <f t="shared" si="3"/>
        <v>0</v>
      </c>
    </row>
    <row r="26" spans="1:24" ht="15" customHeight="1">
      <c r="A26" s="211"/>
      <c r="B26" s="1998"/>
      <c r="C26" s="1710"/>
      <c r="D26" s="215" t="s">
        <v>486</v>
      </c>
      <c r="E26" s="1710"/>
      <c r="F26" s="215" t="s">
        <v>485</v>
      </c>
      <c r="G26" s="170">
        <f t="shared" si="4"/>
        <v>0</v>
      </c>
      <c r="H26" s="1996">
        <v>1</v>
      </c>
      <c r="I26" s="873">
        <f t="shared" si="1"/>
        <v>0</v>
      </c>
      <c r="J26" s="212"/>
      <c r="K26" s="2151"/>
      <c r="L26" s="212"/>
      <c r="M26" s="212"/>
      <c r="N26" s="213"/>
      <c r="O26" s="729">
        <f t="shared" si="2"/>
        <v>0</v>
      </c>
      <c r="P26" s="733"/>
      <c r="Q26" s="214"/>
      <c r="R26" s="784"/>
      <c r="S26" s="790"/>
      <c r="T26" s="214"/>
      <c r="U26" s="784"/>
      <c r="V26" s="785"/>
      <c r="W26" s="2200"/>
      <c r="X26" s="198" t="b">
        <f t="shared" si="3"/>
        <v>0</v>
      </c>
    </row>
    <row r="27" spans="1:24" ht="15" customHeight="1">
      <c r="A27" s="211"/>
      <c r="B27" s="1998"/>
      <c r="C27" s="1710"/>
      <c r="D27" s="215" t="s">
        <v>486</v>
      </c>
      <c r="E27" s="1710"/>
      <c r="F27" s="215" t="s">
        <v>485</v>
      </c>
      <c r="G27" s="170">
        <f t="shared" si="4"/>
        <v>0</v>
      </c>
      <c r="H27" s="1996">
        <v>1</v>
      </c>
      <c r="I27" s="873">
        <f t="shared" si="1"/>
        <v>0</v>
      </c>
      <c r="J27" s="212"/>
      <c r="K27" s="2151"/>
      <c r="L27" s="212"/>
      <c r="M27" s="212"/>
      <c r="N27" s="213"/>
      <c r="O27" s="729">
        <f t="shared" si="2"/>
        <v>0</v>
      </c>
      <c r="P27" s="733"/>
      <c r="Q27" s="214"/>
      <c r="R27" s="784"/>
      <c r="S27" s="790"/>
      <c r="T27" s="214"/>
      <c r="U27" s="784"/>
      <c r="V27" s="785"/>
      <c r="W27" s="2200"/>
      <c r="X27" s="198" t="b">
        <f t="shared" si="3"/>
        <v>0</v>
      </c>
    </row>
    <row r="28" spans="1:24" ht="15" customHeight="1">
      <c r="A28" s="211"/>
      <c r="B28" s="1998"/>
      <c r="C28" s="1710"/>
      <c r="D28" s="215" t="s">
        <v>486</v>
      </c>
      <c r="E28" s="1710"/>
      <c r="F28" s="215" t="s">
        <v>485</v>
      </c>
      <c r="G28" s="170">
        <f t="shared" si="4"/>
        <v>0</v>
      </c>
      <c r="H28" s="1996">
        <v>1</v>
      </c>
      <c r="I28" s="873">
        <f t="shared" si="1"/>
        <v>0</v>
      </c>
      <c r="J28" s="212"/>
      <c r="K28" s="2151"/>
      <c r="L28" s="212"/>
      <c r="M28" s="212"/>
      <c r="N28" s="213"/>
      <c r="O28" s="729">
        <f t="shared" si="2"/>
        <v>0</v>
      </c>
      <c r="P28" s="733"/>
      <c r="Q28" s="214"/>
      <c r="R28" s="784"/>
      <c r="S28" s="790"/>
      <c r="T28" s="214"/>
      <c r="U28" s="784"/>
      <c r="V28" s="785"/>
      <c r="W28" s="2200"/>
      <c r="X28" s="198" t="b">
        <f t="shared" si="3"/>
        <v>0</v>
      </c>
    </row>
    <row r="29" spans="1:24" ht="15" customHeight="1">
      <c r="A29" s="211"/>
      <c r="B29" s="1998"/>
      <c r="C29" s="1710"/>
      <c r="D29" s="215" t="s">
        <v>486</v>
      </c>
      <c r="E29" s="1710"/>
      <c r="F29" s="215" t="s">
        <v>485</v>
      </c>
      <c r="G29" s="170">
        <f t="shared" si="4"/>
        <v>0</v>
      </c>
      <c r="H29" s="1996">
        <v>1</v>
      </c>
      <c r="I29" s="873">
        <f t="shared" si="1"/>
        <v>0</v>
      </c>
      <c r="J29" s="212"/>
      <c r="K29" s="2151"/>
      <c r="L29" s="212"/>
      <c r="M29" s="212"/>
      <c r="N29" s="213"/>
      <c r="O29" s="729">
        <f t="shared" si="2"/>
        <v>0</v>
      </c>
      <c r="P29" s="733"/>
      <c r="Q29" s="214"/>
      <c r="R29" s="784"/>
      <c r="S29" s="790"/>
      <c r="T29" s="214"/>
      <c r="U29" s="784"/>
      <c r="V29" s="785"/>
      <c r="W29" s="2200"/>
      <c r="X29" s="198" t="b">
        <f t="shared" si="3"/>
        <v>0</v>
      </c>
    </row>
    <row r="30" spans="1:24" ht="15" customHeight="1">
      <c r="A30" s="211"/>
      <c r="B30" s="1998"/>
      <c r="C30" s="1710"/>
      <c r="D30" s="215" t="s">
        <v>486</v>
      </c>
      <c r="E30" s="1710"/>
      <c r="F30" s="215" t="s">
        <v>485</v>
      </c>
      <c r="G30" s="170">
        <f t="shared" si="4"/>
        <v>0</v>
      </c>
      <c r="H30" s="1996">
        <v>1</v>
      </c>
      <c r="I30" s="873">
        <f t="shared" si="1"/>
        <v>0</v>
      </c>
      <c r="J30" s="212"/>
      <c r="K30" s="2151"/>
      <c r="L30" s="212"/>
      <c r="M30" s="212"/>
      <c r="N30" s="213"/>
      <c r="O30" s="729">
        <f t="shared" si="2"/>
        <v>0</v>
      </c>
      <c r="P30" s="733"/>
      <c r="Q30" s="214"/>
      <c r="R30" s="784"/>
      <c r="S30" s="790"/>
      <c r="T30" s="214"/>
      <c r="U30" s="784"/>
      <c r="V30" s="785"/>
      <c r="W30" s="2200"/>
      <c r="X30" s="198" t="b">
        <f t="shared" si="3"/>
        <v>0</v>
      </c>
    </row>
    <row r="31" spans="1:24" ht="15" customHeight="1">
      <c r="A31" s="211"/>
      <c r="B31" s="1998"/>
      <c r="C31" s="1710"/>
      <c r="D31" s="215" t="s">
        <v>486</v>
      </c>
      <c r="E31" s="1710"/>
      <c r="F31" s="215" t="s">
        <v>485</v>
      </c>
      <c r="G31" s="170">
        <f t="shared" si="4"/>
        <v>0</v>
      </c>
      <c r="H31" s="1996">
        <v>1</v>
      </c>
      <c r="I31" s="873">
        <f t="shared" si="1"/>
        <v>0</v>
      </c>
      <c r="J31" s="212"/>
      <c r="K31" s="2151"/>
      <c r="L31" s="212"/>
      <c r="M31" s="212"/>
      <c r="N31" s="213"/>
      <c r="O31" s="729">
        <f t="shared" si="2"/>
        <v>0</v>
      </c>
      <c r="P31" s="733"/>
      <c r="Q31" s="214"/>
      <c r="R31" s="784"/>
      <c r="S31" s="790"/>
      <c r="T31" s="214"/>
      <c r="U31" s="784"/>
      <c r="V31" s="785"/>
      <c r="W31" s="2200"/>
      <c r="X31" s="198" t="b">
        <f t="shared" si="3"/>
        <v>0</v>
      </c>
    </row>
    <row r="32" spans="1:24" ht="15" customHeight="1">
      <c r="A32" s="211"/>
      <c r="B32" s="1998"/>
      <c r="C32" s="1710"/>
      <c r="D32" s="215" t="s">
        <v>486</v>
      </c>
      <c r="E32" s="1710"/>
      <c r="F32" s="215" t="s">
        <v>485</v>
      </c>
      <c r="G32" s="170">
        <f t="shared" si="4"/>
        <v>0</v>
      </c>
      <c r="H32" s="1996">
        <v>1</v>
      </c>
      <c r="I32" s="873">
        <f t="shared" si="1"/>
        <v>0</v>
      </c>
      <c r="J32" s="212"/>
      <c r="K32" s="2151"/>
      <c r="L32" s="212"/>
      <c r="M32" s="212"/>
      <c r="N32" s="213"/>
      <c r="O32" s="729">
        <f t="shared" si="2"/>
        <v>0</v>
      </c>
      <c r="P32" s="733"/>
      <c r="Q32" s="214"/>
      <c r="R32" s="784"/>
      <c r="S32" s="790"/>
      <c r="T32" s="214"/>
      <c r="U32" s="784"/>
      <c r="V32" s="785"/>
      <c r="W32" s="2200"/>
      <c r="X32" s="198" t="b">
        <f t="shared" si="3"/>
        <v>0</v>
      </c>
    </row>
    <row r="33" spans="1:24" ht="15" customHeight="1">
      <c r="A33" s="211"/>
      <c r="B33" s="1998"/>
      <c r="C33" s="1709"/>
      <c r="D33" s="207" t="s">
        <v>857</v>
      </c>
      <c r="E33" s="1709"/>
      <c r="F33" s="215" t="s">
        <v>485</v>
      </c>
      <c r="G33" s="170">
        <f t="shared" si="4"/>
        <v>0</v>
      </c>
      <c r="H33" s="1996">
        <v>1</v>
      </c>
      <c r="I33" s="873">
        <f t="shared" si="1"/>
        <v>0</v>
      </c>
      <c r="J33" s="212"/>
      <c r="K33" s="2151"/>
      <c r="L33" s="212"/>
      <c r="M33" s="212"/>
      <c r="N33" s="213"/>
      <c r="O33" s="729">
        <f t="shared" si="2"/>
        <v>0</v>
      </c>
      <c r="P33" s="733"/>
      <c r="Q33" s="214"/>
      <c r="R33" s="784"/>
      <c r="S33" s="790"/>
      <c r="T33" s="214"/>
      <c r="U33" s="784"/>
      <c r="V33" s="785"/>
      <c r="W33" s="2200"/>
      <c r="X33" s="198" t="b">
        <f t="shared" si="3"/>
        <v>0</v>
      </c>
    </row>
    <row r="34" spans="1:24" ht="15" customHeight="1">
      <c r="A34" s="211"/>
      <c r="B34" s="1998"/>
      <c r="C34" s="1710"/>
      <c r="D34" s="215" t="s">
        <v>486</v>
      </c>
      <c r="E34" s="1710"/>
      <c r="F34" s="215" t="s">
        <v>485</v>
      </c>
      <c r="G34" s="170">
        <f t="shared" si="4"/>
        <v>0</v>
      </c>
      <c r="H34" s="1996">
        <v>1</v>
      </c>
      <c r="I34" s="873">
        <f t="shared" si="1"/>
        <v>0</v>
      </c>
      <c r="J34" s="212"/>
      <c r="K34" s="2151"/>
      <c r="L34" s="212"/>
      <c r="M34" s="212"/>
      <c r="N34" s="213"/>
      <c r="O34" s="729">
        <f t="shared" si="2"/>
        <v>0</v>
      </c>
      <c r="P34" s="733"/>
      <c r="Q34" s="214"/>
      <c r="R34" s="784"/>
      <c r="S34" s="790"/>
      <c r="T34" s="214"/>
      <c r="U34" s="784"/>
      <c r="V34" s="785"/>
      <c r="W34" s="2200"/>
      <c r="X34" s="198" t="b">
        <f t="shared" si="3"/>
        <v>0</v>
      </c>
    </row>
    <row r="35" spans="1:24" ht="15" customHeight="1">
      <c r="A35" s="216"/>
      <c r="B35" s="1999" t="s">
        <v>487</v>
      </c>
      <c r="C35" s="3">
        <f>調書!Q10</f>
        <v>0</v>
      </c>
      <c r="D35" s="217" t="s">
        <v>488</v>
      </c>
      <c r="E35" s="3">
        <f>SUM(I21:I34)</f>
        <v>0</v>
      </c>
      <c r="F35" s="217" t="s">
        <v>485</v>
      </c>
      <c r="G35" s="3">
        <f>C35-E35</f>
        <v>0</v>
      </c>
      <c r="H35" s="218">
        <v>1</v>
      </c>
      <c r="I35" s="874">
        <f t="shared" si="1"/>
        <v>0</v>
      </c>
      <c r="J35" s="219"/>
      <c r="K35" s="2152"/>
      <c r="L35" s="219"/>
      <c r="M35" s="219"/>
      <c r="N35" s="220"/>
      <c r="O35" s="730" t="str">
        <f t="shared" si="2"/>
        <v>（端数処理）</v>
      </c>
      <c r="P35" s="734"/>
      <c r="Q35" s="221"/>
      <c r="R35" s="786"/>
      <c r="S35" s="791"/>
      <c r="T35" s="221"/>
      <c r="U35" s="786"/>
      <c r="V35" s="787"/>
      <c r="W35" s="2200"/>
      <c r="X35" s="198" t="b">
        <f t="shared" si="3"/>
        <v>0</v>
      </c>
    </row>
    <row r="36" spans="1:24" ht="15" customHeight="1">
      <c r="A36" s="2173" t="s">
        <v>490</v>
      </c>
      <c r="B36" s="2174"/>
      <c r="C36" s="2172"/>
      <c r="D36" s="2175" t="s">
        <v>486</v>
      </c>
      <c r="E36" s="2172"/>
      <c r="F36" s="2175" t="s">
        <v>485</v>
      </c>
      <c r="G36" s="2171">
        <f t="shared" ref="G36:G49" si="5">ROUNDDOWN(C36*E36,2)</f>
        <v>0</v>
      </c>
      <c r="H36" s="2176">
        <v>1</v>
      </c>
      <c r="I36" s="2177">
        <f t="shared" si="1"/>
        <v>0</v>
      </c>
      <c r="J36" s="2178"/>
      <c r="K36" s="2179"/>
      <c r="L36" s="2178"/>
      <c r="M36" s="2178"/>
      <c r="N36" s="2180"/>
      <c r="O36" s="2181">
        <f t="shared" si="2"/>
        <v>0</v>
      </c>
      <c r="P36" s="2182"/>
      <c r="Q36" s="2183"/>
      <c r="R36" s="780"/>
      <c r="S36" s="788"/>
      <c r="T36" s="2183"/>
      <c r="U36" s="780"/>
      <c r="V36" s="781"/>
      <c r="W36" s="2200"/>
      <c r="X36" s="198" t="b">
        <f t="shared" si="3"/>
        <v>0</v>
      </c>
    </row>
    <row r="37" spans="1:24" ht="15" customHeight="1">
      <c r="A37" s="211"/>
      <c r="B37" s="1998"/>
      <c r="C37" s="1710"/>
      <c r="D37" s="215" t="s">
        <v>486</v>
      </c>
      <c r="E37" s="1710"/>
      <c r="F37" s="215" t="s">
        <v>485</v>
      </c>
      <c r="G37" s="170">
        <f t="shared" si="5"/>
        <v>0</v>
      </c>
      <c r="H37" s="1996">
        <v>1</v>
      </c>
      <c r="I37" s="873">
        <f t="shared" si="1"/>
        <v>0</v>
      </c>
      <c r="J37" s="212"/>
      <c r="K37" s="2151"/>
      <c r="L37" s="212"/>
      <c r="M37" s="212"/>
      <c r="N37" s="213"/>
      <c r="O37" s="729">
        <f t="shared" si="2"/>
        <v>0</v>
      </c>
      <c r="P37" s="733"/>
      <c r="Q37" s="214"/>
      <c r="R37" s="784"/>
      <c r="S37" s="790"/>
      <c r="T37" s="214"/>
      <c r="U37" s="784"/>
      <c r="V37" s="785"/>
      <c r="W37" s="2200"/>
      <c r="X37" s="198" t="b">
        <f t="shared" si="3"/>
        <v>0</v>
      </c>
    </row>
    <row r="38" spans="1:24" ht="15" customHeight="1">
      <c r="A38" s="211"/>
      <c r="B38" s="1998"/>
      <c r="C38" s="1710"/>
      <c r="D38" s="215" t="s">
        <v>486</v>
      </c>
      <c r="E38" s="1710"/>
      <c r="F38" s="215" t="s">
        <v>485</v>
      </c>
      <c r="G38" s="170">
        <f t="shared" si="5"/>
        <v>0</v>
      </c>
      <c r="H38" s="1996">
        <v>1</v>
      </c>
      <c r="I38" s="873">
        <f t="shared" ref="I38:I69" si="6">G38*H38</f>
        <v>0</v>
      </c>
      <c r="J38" s="212"/>
      <c r="K38" s="2151"/>
      <c r="L38" s="212"/>
      <c r="M38" s="212"/>
      <c r="N38" s="213"/>
      <c r="O38" s="729">
        <f t="shared" ref="O38:O69" si="7">B38</f>
        <v>0</v>
      </c>
      <c r="P38" s="733"/>
      <c r="Q38" s="214"/>
      <c r="R38" s="784"/>
      <c r="S38" s="790"/>
      <c r="T38" s="214"/>
      <c r="U38" s="784"/>
      <c r="V38" s="785"/>
      <c r="W38" s="2200"/>
      <c r="X38" s="198" t="b">
        <f t="shared" ref="X38:X69" si="8">G38&lt;&gt;0</f>
        <v>0</v>
      </c>
    </row>
    <row r="39" spans="1:24" ht="15" customHeight="1">
      <c r="A39" s="211"/>
      <c r="B39" s="1998"/>
      <c r="C39" s="1710"/>
      <c r="D39" s="215" t="s">
        <v>486</v>
      </c>
      <c r="E39" s="1710"/>
      <c r="F39" s="215" t="s">
        <v>485</v>
      </c>
      <c r="G39" s="170">
        <f t="shared" si="5"/>
        <v>0</v>
      </c>
      <c r="H39" s="1996">
        <v>1</v>
      </c>
      <c r="I39" s="873">
        <f t="shared" si="6"/>
        <v>0</v>
      </c>
      <c r="J39" s="212"/>
      <c r="K39" s="2151"/>
      <c r="L39" s="212"/>
      <c r="M39" s="212"/>
      <c r="N39" s="213"/>
      <c r="O39" s="729">
        <f t="shared" si="7"/>
        <v>0</v>
      </c>
      <c r="P39" s="733"/>
      <c r="Q39" s="214"/>
      <c r="R39" s="784"/>
      <c r="S39" s="790"/>
      <c r="T39" s="214"/>
      <c r="U39" s="784"/>
      <c r="V39" s="785"/>
      <c r="W39" s="2200"/>
      <c r="X39" s="198" t="b">
        <f t="shared" si="8"/>
        <v>0</v>
      </c>
    </row>
    <row r="40" spans="1:24" ht="15" customHeight="1">
      <c r="A40" s="211"/>
      <c r="B40" s="1998"/>
      <c r="C40" s="1710"/>
      <c r="D40" s="215" t="s">
        <v>486</v>
      </c>
      <c r="E40" s="1710"/>
      <c r="F40" s="215" t="s">
        <v>485</v>
      </c>
      <c r="G40" s="170">
        <f t="shared" si="5"/>
        <v>0</v>
      </c>
      <c r="H40" s="1996">
        <v>1</v>
      </c>
      <c r="I40" s="873">
        <f t="shared" si="6"/>
        <v>0</v>
      </c>
      <c r="J40" s="212"/>
      <c r="K40" s="2151"/>
      <c r="L40" s="212"/>
      <c r="M40" s="212"/>
      <c r="N40" s="213"/>
      <c r="O40" s="729">
        <f t="shared" si="7"/>
        <v>0</v>
      </c>
      <c r="P40" s="733"/>
      <c r="Q40" s="214"/>
      <c r="R40" s="784"/>
      <c r="S40" s="790"/>
      <c r="T40" s="214"/>
      <c r="U40" s="784"/>
      <c r="V40" s="785"/>
      <c r="W40" s="2200"/>
      <c r="X40" s="198" t="b">
        <f t="shared" si="8"/>
        <v>0</v>
      </c>
    </row>
    <row r="41" spans="1:24" ht="15" customHeight="1">
      <c r="A41" s="211"/>
      <c r="B41" s="1998"/>
      <c r="C41" s="1710"/>
      <c r="D41" s="215" t="s">
        <v>486</v>
      </c>
      <c r="E41" s="1710"/>
      <c r="F41" s="215" t="s">
        <v>485</v>
      </c>
      <c r="G41" s="170">
        <f t="shared" si="5"/>
        <v>0</v>
      </c>
      <c r="H41" s="1996">
        <v>1</v>
      </c>
      <c r="I41" s="873">
        <f t="shared" si="6"/>
        <v>0</v>
      </c>
      <c r="J41" s="212"/>
      <c r="K41" s="2151"/>
      <c r="L41" s="212"/>
      <c r="M41" s="212"/>
      <c r="N41" s="213"/>
      <c r="O41" s="729">
        <f t="shared" si="7"/>
        <v>0</v>
      </c>
      <c r="P41" s="733"/>
      <c r="Q41" s="214"/>
      <c r="R41" s="784"/>
      <c r="S41" s="790"/>
      <c r="T41" s="214"/>
      <c r="U41" s="784"/>
      <c r="V41" s="785"/>
      <c r="W41" s="2200"/>
      <c r="X41" s="198" t="b">
        <f t="shared" si="8"/>
        <v>0</v>
      </c>
    </row>
    <row r="42" spans="1:24" ht="15" customHeight="1">
      <c r="A42" s="211"/>
      <c r="B42" s="1998"/>
      <c r="C42" s="1710"/>
      <c r="D42" s="215" t="s">
        <v>486</v>
      </c>
      <c r="E42" s="1710"/>
      <c r="F42" s="215" t="s">
        <v>485</v>
      </c>
      <c r="G42" s="170">
        <f t="shared" si="5"/>
        <v>0</v>
      </c>
      <c r="H42" s="1996">
        <v>1</v>
      </c>
      <c r="I42" s="873">
        <f t="shared" si="6"/>
        <v>0</v>
      </c>
      <c r="J42" s="212"/>
      <c r="K42" s="2151"/>
      <c r="L42" s="212"/>
      <c r="M42" s="212"/>
      <c r="N42" s="213"/>
      <c r="O42" s="729">
        <f t="shared" si="7"/>
        <v>0</v>
      </c>
      <c r="P42" s="733"/>
      <c r="Q42" s="214"/>
      <c r="R42" s="784"/>
      <c r="S42" s="790"/>
      <c r="T42" s="214"/>
      <c r="U42" s="784"/>
      <c r="V42" s="785"/>
      <c r="W42" s="2200"/>
      <c r="X42" s="198" t="b">
        <f t="shared" si="8"/>
        <v>0</v>
      </c>
    </row>
    <row r="43" spans="1:24" ht="15" customHeight="1">
      <c r="A43" s="211"/>
      <c r="B43" s="1998"/>
      <c r="C43" s="1710"/>
      <c r="D43" s="215" t="s">
        <v>486</v>
      </c>
      <c r="E43" s="1710"/>
      <c r="F43" s="215" t="s">
        <v>485</v>
      </c>
      <c r="G43" s="170">
        <f t="shared" si="5"/>
        <v>0</v>
      </c>
      <c r="H43" s="1996">
        <v>1</v>
      </c>
      <c r="I43" s="873">
        <f t="shared" si="6"/>
        <v>0</v>
      </c>
      <c r="J43" s="212"/>
      <c r="K43" s="2151"/>
      <c r="L43" s="212"/>
      <c r="M43" s="212"/>
      <c r="N43" s="213"/>
      <c r="O43" s="729">
        <f t="shared" si="7"/>
        <v>0</v>
      </c>
      <c r="P43" s="733"/>
      <c r="Q43" s="214"/>
      <c r="R43" s="784"/>
      <c r="S43" s="790"/>
      <c r="T43" s="214"/>
      <c r="U43" s="784"/>
      <c r="V43" s="785"/>
      <c r="W43" s="2200"/>
      <c r="X43" s="198" t="b">
        <f t="shared" si="8"/>
        <v>0</v>
      </c>
    </row>
    <row r="44" spans="1:24" ht="15" customHeight="1">
      <c r="A44" s="211"/>
      <c r="B44" s="1998"/>
      <c r="C44" s="1710"/>
      <c r="D44" s="215" t="s">
        <v>486</v>
      </c>
      <c r="E44" s="1710"/>
      <c r="F44" s="215" t="s">
        <v>485</v>
      </c>
      <c r="G44" s="170">
        <f t="shared" si="5"/>
        <v>0</v>
      </c>
      <c r="H44" s="1996">
        <v>1</v>
      </c>
      <c r="I44" s="873">
        <f t="shared" si="6"/>
        <v>0</v>
      </c>
      <c r="J44" s="212"/>
      <c r="K44" s="2151"/>
      <c r="L44" s="212"/>
      <c r="M44" s="212"/>
      <c r="N44" s="213"/>
      <c r="O44" s="729">
        <f t="shared" si="7"/>
        <v>0</v>
      </c>
      <c r="P44" s="733"/>
      <c r="Q44" s="214"/>
      <c r="R44" s="784"/>
      <c r="S44" s="790"/>
      <c r="T44" s="214"/>
      <c r="U44" s="784"/>
      <c r="V44" s="785"/>
      <c r="W44" s="2200"/>
      <c r="X44" s="198" t="b">
        <f t="shared" si="8"/>
        <v>0</v>
      </c>
    </row>
    <row r="45" spans="1:24" ht="15" customHeight="1">
      <c r="A45" s="211"/>
      <c r="B45" s="1998"/>
      <c r="C45" s="1710"/>
      <c r="D45" s="215" t="s">
        <v>486</v>
      </c>
      <c r="E45" s="1710"/>
      <c r="F45" s="215" t="s">
        <v>485</v>
      </c>
      <c r="G45" s="170">
        <f t="shared" si="5"/>
        <v>0</v>
      </c>
      <c r="H45" s="1996">
        <v>1</v>
      </c>
      <c r="I45" s="873">
        <f t="shared" si="6"/>
        <v>0</v>
      </c>
      <c r="J45" s="212"/>
      <c r="K45" s="2151"/>
      <c r="L45" s="212"/>
      <c r="M45" s="212"/>
      <c r="N45" s="213"/>
      <c r="O45" s="729">
        <f t="shared" si="7"/>
        <v>0</v>
      </c>
      <c r="P45" s="733"/>
      <c r="Q45" s="214"/>
      <c r="R45" s="784"/>
      <c r="S45" s="790"/>
      <c r="T45" s="214"/>
      <c r="U45" s="784"/>
      <c r="V45" s="785"/>
      <c r="W45" s="2200"/>
      <c r="X45" s="198" t="b">
        <f t="shared" si="8"/>
        <v>0</v>
      </c>
    </row>
    <row r="46" spans="1:24" ht="15" customHeight="1">
      <c r="A46" s="211"/>
      <c r="B46" s="1998"/>
      <c r="C46" s="1710"/>
      <c r="D46" s="215" t="s">
        <v>486</v>
      </c>
      <c r="E46" s="1710"/>
      <c r="F46" s="215" t="s">
        <v>485</v>
      </c>
      <c r="G46" s="170">
        <f t="shared" si="5"/>
        <v>0</v>
      </c>
      <c r="H46" s="1996">
        <v>1</v>
      </c>
      <c r="I46" s="873">
        <f t="shared" si="6"/>
        <v>0</v>
      </c>
      <c r="J46" s="212"/>
      <c r="K46" s="2151"/>
      <c r="L46" s="212"/>
      <c r="M46" s="212"/>
      <c r="N46" s="213"/>
      <c r="O46" s="729">
        <f t="shared" si="7"/>
        <v>0</v>
      </c>
      <c r="P46" s="733"/>
      <c r="Q46" s="214"/>
      <c r="R46" s="784"/>
      <c r="S46" s="790"/>
      <c r="T46" s="214"/>
      <c r="U46" s="784"/>
      <c r="V46" s="785"/>
      <c r="W46" s="2200"/>
      <c r="X46" s="198" t="b">
        <f t="shared" si="8"/>
        <v>0</v>
      </c>
    </row>
    <row r="47" spans="1:24" ht="15" customHeight="1">
      <c r="A47" s="211"/>
      <c r="B47" s="1998"/>
      <c r="C47" s="1710"/>
      <c r="D47" s="215" t="s">
        <v>486</v>
      </c>
      <c r="E47" s="1710"/>
      <c r="F47" s="215" t="s">
        <v>485</v>
      </c>
      <c r="G47" s="170">
        <f t="shared" si="5"/>
        <v>0</v>
      </c>
      <c r="H47" s="1996">
        <v>1</v>
      </c>
      <c r="I47" s="873">
        <f t="shared" si="6"/>
        <v>0</v>
      </c>
      <c r="J47" s="212"/>
      <c r="K47" s="2151"/>
      <c r="L47" s="212"/>
      <c r="M47" s="212"/>
      <c r="N47" s="213"/>
      <c r="O47" s="729">
        <f t="shared" si="7"/>
        <v>0</v>
      </c>
      <c r="P47" s="733"/>
      <c r="Q47" s="214"/>
      <c r="R47" s="784"/>
      <c r="S47" s="790"/>
      <c r="T47" s="214"/>
      <c r="U47" s="784"/>
      <c r="V47" s="785"/>
      <c r="W47" s="2200"/>
      <c r="X47" s="198" t="b">
        <f t="shared" si="8"/>
        <v>0</v>
      </c>
    </row>
    <row r="48" spans="1:24" ht="15" customHeight="1">
      <c r="A48" s="211"/>
      <c r="B48" s="1998"/>
      <c r="C48" s="1710"/>
      <c r="D48" s="215" t="s">
        <v>486</v>
      </c>
      <c r="E48" s="1710"/>
      <c r="F48" s="215" t="s">
        <v>485</v>
      </c>
      <c r="G48" s="170">
        <f t="shared" si="5"/>
        <v>0</v>
      </c>
      <c r="H48" s="1996">
        <v>1</v>
      </c>
      <c r="I48" s="873">
        <f t="shared" si="6"/>
        <v>0</v>
      </c>
      <c r="J48" s="212"/>
      <c r="K48" s="2151"/>
      <c r="L48" s="212"/>
      <c r="M48" s="212"/>
      <c r="N48" s="213"/>
      <c r="O48" s="729">
        <f t="shared" si="7"/>
        <v>0</v>
      </c>
      <c r="P48" s="733"/>
      <c r="Q48" s="214"/>
      <c r="R48" s="784"/>
      <c r="S48" s="790"/>
      <c r="T48" s="214"/>
      <c r="U48" s="784"/>
      <c r="V48" s="785"/>
      <c r="W48" s="2200"/>
      <c r="X48" s="198" t="b">
        <f t="shared" si="8"/>
        <v>0</v>
      </c>
    </row>
    <row r="49" spans="1:24" ht="15" customHeight="1">
      <c r="A49" s="211"/>
      <c r="B49" s="1998"/>
      <c r="C49" s="1710"/>
      <c r="D49" s="215" t="s">
        <v>486</v>
      </c>
      <c r="E49" s="1710"/>
      <c r="F49" s="215" t="s">
        <v>485</v>
      </c>
      <c r="G49" s="170">
        <f t="shared" si="5"/>
        <v>0</v>
      </c>
      <c r="H49" s="1996">
        <v>1</v>
      </c>
      <c r="I49" s="873">
        <f t="shared" si="6"/>
        <v>0</v>
      </c>
      <c r="J49" s="212"/>
      <c r="K49" s="2151"/>
      <c r="L49" s="212"/>
      <c r="M49" s="212"/>
      <c r="N49" s="213"/>
      <c r="O49" s="729">
        <f t="shared" si="7"/>
        <v>0</v>
      </c>
      <c r="P49" s="733"/>
      <c r="Q49" s="214"/>
      <c r="R49" s="784"/>
      <c r="S49" s="790"/>
      <c r="T49" s="214"/>
      <c r="U49" s="784"/>
      <c r="V49" s="785"/>
      <c r="W49" s="2200"/>
      <c r="X49" s="198" t="b">
        <f t="shared" si="8"/>
        <v>0</v>
      </c>
    </row>
    <row r="50" spans="1:24" ht="15" customHeight="1">
      <c r="A50" s="216"/>
      <c r="B50" s="1999" t="s">
        <v>487</v>
      </c>
      <c r="C50" s="3">
        <f>調書!U10</f>
        <v>0</v>
      </c>
      <c r="D50" s="217" t="s">
        <v>488</v>
      </c>
      <c r="E50" s="3">
        <f>SUM(I36:I49)</f>
        <v>0</v>
      </c>
      <c r="F50" s="217" t="s">
        <v>485</v>
      </c>
      <c r="G50" s="3">
        <f>C50-E50</f>
        <v>0</v>
      </c>
      <c r="H50" s="218">
        <v>1</v>
      </c>
      <c r="I50" s="874">
        <f t="shared" si="6"/>
        <v>0</v>
      </c>
      <c r="J50" s="219"/>
      <c r="K50" s="2152"/>
      <c r="L50" s="219"/>
      <c r="M50" s="219"/>
      <c r="N50" s="220"/>
      <c r="O50" s="730" t="str">
        <f t="shared" si="7"/>
        <v>（端数処理）</v>
      </c>
      <c r="P50" s="734"/>
      <c r="Q50" s="221"/>
      <c r="R50" s="786"/>
      <c r="S50" s="791"/>
      <c r="T50" s="221"/>
      <c r="U50" s="786"/>
      <c r="V50" s="787"/>
      <c r="W50" s="2200"/>
      <c r="X50" s="198" t="b">
        <f t="shared" si="8"/>
        <v>0</v>
      </c>
    </row>
    <row r="51" spans="1:24" ht="15" customHeight="1">
      <c r="A51" s="2173" t="s">
        <v>491</v>
      </c>
      <c r="B51" s="2174"/>
      <c r="C51" s="2172"/>
      <c r="D51" s="2175" t="s">
        <v>486</v>
      </c>
      <c r="E51" s="2172"/>
      <c r="F51" s="2175" t="s">
        <v>485</v>
      </c>
      <c r="G51" s="2171">
        <f>ROUNDDOWN(C51*E51,2)</f>
        <v>0</v>
      </c>
      <c r="H51" s="2176">
        <v>1</v>
      </c>
      <c r="I51" s="2177">
        <f t="shared" si="6"/>
        <v>0</v>
      </c>
      <c r="J51" s="2178"/>
      <c r="K51" s="2179"/>
      <c r="L51" s="2178"/>
      <c r="M51" s="2178"/>
      <c r="N51" s="2180"/>
      <c r="O51" s="2181">
        <f t="shared" si="7"/>
        <v>0</v>
      </c>
      <c r="P51" s="2182"/>
      <c r="Q51" s="2183"/>
      <c r="R51" s="780"/>
      <c r="S51" s="788"/>
      <c r="T51" s="2183"/>
      <c r="U51" s="780"/>
      <c r="V51" s="781"/>
      <c r="W51" s="2200"/>
      <c r="X51" s="198" t="b">
        <f t="shared" si="8"/>
        <v>0</v>
      </c>
    </row>
    <row r="52" spans="1:24" ht="15" customHeight="1">
      <c r="A52" s="211"/>
      <c r="B52" s="1998"/>
      <c r="C52" s="1710"/>
      <c r="D52" s="215" t="s">
        <v>486</v>
      </c>
      <c r="E52" s="1710"/>
      <c r="F52" s="215" t="s">
        <v>485</v>
      </c>
      <c r="G52" s="170">
        <f>ROUNDDOWN(C52*E52,2)</f>
        <v>0</v>
      </c>
      <c r="H52" s="1996">
        <v>1</v>
      </c>
      <c r="I52" s="873">
        <f t="shared" si="6"/>
        <v>0</v>
      </c>
      <c r="J52" s="212"/>
      <c r="K52" s="2151"/>
      <c r="L52" s="212"/>
      <c r="M52" s="212"/>
      <c r="N52" s="213"/>
      <c r="O52" s="729">
        <f t="shared" si="7"/>
        <v>0</v>
      </c>
      <c r="P52" s="733"/>
      <c r="Q52" s="214"/>
      <c r="R52" s="784"/>
      <c r="S52" s="790"/>
      <c r="T52" s="214"/>
      <c r="U52" s="784"/>
      <c r="V52" s="785"/>
      <c r="W52" s="2200"/>
      <c r="X52" s="198" t="b">
        <f t="shared" si="8"/>
        <v>0</v>
      </c>
    </row>
    <row r="53" spans="1:24" ht="15" customHeight="1">
      <c r="A53" s="216"/>
      <c r="B53" s="1999" t="s">
        <v>487</v>
      </c>
      <c r="C53" s="3">
        <f>調書!Y10</f>
        <v>0</v>
      </c>
      <c r="D53" s="217" t="s">
        <v>488</v>
      </c>
      <c r="E53" s="3">
        <f>SUM(I51:I52)</f>
        <v>0</v>
      </c>
      <c r="F53" s="217" t="s">
        <v>485</v>
      </c>
      <c r="G53" s="3">
        <f>C53-E53</f>
        <v>0</v>
      </c>
      <c r="H53" s="218">
        <v>1</v>
      </c>
      <c r="I53" s="874">
        <f t="shared" si="6"/>
        <v>0</v>
      </c>
      <c r="J53" s="219"/>
      <c r="K53" s="2152"/>
      <c r="L53" s="219"/>
      <c r="M53" s="219"/>
      <c r="N53" s="220"/>
      <c r="O53" s="730" t="str">
        <f t="shared" si="7"/>
        <v>（端数処理）</v>
      </c>
      <c r="P53" s="734"/>
      <c r="Q53" s="221"/>
      <c r="R53" s="786"/>
      <c r="S53" s="791"/>
      <c r="T53" s="221"/>
      <c r="U53" s="786"/>
      <c r="V53" s="787"/>
      <c r="W53" s="2200"/>
      <c r="X53" s="198" t="b">
        <f t="shared" si="8"/>
        <v>0</v>
      </c>
    </row>
    <row r="54" spans="1:24" ht="15" customHeight="1">
      <c r="A54" s="2173" t="s">
        <v>645</v>
      </c>
      <c r="B54" s="2174"/>
      <c r="C54" s="2172"/>
      <c r="D54" s="2175" t="s">
        <v>486</v>
      </c>
      <c r="E54" s="2172"/>
      <c r="F54" s="2175" t="s">
        <v>485</v>
      </c>
      <c r="G54" s="2171">
        <f>ROUNDDOWN(C54*E54,2)</f>
        <v>0</v>
      </c>
      <c r="H54" s="2176">
        <v>1</v>
      </c>
      <c r="I54" s="2177">
        <f t="shared" si="6"/>
        <v>0</v>
      </c>
      <c r="J54" s="2178"/>
      <c r="K54" s="2179"/>
      <c r="L54" s="2178"/>
      <c r="M54" s="2178"/>
      <c r="N54" s="2180"/>
      <c r="O54" s="2181">
        <f t="shared" si="7"/>
        <v>0</v>
      </c>
      <c r="P54" s="2182"/>
      <c r="Q54" s="2183"/>
      <c r="R54" s="780"/>
      <c r="S54" s="788"/>
      <c r="T54" s="2183"/>
      <c r="U54" s="780"/>
      <c r="V54" s="781"/>
      <c r="W54" s="2200"/>
      <c r="X54" s="198" t="b">
        <f t="shared" si="8"/>
        <v>0</v>
      </c>
    </row>
    <row r="55" spans="1:24" ht="15" customHeight="1">
      <c r="A55" s="211"/>
      <c r="B55" s="1998"/>
      <c r="C55" s="1710"/>
      <c r="D55" s="215" t="s">
        <v>486</v>
      </c>
      <c r="E55" s="1710"/>
      <c r="F55" s="215" t="s">
        <v>485</v>
      </c>
      <c r="G55" s="170">
        <f>ROUNDDOWN(C55*E55,2)</f>
        <v>0</v>
      </c>
      <c r="H55" s="1996">
        <v>1</v>
      </c>
      <c r="I55" s="873">
        <f t="shared" si="6"/>
        <v>0</v>
      </c>
      <c r="J55" s="212"/>
      <c r="K55" s="2151"/>
      <c r="L55" s="212"/>
      <c r="M55" s="212"/>
      <c r="N55" s="213"/>
      <c r="O55" s="729">
        <f t="shared" si="7"/>
        <v>0</v>
      </c>
      <c r="P55" s="733"/>
      <c r="Q55" s="214"/>
      <c r="R55" s="784"/>
      <c r="S55" s="790"/>
      <c r="T55" s="214"/>
      <c r="U55" s="784"/>
      <c r="V55" s="785"/>
      <c r="W55" s="2200"/>
      <c r="X55" s="198" t="b">
        <f t="shared" si="8"/>
        <v>0</v>
      </c>
    </row>
    <row r="56" spans="1:24" ht="15" customHeight="1">
      <c r="A56" s="216"/>
      <c r="B56" s="1999" t="s">
        <v>487</v>
      </c>
      <c r="C56" s="3">
        <f>調書!AC10</f>
        <v>0</v>
      </c>
      <c r="D56" s="217" t="s">
        <v>488</v>
      </c>
      <c r="E56" s="3">
        <f>SUM(I54:I55)</f>
        <v>0</v>
      </c>
      <c r="F56" s="217" t="s">
        <v>485</v>
      </c>
      <c r="G56" s="3">
        <f>C56-E56</f>
        <v>0</v>
      </c>
      <c r="H56" s="218">
        <v>1</v>
      </c>
      <c r="I56" s="874">
        <f t="shared" si="6"/>
        <v>0</v>
      </c>
      <c r="J56" s="219"/>
      <c r="K56" s="2152"/>
      <c r="L56" s="219"/>
      <c r="M56" s="219"/>
      <c r="N56" s="220"/>
      <c r="O56" s="730" t="str">
        <f t="shared" si="7"/>
        <v>（端数処理）</v>
      </c>
      <c r="P56" s="734"/>
      <c r="Q56" s="221"/>
      <c r="R56" s="786"/>
      <c r="S56" s="791"/>
      <c r="T56" s="221"/>
      <c r="U56" s="786"/>
      <c r="V56" s="787"/>
      <c r="W56" s="2200"/>
      <c r="X56" s="198" t="b">
        <f t="shared" si="8"/>
        <v>0</v>
      </c>
    </row>
    <row r="57" spans="1:24" ht="15" customHeight="1">
      <c r="A57" s="2173" t="s">
        <v>646</v>
      </c>
      <c r="B57" s="2174"/>
      <c r="C57" s="2172"/>
      <c r="D57" s="2175" t="s">
        <v>486</v>
      </c>
      <c r="E57" s="2172"/>
      <c r="F57" s="2175" t="s">
        <v>485</v>
      </c>
      <c r="G57" s="2171">
        <f>ROUNDDOWN(C57*E57,2)</f>
        <v>0</v>
      </c>
      <c r="H57" s="2176">
        <v>1</v>
      </c>
      <c r="I57" s="2177">
        <f t="shared" si="6"/>
        <v>0</v>
      </c>
      <c r="J57" s="2178"/>
      <c r="K57" s="2179"/>
      <c r="L57" s="2178"/>
      <c r="M57" s="2178"/>
      <c r="N57" s="2180"/>
      <c r="O57" s="2181">
        <f t="shared" si="7"/>
        <v>0</v>
      </c>
      <c r="P57" s="2182"/>
      <c r="Q57" s="2183"/>
      <c r="R57" s="780"/>
      <c r="S57" s="788"/>
      <c r="T57" s="2183"/>
      <c r="U57" s="780"/>
      <c r="V57" s="781"/>
      <c r="W57" s="2200"/>
      <c r="X57" s="198" t="b">
        <f t="shared" si="8"/>
        <v>0</v>
      </c>
    </row>
    <row r="58" spans="1:24" ht="15" customHeight="1">
      <c r="A58" s="211"/>
      <c r="B58" s="1998"/>
      <c r="C58" s="1710"/>
      <c r="D58" s="215" t="s">
        <v>486</v>
      </c>
      <c r="E58" s="1710"/>
      <c r="F58" s="215" t="s">
        <v>485</v>
      </c>
      <c r="G58" s="170">
        <f>ROUNDDOWN(C58*E58,2)</f>
        <v>0</v>
      </c>
      <c r="H58" s="1996">
        <v>1</v>
      </c>
      <c r="I58" s="873">
        <f t="shared" si="6"/>
        <v>0</v>
      </c>
      <c r="J58" s="212"/>
      <c r="K58" s="2151"/>
      <c r="L58" s="212"/>
      <c r="M58" s="212"/>
      <c r="N58" s="213"/>
      <c r="O58" s="729">
        <f t="shared" si="7"/>
        <v>0</v>
      </c>
      <c r="P58" s="733"/>
      <c r="Q58" s="214"/>
      <c r="R58" s="784"/>
      <c r="S58" s="790"/>
      <c r="T58" s="214"/>
      <c r="U58" s="784"/>
      <c r="V58" s="785"/>
      <c r="W58" s="2200"/>
      <c r="X58" s="198" t="b">
        <f t="shared" si="8"/>
        <v>0</v>
      </c>
    </row>
    <row r="59" spans="1:24" ht="15" customHeight="1">
      <c r="A59" s="216"/>
      <c r="B59" s="1999" t="s">
        <v>487</v>
      </c>
      <c r="C59" s="3">
        <f>調書!AG10</f>
        <v>0</v>
      </c>
      <c r="D59" s="217" t="s">
        <v>488</v>
      </c>
      <c r="E59" s="3">
        <f>SUM(I57:I58)</f>
        <v>0</v>
      </c>
      <c r="F59" s="217" t="s">
        <v>485</v>
      </c>
      <c r="G59" s="3">
        <f>C59-E59</f>
        <v>0</v>
      </c>
      <c r="H59" s="218">
        <v>1</v>
      </c>
      <c r="I59" s="874">
        <f t="shared" si="6"/>
        <v>0</v>
      </c>
      <c r="J59" s="219"/>
      <c r="K59" s="2152"/>
      <c r="L59" s="219"/>
      <c r="M59" s="219"/>
      <c r="N59" s="220"/>
      <c r="O59" s="730" t="str">
        <f t="shared" si="7"/>
        <v>（端数処理）</v>
      </c>
      <c r="P59" s="734"/>
      <c r="Q59" s="221"/>
      <c r="R59" s="786"/>
      <c r="S59" s="791"/>
      <c r="T59" s="221"/>
      <c r="U59" s="786"/>
      <c r="V59" s="787"/>
      <c r="W59" s="2200"/>
      <c r="X59" s="198" t="b">
        <f t="shared" si="8"/>
        <v>0</v>
      </c>
    </row>
    <row r="60" spans="1:24" ht="15" customHeight="1">
      <c r="A60" s="2173" t="s">
        <v>647</v>
      </c>
      <c r="B60" s="2174"/>
      <c r="C60" s="2172"/>
      <c r="D60" s="2175" t="s">
        <v>486</v>
      </c>
      <c r="E60" s="2172"/>
      <c r="F60" s="2175" t="s">
        <v>485</v>
      </c>
      <c r="G60" s="2171">
        <f>ROUNDDOWN(C60*E60,2)</f>
        <v>0</v>
      </c>
      <c r="H60" s="2176">
        <v>1</v>
      </c>
      <c r="I60" s="2177">
        <f t="shared" si="6"/>
        <v>0</v>
      </c>
      <c r="J60" s="2178"/>
      <c r="K60" s="2179"/>
      <c r="L60" s="2178"/>
      <c r="M60" s="2178"/>
      <c r="N60" s="2180"/>
      <c r="O60" s="2181">
        <f t="shared" si="7"/>
        <v>0</v>
      </c>
      <c r="P60" s="2182"/>
      <c r="Q60" s="2183"/>
      <c r="R60" s="780"/>
      <c r="S60" s="788"/>
      <c r="T60" s="2183"/>
      <c r="U60" s="780"/>
      <c r="V60" s="781"/>
      <c r="W60" s="2200"/>
      <c r="X60" s="198" t="b">
        <f t="shared" si="8"/>
        <v>0</v>
      </c>
    </row>
    <row r="61" spans="1:24" ht="15" customHeight="1">
      <c r="A61" s="211"/>
      <c r="B61" s="1998"/>
      <c r="C61" s="1710"/>
      <c r="D61" s="215" t="s">
        <v>486</v>
      </c>
      <c r="E61" s="1710"/>
      <c r="F61" s="215" t="s">
        <v>485</v>
      </c>
      <c r="G61" s="170">
        <f>ROUNDDOWN(C61*E61,2)</f>
        <v>0</v>
      </c>
      <c r="H61" s="1996">
        <v>1</v>
      </c>
      <c r="I61" s="873">
        <f t="shared" si="6"/>
        <v>0</v>
      </c>
      <c r="J61" s="212"/>
      <c r="K61" s="2151"/>
      <c r="L61" s="212"/>
      <c r="M61" s="212"/>
      <c r="N61" s="213"/>
      <c r="O61" s="729">
        <f t="shared" si="7"/>
        <v>0</v>
      </c>
      <c r="P61" s="733"/>
      <c r="Q61" s="214"/>
      <c r="R61" s="784"/>
      <c r="S61" s="790"/>
      <c r="T61" s="214"/>
      <c r="U61" s="784"/>
      <c r="V61" s="785"/>
      <c r="W61" s="2200"/>
      <c r="X61" s="198" t="b">
        <f t="shared" si="8"/>
        <v>0</v>
      </c>
    </row>
    <row r="62" spans="1:24" ht="15" customHeight="1">
      <c r="A62" s="216"/>
      <c r="B62" s="1999" t="s">
        <v>487</v>
      </c>
      <c r="C62" s="3">
        <f>調書!AK10</f>
        <v>0</v>
      </c>
      <c r="D62" s="217" t="s">
        <v>488</v>
      </c>
      <c r="E62" s="3">
        <f>SUM(I60:I61)</f>
        <v>0</v>
      </c>
      <c r="F62" s="217" t="s">
        <v>485</v>
      </c>
      <c r="G62" s="3">
        <f>C62-E62</f>
        <v>0</v>
      </c>
      <c r="H62" s="218">
        <v>1</v>
      </c>
      <c r="I62" s="874">
        <f t="shared" si="6"/>
        <v>0</v>
      </c>
      <c r="J62" s="219"/>
      <c r="K62" s="2152"/>
      <c r="L62" s="219"/>
      <c r="M62" s="219"/>
      <c r="N62" s="220"/>
      <c r="O62" s="730" t="str">
        <f t="shared" si="7"/>
        <v>（端数処理）</v>
      </c>
      <c r="P62" s="734"/>
      <c r="Q62" s="221"/>
      <c r="R62" s="786"/>
      <c r="S62" s="791"/>
      <c r="T62" s="221"/>
      <c r="U62" s="786"/>
      <c r="V62" s="787"/>
      <c r="W62" s="2200"/>
      <c r="X62" s="198" t="b">
        <f t="shared" si="8"/>
        <v>0</v>
      </c>
    </row>
    <row r="63" spans="1:24" ht="15" customHeight="1">
      <c r="A63" s="2173" t="s">
        <v>648</v>
      </c>
      <c r="B63" s="2174"/>
      <c r="C63" s="2172"/>
      <c r="D63" s="2175" t="s">
        <v>486</v>
      </c>
      <c r="E63" s="2172"/>
      <c r="F63" s="2175" t="s">
        <v>485</v>
      </c>
      <c r="G63" s="2171">
        <f>ROUNDDOWN(C63*E63,2)</f>
        <v>0</v>
      </c>
      <c r="H63" s="2176">
        <v>1</v>
      </c>
      <c r="I63" s="2177">
        <f t="shared" si="6"/>
        <v>0</v>
      </c>
      <c r="J63" s="2178"/>
      <c r="K63" s="2179"/>
      <c r="L63" s="2178"/>
      <c r="M63" s="2178"/>
      <c r="N63" s="2180"/>
      <c r="O63" s="2181">
        <f t="shared" si="7"/>
        <v>0</v>
      </c>
      <c r="P63" s="2182"/>
      <c r="Q63" s="2183"/>
      <c r="R63" s="780"/>
      <c r="S63" s="788"/>
      <c r="T63" s="2183"/>
      <c r="U63" s="780"/>
      <c r="V63" s="781"/>
      <c r="W63" s="2200"/>
      <c r="X63" s="198" t="b">
        <f t="shared" si="8"/>
        <v>0</v>
      </c>
    </row>
    <row r="64" spans="1:24" ht="15" customHeight="1">
      <c r="A64" s="211"/>
      <c r="B64" s="1998"/>
      <c r="C64" s="1710"/>
      <c r="D64" s="215" t="s">
        <v>486</v>
      </c>
      <c r="E64" s="1710"/>
      <c r="F64" s="215" t="s">
        <v>485</v>
      </c>
      <c r="G64" s="170">
        <f>ROUNDDOWN(C64*E64,2)</f>
        <v>0</v>
      </c>
      <c r="H64" s="1996">
        <v>1</v>
      </c>
      <c r="I64" s="873">
        <f t="shared" si="6"/>
        <v>0</v>
      </c>
      <c r="J64" s="212"/>
      <c r="K64" s="2151"/>
      <c r="L64" s="212"/>
      <c r="M64" s="212"/>
      <c r="N64" s="213"/>
      <c r="O64" s="729">
        <f t="shared" si="7"/>
        <v>0</v>
      </c>
      <c r="P64" s="733"/>
      <c r="Q64" s="214"/>
      <c r="R64" s="784"/>
      <c r="S64" s="790"/>
      <c r="T64" s="214"/>
      <c r="U64" s="784"/>
      <c r="V64" s="785"/>
      <c r="W64" s="2200"/>
      <c r="X64" s="198" t="b">
        <f t="shared" si="8"/>
        <v>0</v>
      </c>
    </row>
    <row r="65" spans="1:24" ht="15" customHeight="1">
      <c r="A65" s="216"/>
      <c r="B65" s="1999" t="s">
        <v>487</v>
      </c>
      <c r="C65" s="3">
        <f>調書!AO10</f>
        <v>0</v>
      </c>
      <c r="D65" s="217" t="s">
        <v>488</v>
      </c>
      <c r="E65" s="3">
        <f>SUM(I63:I64)</f>
        <v>0</v>
      </c>
      <c r="F65" s="217" t="s">
        <v>485</v>
      </c>
      <c r="G65" s="3">
        <f>C65-E65</f>
        <v>0</v>
      </c>
      <c r="H65" s="218">
        <v>1</v>
      </c>
      <c r="I65" s="874">
        <f t="shared" si="6"/>
        <v>0</v>
      </c>
      <c r="J65" s="219"/>
      <c r="K65" s="2152"/>
      <c r="L65" s="219"/>
      <c r="M65" s="219"/>
      <c r="N65" s="220"/>
      <c r="O65" s="730" t="str">
        <f t="shared" si="7"/>
        <v>（端数処理）</v>
      </c>
      <c r="P65" s="734"/>
      <c r="Q65" s="221"/>
      <c r="R65" s="786"/>
      <c r="S65" s="791"/>
      <c r="T65" s="221"/>
      <c r="U65" s="786"/>
      <c r="V65" s="787"/>
      <c r="W65" s="2200"/>
      <c r="X65" s="198" t="b">
        <f t="shared" si="8"/>
        <v>0</v>
      </c>
    </row>
    <row r="66" spans="1:24" ht="15" customHeight="1">
      <c r="A66" s="2173" t="s">
        <v>649</v>
      </c>
      <c r="B66" s="2174"/>
      <c r="C66" s="2172"/>
      <c r="D66" s="2175" t="s">
        <v>486</v>
      </c>
      <c r="E66" s="2172"/>
      <c r="F66" s="2175" t="s">
        <v>485</v>
      </c>
      <c r="G66" s="2171">
        <f>ROUNDDOWN(C66*E66,2)</f>
        <v>0</v>
      </c>
      <c r="H66" s="2176">
        <v>1</v>
      </c>
      <c r="I66" s="2177">
        <f t="shared" si="6"/>
        <v>0</v>
      </c>
      <c r="J66" s="2178"/>
      <c r="K66" s="2179"/>
      <c r="L66" s="2178"/>
      <c r="M66" s="2178"/>
      <c r="N66" s="2180"/>
      <c r="O66" s="2181">
        <f t="shared" si="7"/>
        <v>0</v>
      </c>
      <c r="P66" s="2182"/>
      <c r="Q66" s="2183"/>
      <c r="R66" s="780"/>
      <c r="S66" s="788"/>
      <c r="T66" s="2183"/>
      <c r="U66" s="780"/>
      <c r="V66" s="781"/>
      <c r="W66" s="2200"/>
      <c r="X66" s="198" t="b">
        <f t="shared" si="8"/>
        <v>0</v>
      </c>
    </row>
    <row r="67" spans="1:24" ht="15" customHeight="1">
      <c r="A67" s="211"/>
      <c r="B67" s="1998"/>
      <c r="C67" s="1710"/>
      <c r="D67" s="215" t="s">
        <v>486</v>
      </c>
      <c r="E67" s="1710"/>
      <c r="F67" s="215" t="s">
        <v>485</v>
      </c>
      <c r="G67" s="170">
        <f>ROUNDDOWN(C67*E67,2)</f>
        <v>0</v>
      </c>
      <c r="H67" s="1996">
        <v>1</v>
      </c>
      <c r="I67" s="873">
        <f t="shared" si="6"/>
        <v>0</v>
      </c>
      <c r="J67" s="212"/>
      <c r="K67" s="2151"/>
      <c r="L67" s="212"/>
      <c r="M67" s="212"/>
      <c r="N67" s="213"/>
      <c r="O67" s="731">
        <f t="shared" si="7"/>
        <v>0</v>
      </c>
      <c r="P67" s="733"/>
      <c r="Q67" s="214"/>
      <c r="R67" s="784"/>
      <c r="S67" s="790"/>
      <c r="T67" s="214"/>
      <c r="U67" s="784"/>
      <c r="V67" s="785"/>
      <c r="W67" s="2200"/>
      <c r="X67" s="198" t="b">
        <f t="shared" si="8"/>
        <v>0</v>
      </c>
    </row>
    <row r="68" spans="1:24" ht="15" customHeight="1">
      <c r="A68" s="216"/>
      <c r="B68" s="1999" t="s">
        <v>487</v>
      </c>
      <c r="C68" s="3">
        <f>調書!AS10</f>
        <v>0</v>
      </c>
      <c r="D68" s="217" t="s">
        <v>488</v>
      </c>
      <c r="E68" s="3">
        <f>SUM(I66:I67)</f>
        <v>0</v>
      </c>
      <c r="F68" s="217" t="s">
        <v>485</v>
      </c>
      <c r="G68" s="3">
        <f>C68-E68</f>
        <v>0</v>
      </c>
      <c r="H68" s="218">
        <v>1</v>
      </c>
      <c r="I68" s="874">
        <f t="shared" si="6"/>
        <v>0</v>
      </c>
      <c r="J68" s="219"/>
      <c r="K68" s="2152"/>
      <c r="L68" s="219"/>
      <c r="M68" s="219"/>
      <c r="N68" s="220"/>
      <c r="O68" s="730" t="str">
        <f t="shared" si="7"/>
        <v>（端数処理）</v>
      </c>
      <c r="P68" s="734"/>
      <c r="Q68" s="221"/>
      <c r="R68" s="786"/>
      <c r="S68" s="791"/>
      <c r="T68" s="221"/>
      <c r="U68" s="786"/>
      <c r="V68" s="787"/>
      <c r="W68" s="2200"/>
      <c r="X68" s="198" t="b">
        <f t="shared" si="8"/>
        <v>0</v>
      </c>
    </row>
    <row r="69" spans="1:24" ht="15" customHeight="1">
      <c r="A69" s="2173" t="s">
        <v>650</v>
      </c>
      <c r="B69" s="2174"/>
      <c r="C69" s="2172"/>
      <c r="D69" s="2175" t="s">
        <v>486</v>
      </c>
      <c r="E69" s="2172"/>
      <c r="F69" s="2175" t="s">
        <v>485</v>
      </c>
      <c r="G69" s="2171">
        <f>ROUNDDOWN(C69*E69,2)</f>
        <v>0</v>
      </c>
      <c r="H69" s="2176">
        <v>1</v>
      </c>
      <c r="I69" s="2177">
        <f t="shared" si="6"/>
        <v>0</v>
      </c>
      <c r="J69" s="2178"/>
      <c r="K69" s="2179"/>
      <c r="L69" s="2178"/>
      <c r="M69" s="2178"/>
      <c r="N69" s="2180"/>
      <c r="O69" s="2181">
        <f t="shared" si="7"/>
        <v>0</v>
      </c>
      <c r="P69" s="2182"/>
      <c r="Q69" s="2183"/>
      <c r="R69" s="780"/>
      <c r="S69" s="788"/>
      <c r="T69" s="2183"/>
      <c r="U69" s="780"/>
      <c r="V69" s="781"/>
      <c r="W69" s="2200"/>
      <c r="X69" s="198" t="b">
        <f t="shared" si="8"/>
        <v>0</v>
      </c>
    </row>
    <row r="70" spans="1:24" ht="15" customHeight="1">
      <c r="A70" s="211"/>
      <c r="B70" s="1998"/>
      <c r="C70" s="1710"/>
      <c r="D70" s="215" t="s">
        <v>486</v>
      </c>
      <c r="E70" s="1710"/>
      <c r="F70" s="215" t="s">
        <v>485</v>
      </c>
      <c r="G70" s="170">
        <f>ROUNDDOWN(C70*E70,2)</f>
        <v>0</v>
      </c>
      <c r="H70" s="1996">
        <v>1</v>
      </c>
      <c r="I70" s="873">
        <f t="shared" ref="I70:I89" si="9">G70*H70</f>
        <v>0</v>
      </c>
      <c r="J70" s="212"/>
      <c r="K70" s="2151"/>
      <c r="L70" s="212"/>
      <c r="M70" s="212"/>
      <c r="N70" s="213"/>
      <c r="O70" s="729">
        <f t="shared" ref="O70:O89" si="10">B70</f>
        <v>0</v>
      </c>
      <c r="P70" s="733"/>
      <c r="Q70" s="214"/>
      <c r="R70" s="784"/>
      <c r="S70" s="790"/>
      <c r="T70" s="214"/>
      <c r="U70" s="784"/>
      <c r="V70" s="785"/>
      <c r="W70" s="2200"/>
      <c r="X70" s="198" t="b">
        <f t="shared" ref="X70:X89" si="11">G70&lt;&gt;0</f>
        <v>0</v>
      </c>
    </row>
    <row r="71" spans="1:24" ht="15" customHeight="1">
      <c r="A71" s="216"/>
      <c r="B71" s="1999" t="s">
        <v>487</v>
      </c>
      <c r="C71" s="3">
        <f>調書!AW10</f>
        <v>0</v>
      </c>
      <c r="D71" s="217" t="s">
        <v>488</v>
      </c>
      <c r="E71" s="3">
        <f>SUM(I69:I70)</f>
        <v>0</v>
      </c>
      <c r="F71" s="217" t="s">
        <v>485</v>
      </c>
      <c r="G71" s="3">
        <f>C71-E71</f>
        <v>0</v>
      </c>
      <c r="H71" s="218">
        <v>1</v>
      </c>
      <c r="I71" s="874">
        <f t="shared" si="9"/>
        <v>0</v>
      </c>
      <c r="J71" s="219"/>
      <c r="K71" s="2152"/>
      <c r="L71" s="219"/>
      <c r="M71" s="219"/>
      <c r="N71" s="220"/>
      <c r="O71" s="730" t="str">
        <f t="shared" si="10"/>
        <v>（端数処理）</v>
      </c>
      <c r="P71" s="734"/>
      <c r="Q71" s="221"/>
      <c r="R71" s="786"/>
      <c r="S71" s="791"/>
      <c r="T71" s="221"/>
      <c r="U71" s="786"/>
      <c r="V71" s="787"/>
      <c r="W71" s="2200"/>
      <c r="X71" s="198" t="b">
        <f t="shared" si="11"/>
        <v>0</v>
      </c>
    </row>
    <row r="72" spans="1:24" ht="15" customHeight="1">
      <c r="A72" s="2173" t="s">
        <v>492</v>
      </c>
      <c r="B72" s="2174"/>
      <c r="C72" s="2172"/>
      <c r="D72" s="2175" t="s">
        <v>486</v>
      </c>
      <c r="E72" s="2172"/>
      <c r="F72" s="2175" t="s">
        <v>485</v>
      </c>
      <c r="G72" s="2171">
        <f>ROUNDDOWN(C72*E72,2)</f>
        <v>0</v>
      </c>
      <c r="H72" s="2176">
        <v>1</v>
      </c>
      <c r="I72" s="2177">
        <f t="shared" si="9"/>
        <v>0</v>
      </c>
      <c r="J72" s="2178"/>
      <c r="K72" s="2179"/>
      <c r="L72" s="2178"/>
      <c r="M72" s="2178"/>
      <c r="N72" s="2180"/>
      <c r="O72" s="2181">
        <f t="shared" si="10"/>
        <v>0</v>
      </c>
      <c r="P72" s="2182"/>
      <c r="Q72" s="2183"/>
      <c r="R72" s="780"/>
      <c r="S72" s="788"/>
      <c r="T72" s="2183"/>
      <c r="U72" s="780"/>
      <c r="V72" s="781"/>
      <c r="W72" s="2200"/>
      <c r="X72" s="198" t="b">
        <f t="shared" si="11"/>
        <v>0</v>
      </c>
    </row>
    <row r="73" spans="1:24" ht="15" customHeight="1">
      <c r="A73" s="211"/>
      <c r="B73" s="1998"/>
      <c r="C73" s="1710"/>
      <c r="D73" s="215" t="s">
        <v>486</v>
      </c>
      <c r="E73" s="1710"/>
      <c r="F73" s="215" t="s">
        <v>485</v>
      </c>
      <c r="G73" s="170">
        <f>ROUNDDOWN(C73*E73,2)</f>
        <v>0</v>
      </c>
      <c r="H73" s="1996">
        <v>1</v>
      </c>
      <c r="I73" s="873">
        <f t="shared" si="9"/>
        <v>0</v>
      </c>
      <c r="J73" s="212"/>
      <c r="K73" s="2151"/>
      <c r="L73" s="212"/>
      <c r="M73" s="212"/>
      <c r="N73" s="213"/>
      <c r="O73" s="729">
        <f t="shared" si="10"/>
        <v>0</v>
      </c>
      <c r="P73" s="733"/>
      <c r="Q73" s="214"/>
      <c r="R73" s="784"/>
      <c r="S73" s="790"/>
      <c r="T73" s="214"/>
      <c r="U73" s="784"/>
      <c r="V73" s="785"/>
      <c r="W73" s="2200"/>
      <c r="X73" s="198" t="b">
        <f t="shared" si="11"/>
        <v>0</v>
      </c>
    </row>
    <row r="74" spans="1:24" ht="15" customHeight="1">
      <c r="A74" s="216"/>
      <c r="B74" s="1999" t="s">
        <v>487</v>
      </c>
      <c r="C74" s="3">
        <f>調書!M12</f>
        <v>0</v>
      </c>
      <c r="D74" s="217" t="s">
        <v>488</v>
      </c>
      <c r="E74" s="3">
        <f>SUM(I72:I73)</f>
        <v>0</v>
      </c>
      <c r="F74" s="217" t="s">
        <v>485</v>
      </c>
      <c r="G74" s="3">
        <f>C74-E74</f>
        <v>0</v>
      </c>
      <c r="H74" s="218">
        <v>1</v>
      </c>
      <c r="I74" s="874">
        <f t="shared" si="9"/>
        <v>0</v>
      </c>
      <c r="J74" s="219"/>
      <c r="K74" s="2152"/>
      <c r="L74" s="219"/>
      <c r="M74" s="219"/>
      <c r="N74" s="220"/>
      <c r="O74" s="730" t="str">
        <f t="shared" si="10"/>
        <v>（端数処理）</v>
      </c>
      <c r="P74" s="734"/>
      <c r="Q74" s="221"/>
      <c r="R74" s="786"/>
      <c r="S74" s="791"/>
      <c r="T74" s="221"/>
      <c r="U74" s="786"/>
      <c r="V74" s="787"/>
      <c r="W74" s="2200"/>
      <c r="X74" s="198" t="b">
        <f t="shared" si="11"/>
        <v>0</v>
      </c>
    </row>
    <row r="75" spans="1:24" ht="15" customHeight="1">
      <c r="A75" s="2173" t="s">
        <v>493</v>
      </c>
      <c r="B75" s="2174"/>
      <c r="C75" s="2172"/>
      <c r="D75" s="2175" t="s">
        <v>486</v>
      </c>
      <c r="E75" s="2172"/>
      <c r="F75" s="2175" t="s">
        <v>485</v>
      </c>
      <c r="G75" s="2171">
        <f>ROUNDDOWN(C75*E75,2)</f>
        <v>0</v>
      </c>
      <c r="H75" s="2176">
        <v>1</v>
      </c>
      <c r="I75" s="2177">
        <f t="shared" si="9"/>
        <v>0</v>
      </c>
      <c r="J75" s="2178"/>
      <c r="K75" s="2179"/>
      <c r="L75" s="2178"/>
      <c r="M75" s="2178"/>
      <c r="N75" s="2180"/>
      <c r="O75" s="2181">
        <f t="shared" si="10"/>
        <v>0</v>
      </c>
      <c r="P75" s="2182"/>
      <c r="Q75" s="2183"/>
      <c r="R75" s="780"/>
      <c r="S75" s="788"/>
      <c r="T75" s="2183"/>
      <c r="U75" s="780"/>
      <c r="V75" s="781"/>
      <c r="W75" s="2200"/>
      <c r="X75" s="198" t="b">
        <f t="shared" si="11"/>
        <v>0</v>
      </c>
    </row>
    <row r="76" spans="1:24" ht="15" customHeight="1">
      <c r="A76" s="211"/>
      <c r="B76" s="1998"/>
      <c r="C76" s="1710"/>
      <c r="D76" s="215" t="s">
        <v>486</v>
      </c>
      <c r="E76" s="1710"/>
      <c r="F76" s="215" t="s">
        <v>485</v>
      </c>
      <c r="G76" s="170">
        <f>ROUNDDOWN(C76*E76,2)</f>
        <v>0</v>
      </c>
      <c r="H76" s="1996">
        <v>1</v>
      </c>
      <c r="I76" s="873">
        <f t="shared" si="9"/>
        <v>0</v>
      </c>
      <c r="J76" s="212"/>
      <c r="K76" s="2151"/>
      <c r="L76" s="212"/>
      <c r="M76" s="212"/>
      <c r="N76" s="213"/>
      <c r="O76" s="729">
        <f t="shared" si="10"/>
        <v>0</v>
      </c>
      <c r="P76" s="733"/>
      <c r="Q76" s="214"/>
      <c r="R76" s="784"/>
      <c r="S76" s="790"/>
      <c r="T76" s="214"/>
      <c r="U76" s="784"/>
      <c r="V76" s="785"/>
      <c r="W76" s="2200"/>
      <c r="X76" s="198" t="b">
        <f t="shared" si="11"/>
        <v>0</v>
      </c>
    </row>
    <row r="77" spans="1:24" ht="15" customHeight="1">
      <c r="A77" s="216"/>
      <c r="B77" s="1999" t="s">
        <v>487</v>
      </c>
      <c r="C77" s="3">
        <f>調書!Q12</f>
        <v>0</v>
      </c>
      <c r="D77" s="217" t="s">
        <v>488</v>
      </c>
      <c r="E77" s="3">
        <f>SUM(I75:I76)</f>
        <v>0</v>
      </c>
      <c r="F77" s="217" t="s">
        <v>485</v>
      </c>
      <c r="G77" s="3">
        <f>C77-E77</f>
        <v>0</v>
      </c>
      <c r="H77" s="218">
        <v>1</v>
      </c>
      <c r="I77" s="874">
        <f t="shared" si="9"/>
        <v>0</v>
      </c>
      <c r="J77" s="219"/>
      <c r="K77" s="2152"/>
      <c r="L77" s="219"/>
      <c r="M77" s="219"/>
      <c r="N77" s="220"/>
      <c r="O77" s="730" t="str">
        <f t="shared" si="10"/>
        <v>（端数処理）</v>
      </c>
      <c r="P77" s="734"/>
      <c r="Q77" s="221"/>
      <c r="R77" s="786"/>
      <c r="S77" s="791"/>
      <c r="T77" s="221"/>
      <c r="U77" s="786"/>
      <c r="V77" s="787"/>
      <c r="W77" s="2200"/>
      <c r="X77" s="198" t="b">
        <f t="shared" si="11"/>
        <v>0</v>
      </c>
    </row>
    <row r="78" spans="1:24" ht="15" customHeight="1">
      <c r="A78" s="2173" t="s">
        <v>494</v>
      </c>
      <c r="B78" s="2174"/>
      <c r="C78" s="2172"/>
      <c r="D78" s="2175" t="s">
        <v>486</v>
      </c>
      <c r="E78" s="2172"/>
      <c r="F78" s="2175" t="s">
        <v>485</v>
      </c>
      <c r="G78" s="2171">
        <f>ROUNDDOWN(C78*E78,2)</f>
        <v>0</v>
      </c>
      <c r="H78" s="2176">
        <v>1</v>
      </c>
      <c r="I78" s="2177">
        <f t="shared" si="9"/>
        <v>0</v>
      </c>
      <c r="J78" s="2178"/>
      <c r="K78" s="2179"/>
      <c r="L78" s="2178"/>
      <c r="M78" s="2178"/>
      <c r="N78" s="2180"/>
      <c r="O78" s="2181">
        <f t="shared" si="10"/>
        <v>0</v>
      </c>
      <c r="P78" s="2182"/>
      <c r="Q78" s="2183"/>
      <c r="R78" s="780"/>
      <c r="S78" s="788"/>
      <c r="T78" s="2183"/>
      <c r="U78" s="780"/>
      <c r="V78" s="781"/>
      <c r="W78" s="2200"/>
      <c r="X78" s="198" t="b">
        <f t="shared" si="11"/>
        <v>0</v>
      </c>
    </row>
    <row r="79" spans="1:24" ht="15" customHeight="1">
      <c r="A79" s="211"/>
      <c r="B79" s="1998"/>
      <c r="C79" s="1710"/>
      <c r="D79" s="215" t="s">
        <v>486</v>
      </c>
      <c r="E79" s="1710"/>
      <c r="F79" s="215" t="s">
        <v>485</v>
      </c>
      <c r="G79" s="170">
        <f>ROUNDDOWN(C79*E79,2)</f>
        <v>0</v>
      </c>
      <c r="H79" s="1996">
        <v>1</v>
      </c>
      <c r="I79" s="873">
        <f t="shared" si="9"/>
        <v>0</v>
      </c>
      <c r="J79" s="212"/>
      <c r="K79" s="2151"/>
      <c r="L79" s="212"/>
      <c r="M79" s="212"/>
      <c r="N79" s="213"/>
      <c r="O79" s="729">
        <f t="shared" si="10"/>
        <v>0</v>
      </c>
      <c r="P79" s="733"/>
      <c r="Q79" s="214"/>
      <c r="R79" s="784"/>
      <c r="S79" s="790"/>
      <c r="T79" s="214"/>
      <c r="U79" s="784"/>
      <c r="V79" s="785"/>
      <c r="W79" s="2200"/>
      <c r="X79" s="198" t="b">
        <f t="shared" si="11"/>
        <v>0</v>
      </c>
    </row>
    <row r="80" spans="1:24" ht="15" customHeight="1">
      <c r="A80" s="216"/>
      <c r="B80" s="1999" t="s">
        <v>487</v>
      </c>
      <c r="C80" s="3">
        <f>調書!U12</f>
        <v>0</v>
      </c>
      <c r="D80" s="217" t="s">
        <v>488</v>
      </c>
      <c r="E80" s="3">
        <f>SUM(I78:I79)</f>
        <v>0</v>
      </c>
      <c r="F80" s="217" t="s">
        <v>485</v>
      </c>
      <c r="G80" s="3">
        <f>C80-E80</f>
        <v>0</v>
      </c>
      <c r="H80" s="218">
        <v>1</v>
      </c>
      <c r="I80" s="874">
        <f t="shared" si="9"/>
        <v>0</v>
      </c>
      <c r="J80" s="219"/>
      <c r="K80" s="2152"/>
      <c r="L80" s="219"/>
      <c r="M80" s="219"/>
      <c r="N80" s="220"/>
      <c r="O80" s="730" t="str">
        <f t="shared" si="10"/>
        <v>（端数処理）</v>
      </c>
      <c r="P80" s="734"/>
      <c r="Q80" s="221"/>
      <c r="R80" s="786"/>
      <c r="S80" s="791"/>
      <c r="T80" s="221"/>
      <c r="U80" s="786"/>
      <c r="V80" s="787"/>
      <c r="W80" s="2200"/>
      <c r="X80" s="198" t="b">
        <f t="shared" si="11"/>
        <v>0</v>
      </c>
    </row>
    <row r="81" spans="1:24" ht="15" customHeight="1">
      <c r="A81" s="2173" t="s">
        <v>495</v>
      </c>
      <c r="B81" s="2174"/>
      <c r="C81" s="2172"/>
      <c r="D81" s="2175" t="s">
        <v>486</v>
      </c>
      <c r="E81" s="2172"/>
      <c r="F81" s="2175" t="s">
        <v>485</v>
      </c>
      <c r="G81" s="2171">
        <f>ROUNDDOWN(C81*E81,2)</f>
        <v>0</v>
      </c>
      <c r="H81" s="2176">
        <v>1</v>
      </c>
      <c r="I81" s="2177">
        <f t="shared" si="9"/>
        <v>0</v>
      </c>
      <c r="J81" s="2178"/>
      <c r="K81" s="2179"/>
      <c r="L81" s="2178"/>
      <c r="M81" s="2178"/>
      <c r="N81" s="2180"/>
      <c r="O81" s="2181">
        <f t="shared" si="10"/>
        <v>0</v>
      </c>
      <c r="P81" s="2182"/>
      <c r="Q81" s="2183"/>
      <c r="R81" s="780"/>
      <c r="S81" s="788"/>
      <c r="T81" s="2183"/>
      <c r="U81" s="780"/>
      <c r="V81" s="781"/>
      <c r="W81" s="2200"/>
      <c r="X81" s="198" t="b">
        <f t="shared" si="11"/>
        <v>0</v>
      </c>
    </row>
    <row r="82" spans="1:24" ht="15" customHeight="1">
      <c r="A82" s="211"/>
      <c r="B82" s="1998"/>
      <c r="C82" s="1710"/>
      <c r="D82" s="215" t="s">
        <v>486</v>
      </c>
      <c r="E82" s="1710"/>
      <c r="F82" s="215" t="s">
        <v>485</v>
      </c>
      <c r="G82" s="170">
        <f>ROUNDDOWN(C82*E82,2)</f>
        <v>0</v>
      </c>
      <c r="H82" s="1996">
        <v>1</v>
      </c>
      <c r="I82" s="873">
        <f t="shared" si="9"/>
        <v>0</v>
      </c>
      <c r="J82" s="212"/>
      <c r="K82" s="2151"/>
      <c r="L82" s="212"/>
      <c r="M82" s="212"/>
      <c r="N82" s="213"/>
      <c r="O82" s="729">
        <f t="shared" si="10"/>
        <v>0</v>
      </c>
      <c r="P82" s="733"/>
      <c r="Q82" s="214"/>
      <c r="R82" s="784"/>
      <c r="S82" s="790"/>
      <c r="T82" s="214"/>
      <c r="U82" s="784"/>
      <c r="V82" s="785"/>
      <c r="W82" s="2200"/>
      <c r="X82" s="198" t="b">
        <f t="shared" si="11"/>
        <v>0</v>
      </c>
    </row>
    <row r="83" spans="1:24" ht="15" customHeight="1">
      <c r="A83" s="216"/>
      <c r="B83" s="1999" t="s">
        <v>487</v>
      </c>
      <c r="C83" s="3">
        <f>調書!Y12</f>
        <v>0</v>
      </c>
      <c r="D83" s="217" t="s">
        <v>488</v>
      </c>
      <c r="E83" s="3">
        <f>SUM(I81:I82)</f>
        <v>0</v>
      </c>
      <c r="F83" s="217" t="s">
        <v>485</v>
      </c>
      <c r="G83" s="3">
        <f>C83-E83</f>
        <v>0</v>
      </c>
      <c r="H83" s="218">
        <v>1</v>
      </c>
      <c r="I83" s="874">
        <f t="shared" si="9"/>
        <v>0</v>
      </c>
      <c r="J83" s="219"/>
      <c r="K83" s="2152"/>
      <c r="L83" s="219"/>
      <c r="M83" s="219"/>
      <c r="N83" s="220"/>
      <c r="O83" s="730" t="str">
        <f t="shared" si="10"/>
        <v>（端数処理）</v>
      </c>
      <c r="P83" s="734"/>
      <c r="Q83" s="221"/>
      <c r="R83" s="786"/>
      <c r="S83" s="791"/>
      <c r="T83" s="221"/>
      <c r="U83" s="786"/>
      <c r="V83" s="787"/>
      <c r="W83" s="2200"/>
      <c r="X83" s="198" t="b">
        <f t="shared" si="11"/>
        <v>0</v>
      </c>
    </row>
    <row r="84" spans="1:24" ht="15" customHeight="1">
      <c r="A84" s="2173" t="s">
        <v>496</v>
      </c>
      <c r="B84" s="2174"/>
      <c r="C84" s="2172"/>
      <c r="D84" s="2175" t="s">
        <v>486</v>
      </c>
      <c r="E84" s="2172"/>
      <c r="F84" s="2175" t="s">
        <v>485</v>
      </c>
      <c r="G84" s="2171">
        <f>ROUNDDOWN(C84*E84,2)</f>
        <v>0</v>
      </c>
      <c r="H84" s="2176">
        <v>1</v>
      </c>
      <c r="I84" s="2177">
        <f t="shared" si="9"/>
        <v>0</v>
      </c>
      <c r="J84" s="2178"/>
      <c r="K84" s="2179"/>
      <c r="L84" s="2178"/>
      <c r="M84" s="2178"/>
      <c r="N84" s="2180"/>
      <c r="O84" s="2181">
        <f t="shared" si="10"/>
        <v>0</v>
      </c>
      <c r="P84" s="2182"/>
      <c r="Q84" s="2183"/>
      <c r="R84" s="780"/>
      <c r="S84" s="788"/>
      <c r="T84" s="2183"/>
      <c r="U84" s="780"/>
      <c r="V84" s="781"/>
      <c r="W84" s="2200"/>
      <c r="X84" s="198" t="b">
        <f t="shared" si="11"/>
        <v>0</v>
      </c>
    </row>
    <row r="85" spans="1:24" ht="15" customHeight="1">
      <c r="A85" s="211"/>
      <c r="B85" s="1998"/>
      <c r="C85" s="1710"/>
      <c r="D85" s="215" t="s">
        <v>486</v>
      </c>
      <c r="E85" s="1710"/>
      <c r="F85" s="215" t="s">
        <v>485</v>
      </c>
      <c r="G85" s="170">
        <f>ROUNDDOWN(C85*E85,2)</f>
        <v>0</v>
      </c>
      <c r="H85" s="1996">
        <v>1</v>
      </c>
      <c r="I85" s="873">
        <f t="shared" si="9"/>
        <v>0</v>
      </c>
      <c r="J85" s="212"/>
      <c r="K85" s="2151"/>
      <c r="L85" s="212"/>
      <c r="M85" s="212"/>
      <c r="N85" s="213"/>
      <c r="O85" s="729">
        <f t="shared" si="10"/>
        <v>0</v>
      </c>
      <c r="P85" s="733"/>
      <c r="Q85" s="214"/>
      <c r="R85" s="784"/>
      <c r="S85" s="790"/>
      <c r="T85" s="214"/>
      <c r="U85" s="784"/>
      <c r="V85" s="785"/>
      <c r="W85" s="2200"/>
      <c r="X85" s="198" t="b">
        <f t="shared" si="11"/>
        <v>0</v>
      </c>
    </row>
    <row r="86" spans="1:24" ht="15" customHeight="1">
      <c r="A86" s="216"/>
      <c r="B86" s="1999" t="s">
        <v>487</v>
      </c>
      <c r="C86" s="3">
        <f>調書!AC12</f>
        <v>0</v>
      </c>
      <c r="D86" s="217" t="s">
        <v>488</v>
      </c>
      <c r="E86" s="3">
        <f>SUM(I84:I85)</f>
        <v>0</v>
      </c>
      <c r="F86" s="217" t="s">
        <v>485</v>
      </c>
      <c r="G86" s="3">
        <f>C86-E86</f>
        <v>0</v>
      </c>
      <c r="H86" s="218">
        <v>1</v>
      </c>
      <c r="I86" s="874">
        <f t="shared" si="9"/>
        <v>0</v>
      </c>
      <c r="J86" s="219"/>
      <c r="K86" s="2152"/>
      <c r="L86" s="219"/>
      <c r="M86" s="219"/>
      <c r="N86" s="220"/>
      <c r="O86" s="730" t="str">
        <f t="shared" si="10"/>
        <v>（端数処理）</v>
      </c>
      <c r="P86" s="734"/>
      <c r="Q86" s="221"/>
      <c r="R86" s="786"/>
      <c r="S86" s="791"/>
      <c r="T86" s="221"/>
      <c r="U86" s="786"/>
      <c r="V86" s="787"/>
      <c r="W86" s="2200"/>
      <c r="X86" s="198" t="b">
        <f t="shared" si="11"/>
        <v>0</v>
      </c>
    </row>
    <row r="87" spans="1:24" ht="15" customHeight="1">
      <c r="A87" s="2173" t="s">
        <v>497</v>
      </c>
      <c r="B87" s="2174"/>
      <c r="C87" s="2172"/>
      <c r="D87" s="2175" t="s">
        <v>486</v>
      </c>
      <c r="E87" s="2172"/>
      <c r="F87" s="2175" t="s">
        <v>485</v>
      </c>
      <c r="G87" s="2171">
        <f>ROUNDDOWN(C87*E87,2)</f>
        <v>0</v>
      </c>
      <c r="H87" s="2176">
        <v>1</v>
      </c>
      <c r="I87" s="2177">
        <f t="shared" si="9"/>
        <v>0</v>
      </c>
      <c r="J87" s="2178"/>
      <c r="K87" s="2179"/>
      <c r="L87" s="2178"/>
      <c r="M87" s="2178"/>
      <c r="N87" s="2180"/>
      <c r="O87" s="2181">
        <f t="shared" si="10"/>
        <v>0</v>
      </c>
      <c r="P87" s="2182"/>
      <c r="Q87" s="2183"/>
      <c r="R87" s="780"/>
      <c r="S87" s="788"/>
      <c r="T87" s="2183"/>
      <c r="U87" s="780"/>
      <c r="V87" s="781"/>
      <c r="W87" s="2200"/>
      <c r="X87" s="198" t="b">
        <f t="shared" si="11"/>
        <v>0</v>
      </c>
    </row>
    <row r="88" spans="1:24" ht="15" customHeight="1">
      <c r="A88" s="211"/>
      <c r="B88" s="1998"/>
      <c r="C88" s="1710"/>
      <c r="D88" s="215" t="s">
        <v>486</v>
      </c>
      <c r="E88" s="1710"/>
      <c r="F88" s="215" t="s">
        <v>485</v>
      </c>
      <c r="G88" s="170">
        <f>ROUNDDOWN(C88*E88,2)</f>
        <v>0</v>
      </c>
      <c r="H88" s="1996">
        <v>1</v>
      </c>
      <c r="I88" s="873">
        <f t="shared" si="9"/>
        <v>0</v>
      </c>
      <c r="J88" s="212"/>
      <c r="K88" s="2151"/>
      <c r="L88" s="212"/>
      <c r="M88" s="212"/>
      <c r="N88" s="213"/>
      <c r="O88" s="729">
        <f t="shared" si="10"/>
        <v>0</v>
      </c>
      <c r="P88" s="733"/>
      <c r="Q88" s="214"/>
      <c r="R88" s="784"/>
      <c r="S88" s="790"/>
      <c r="T88" s="214"/>
      <c r="U88" s="784"/>
      <c r="V88" s="785"/>
      <c r="W88" s="2200"/>
      <c r="X88" s="198" t="b">
        <f t="shared" si="11"/>
        <v>0</v>
      </c>
    </row>
    <row r="89" spans="1:24" ht="15" customHeight="1">
      <c r="A89" s="216"/>
      <c r="B89" s="1999" t="s">
        <v>487</v>
      </c>
      <c r="C89" s="3">
        <f>調書!AG12</f>
        <v>0</v>
      </c>
      <c r="D89" s="217" t="s">
        <v>488</v>
      </c>
      <c r="E89" s="3">
        <f>SUM(I87:I88)</f>
        <v>0</v>
      </c>
      <c r="F89" s="217" t="s">
        <v>485</v>
      </c>
      <c r="G89" s="3">
        <f>C89-E89</f>
        <v>0</v>
      </c>
      <c r="H89" s="218">
        <v>1</v>
      </c>
      <c r="I89" s="874">
        <f t="shared" si="9"/>
        <v>0</v>
      </c>
      <c r="J89" s="219"/>
      <c r="K89" s="2152"/>
      <c r="L89" s="219"/>
      <c r="M89" s="219"/>
      <c r="N89" s="220"/>
      <c r="O89" s="730" t="str">
        <f t="shared" si="10"/>
        <v>（端数処理）</v>
      </c>
      <c r="P89" s="734"/>
      <c r="Q89" s="221"/>
      <c r="R89" s="786"/>
      <c r="S89" s="791"/>
      <c r="T89" s="221"/>
      <c r="U89" s="786"/>
      <c r="V89" s="787"/>
      <c r="W89" s="2200"/>
      <c r="X89" s="198" t="b">
        <f t="shared" si="11"/>
        <v>0</v>
      </c>
    </row>
    <row r="90" spans="1:24" ht="15" customHeight="1">
      <c r="A90" s="2184"/>
      <c r="B90" s="2185"/>
      <c r="C90" s="2186"/>
      <c r="D90" s="2185"/>
      <c r="E90" s="2186"/>
      <c r="F90" s="2185"/>
      <c r="G90" s="2187"/>
      <c r="H90" s="2188"/>
      <c r="I90" s="2189" t="s">
        <v>498</v>
      </c>
      <c r="J90" s="2153" t="str">
        <f>+J5</f>
        <v>拡声器</v>
      </c>
      <c r="K90" s="2153" t="str">
        <f>+K5</f>
        <v>空調</v>
      </c>
      <c r="L90" s="2153" t="str">
        <f>+L5</f>
        <v>換気設備</v>
      </c>
      <c r="M90" s="2190" t="str">
        <f>+M5</f>
        <v>火災報知</v>
      </c>
      <c r="N90" s="2191" t="str">
        <f>+N5</f>
        <v>ｽﾌﾟﾘﾝｸﾗ</v>
      </c>
      <c r="O90" s="3136" t="s">
        <v>499</v>
      </c>
      <c r="P90" s="1761" t="s">
        <v>481</v>
      </c>
      <c r="Q90" s="1762" t="s">
        <v>482</v>
      </c>
      <c r="R90" s="3130" t="s">
        <v>1517</v>
      </c>
      <c r="S90" s="3131"/>
      <c r="T90" s="1762" t="s">
        <v>483</v>
      </c>
      <c r="U90" s="3130" t="s">
        <v>1518</v>
      </c>
      <c r="V90" s="3134"/>
      <c r="W90" s="2200"/>
      <c r="X90" s="198" t="b">
        <v>1</v>
      </c>
    </row>
    <row r="91" spans="1:24" ht="15" customHeight="1" thickBot="1">
      <c r="A91" s="2192"/>
      <c r="B91" s="2193"/>
      <c r="C91" s="2194"/>
      <c r="D91" s="2193"/>
      <c r="E91" s="2194"/>
      <c r="F91" s="2193"/>
      <c r="G91" s="2195"/>
      <c r="H91" s="2196"/>
      <c r="I91" s="875">
        <f>SUM(I4:I90)</f>
        <v>0</v>
      </c>
      <c r="J91" s="222">
        <f>SUMIF(J$4:J$90,"○",$I$4:$I$90)</f>
        <v>0</v>
      </c>
      <c r="K91" s="222">
        <f>SUMIF(K$4:K$90,"○",$I$4:$I$90)</f>
        <v>0</v>
      </c>
      <c r="L91" s="222">
        <f>SUMIFS($I$4:$I$89,L$4:L$89,"○",K$4:K$89,"&lt;&gt;○")</f>
        <v>0</v>
      </c>
      <c r="M91" s="222">
        <f>SUMIF(M$4:M$90,"○",$I$4:$I$90)</f>
        <v>0</v>
      </c>
      <c r="N91" s="223">
        <f>SUMIF(N$4:N$90,"○",$I$4:$I$90)</f>
        <v>0</v>
      </c>
      <c r="O91" s="3137"/>
      <c r="P91" s="735">
        <f>SUMIF(P4:P90,"*",$I4:$I90)-SUMIF(P4:P90,"無し",$I4:$I90)</f>
        <v>0</v>
      </c>
      <c r="Q91" s="224">
        <f>SUMIF(Q4:Q90,"*",$I4:$I90)-SUMIF(Q4:Q90,"無し",$I4:$I90)</f>
        <v>0</v>
      </c>
      <c r="R91" s="3132">
        <f>SUMIF(R4:R90,"*",$I4:$I90)-SUMIF(R4:R90,"無し",$I4:$I90)+SUMIF(S4:S90,"*",$I4:$I90)-SUMIF(S4:S90,"無し",$I4:$I90)</f>
        <v>0</v>
      </c>
      <c r="S91" s="3133"/>
      <c r="T91" s="224">
        <f>SUMIF(T4:T90,"*",$I4:$I90)-SUMIF(T4:T90,"無し",$I4:$I90)</f>
        <v>0</v>
      </c>
      <c r="U91" s="3132">
        <f>SUMIF(U4:U90,"*",$I4:$I90)-SUMIF(U4:U90,"無し",$I4:$I90)+SUMIF(V4:V90,"*",$I4:$I90)-SUMIF(V4:V90,"無し",$I4:$I90)</f>
        <v>0</v>
      </c>
      <c r="V91" s="3135"/>
      <c r="W91" s="2200"/>
      <c r="X91" s="198" t="b">
        <v>1</v>
      </c>
    </row>
    <row r="100" spans="11:11" ht="15" customHeight="1">
      <c r="K100"/>
    </row>
  </sheetData>
  <autoFilter ref="X2:X93" xr:uid="{00000000-0009-0000-0000-000008000000}"/>
  <customSheetViews>
    <customSheetView guid="{6CFAA980-29D1-42A9-8342-BF14629EBE3B}" showGridLines="0" fitToPage="1" showAutoFilter="1">
      <pane xSplit="2" ySplit="5" topLeftCell="C6" activePane="bottomRight" state="frozen"/>
      <selection pane="bottomRight" activeCell="O32" sqref="O32"/>
      <pageMargins left="0.78740157480314965" right="0.19685039370078741" top="0.59055118110236227" bottom="0.39370078740157483" header="0.51181102362204722" footer="0.19685039370078741"/>
      <pageSetup paperSize="9" scale="42" orientation="landscape" r:id="rId1"/>
      <headerFooter alignWithMargins="0">
        <oddFooter>&amp;R&amp;"ＭＳ ゴシック,標準"&amp;D　&amp;T</oddFooter>
      </headerFooter>
      <autoFilter ref="X2:X93" xr:uid="{D3CB5D0D-9969-4DD0-9B5D-B634C1C91EBD}"/>
    </customSheetView>
  </customSheetViews>
  <mergeCells count="11">
    <mergeCell ref="O90:O91"/>
    <mergeCell ref="O4:O5"/>
    <mergeCell ref="B4:B5"/>
    <mergeCell ref="A4:A5"/>
    <mergeCell ref="I4:I5"/>
    <mergeCell ref="H4:H5"/>
    <mergeCell ref="W4:W5"/>
    <mergeCell ref="R90:S90"/>
    <mergeCell ref="R91:S91"/>
    <mergeCell ref="U90:V90"/>
    <mergeCell ref="U91:V91"/>
  </mergeCells>
  <phoneticPr fontId="17"/>
  <conditionalFormatting sqref="E20">
    <cfRule type="expression" dxfId="91" priority="19">
      <formula>$C$20&lt;&gt;SUM($I$6:$I$20)</formula>
    </cfRule>
  </conditionalFormatting>
  <conditionalFormatting sqref="E35">
    <cfRule type="expression" dxfId="90" priority="18">
      <formula>$C$35&lt;&gt;SUM($I$21:$I$35)</formula>
    </cfRule>
  </conditionalFormatting>
  <conditionalFormatting sqref="E50">
    <cfRule type="expression" dxfId="89" priority="17">
      <formula>$C$50&lt;&gt;SUM($I$36:$I$50)</formula>
    </cfRule>
  </conditionalFormatting>
  <conditionalFormatting sqref="E53">
    <cfRule type="expression" dxfId="88" priority="16">
      <formula>$C$53&lt;&gt;SUM($I$51:$I$53)</formula>
    </cfRule>
  </conditionalFormatting>
  <conditionalFormatting sqref="E56">
    <cfRule type="expression" dxfId="87" priority="15">
      <formula>$C$56&lt;&gt;SUM($I$54:$I$56)</formula>
    </cfRule>
  </conditionalFormatting>
  <conditionalFormatting sqref="E59">
    <cfRule type="expression" dxfId="86" priority="14">
      <formula>$C$59&lt;&gt;SUM($I$57:$I$59)</formula>
    </cfRule>
  </conditionalFormatting>
  <conditionalFormatting sqref="E62">
    <cfRule type="expression" dxfId="85" priority="13">
      <formula>$C$62&lt;&gt;SUM($I$60:$I$62)</formula>
    </cfRule>
  </conditionalFormatting>
  <conditionalFormatting sqref="E65">
    <cfRule type="expression" dxfId="84" priority="12">
      <formula>$C$65&lt;&gt;SUM($I$63:$I$65)</formula>
    </cfRule>
  </conditionalFormatting>
  <conditionalFormatting sqref="E68">
    <cfRule type="expression" dxfId="83" priority="11">
      <formula>$C$68&lt;&gt;SUM($I$66:$I$68)</formula>
    </cfRule>
  </conditionalFormatting>
  <conditionalFormatting sqref="E71">
    <cfRule type="expression" dxfId="82" priority="10">
      <formula>$C$71&lt;&gt;SUM($I$69:$I$71)</formula>
    </cfRule>
  </conditionalFormatting>
  <conditionalFormatting sqref="E74">
    <cfRule type="expression" dxfId="81" priority="9">
      <formula>$C$74&lt;&gt;SUM($I$72:$I$74)</formula>
    </cfRule>
  </conditionalFormatting>
  <conditionalFormatting sqref="E77">
    <cfRule type="expression" dxfId="80" priority="8">
      <formula>$C$77&lt;&gt;SUM($I$75:$I$77)</formula>
    </cfRule>
  </conditionalFormatting>
  <conditionalFormatting sqref="E80">
    <cfRule type="expression" dxfId="79" priority="7">
      <formula>$C$80&lt;&gt;SUM($I$78:$I$80)</formula>
    </cfRule>
  </conditionalFormatting>
  <conditionalFormatting sqref="E83">
    <cfRule type="expression" dxfId="78" priority="6">
      <formula>$C$83&lt;&gt;SUM($I$81:$I$83)</formula>
    </cfRule>
  </conditionalFormatting>
  <conditionalFormatting sqref="E86">
    <cfRule type="expression" dxfId="77" priority="5">
      <formula>$C$86&lt;&gt;SUM($I$84:$I$86)</formula>
    </cfRule>
  </conditionalFormatting>
  <conditionalFormatting sqref="E89">
    <cfRule type="expression" dxfId="76" priority="4">
      <formula>$C$89&lt;&gt;SUM($I$87:$I$89)</formula>
    </cfRule>
  </conditionalFormatting>
  <conditionalFormatting sqref="K6:L89">
    <cfRule type="expression" dxfId="75" priority="100">
      <formula>COUNTIF($K6:$L6,"○")&gt;1</formula>
    </cfRule>
  </conditionalFormatting>
  <dataValidations count="6">
    <dataValidation imeMode="off" allowBlank="1" showInputMessage="1" showErrorMessage="1" sqref="C6:C19 E6:E19 H6:H19 E21:E34 H87:H88 H21:H34 C51:C52 E51:E52 H51:H52 C54:C55 E54:E55 H54:H55 C57:C58 E57:E58 H57:H58 C60:C61 E60:E61 H60:H61 C63:C64 E63:E64 H63:H64 C66:C67 E66:E67 H66:H67 C69:C70 E69:E70 H69:H70 C72:C73 E72:E73 H72:H73 C75:C76 E75:E76 H75:H76 C78:C79 E78:E79 H78:H79 C81:C82 H81:H82 E81:E82 C84:C85 E84:E85 H84:H85 C87:C88 E87:E88 C21:C34" xr:uid="{00000000-0002-0000-0800-000000000000}"/>
    <dataValidation type="list" allowBlank="1" showInputMessage="1" showErrorMessage="1" error="調書シートで追加（又は修正）した後、再度選択してくだい。" sqref="Q6:Q89" xr:uid="{00000000-0002-0000-0800-000001000000}">
      <formula1>床名称</formula1>
    </dataValidation>
    <dataValidation type="list" allowBlank="1" showInputMessage="1" showErrorMessage="1" sqref="U6:W89 R6:S89" xr:uid="{00000000-0002-0000-0800-000002000000}">
      <formula1>断熱名称</formula1>
    </dataValidation>
    <dataValidation type="list" allowBlank="1" showInputMessage="1" showErrorMessage="1" error="調書シートで追加（又は修正）した後、再度選択してくだい。" sqref="T6:T89" xr:uid="{00000000-0002-0000-0800-000003000000}">
      <formula1>天井名称</formula1>
    </dataValidation>
    <dataValidation type="list" allowBlank="1" showInputMessage="1" showErrorMessage="1" error="調書シートで追加（又は修正）した後、再度選択してくだい。" sqref="P6:P89" xr:uid="{00000000-0002-0000-0800-000004000000}">
      <formula1>床構造名称</formula1>
    </dataValidation>
    <dataValidation type="list" allowBlank="1" showInputMessage="1" showErrorMessage="1" sqref="J6:N89" xr:uid="{00000000-0002-0000-0800-000005000000}">
      <formula1>"○,×"</formula1>
    </dataValidation>
  </dataValidations>
  <pageMargins left="0.78740157480314965" right="0.19685039370078741" top="0.59055118110236227" bottom="0.39370078740157483" header="0.51181102362204722" footer="0.19685039370078741"/>
  <pageSetup paperSize="9" scale="42" orientation="landscape" r:id="rId2"/>
  <headerFooter alignWithMargins="0">
    <oddFooter>&amp;R&amp;"ＭＳ ゴシック,標準"&amp;D　&amp;T</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2"/>
    <pageSetUpPr fitToPage="1"/>
  </sheetPr>
  <dimension ref="B1:BR989"/>
  <sheetViews>
    <sheetView showGridLines="0" zoomScaleNormal="100" workbookViewId="0">
      <pane xSplit="1" ySplit="7" topLeftCell="B8" activePane="bottomRight" state="frozen"/>
      <selection activeCell="A2" sqref="A2:F2"/>
      <selection pane="topRight" activeCell="A2" sqref="A2:F2"/>
      <selection pane="bottomLeft" activeCell="A2" sqref="A2:F2"/>
      <selection pane="bottomRight" activeCell="P1" sqref="P1:P1048576"/>
    </sheetView>
  </sheetViews>
  <sheetFormatPr defaultColWidth="12" defaultRowHeight="15" customHeight="1"/>
  <cols>
    <col min="1" max="1" width="1.6640625" style="225" customWidth="1"/>
    <col min="2" max="2" width="33" style="226" bestFit="1" customWidth="1"/>
    <col min="3" max="3" width="4.44140625" style="227" customWidth="1"/>
    <col min="4" max="4" width="11.6640625" style="228" customWidth="1"/>
    <col min="5" max="6" width="8.109375" style="228" customWidth="1"/>
    <col min="7" max="7" width="8.109375" style="226" customWidth="1"/>
    <col min="8" max="8" width="10.77734375" style="226" customWidth="1"/>
    <col min="9" max="9" width="10" style="226" customWidth="1"/>
    <col min="10" max="10" width="13.33203125" style="228" customWidth="1"/>
    <col min="11" max="11" width="11.6640625" style="228" customWidth="1"/>
    <col min="12" max="12" width="9.5546875" style="228" customWidth="1"/>
    <col min="13" max="13" width="18.6640625" style="228" customWidth="1"/>
    <col min="14" max="14" width="5.6640625" bestFit="1" customWidth="1"/>
    <col min="15" max="15" width="7.33203125" style="228" customWidth="1"/>
    <col min="16" max="17" width="7.33203125" style="996" customWidth="1"/>
    <col min="18" max="18" width="48" style="1019" customWidth="1"/>
    <col min="19" max="19" width="12" style="225" customWidth="1"/>
    <col min="20" max="20" width="12" style="149" customWidth="1"/>
    <col min="21" max="22" width="10.33203125" style="149" customWidth="1"/>
    <col min="23" max="23" width="10.77734375" style="225" customWidth="1"/>
    <col min="24" max="26" width="13.44140625" style="225" customWidth="1"/>
    <col min="27" max="27" width="16.109375" style="149" customWidth="1"/>
    <col min="28" max="28" width="13.33203125" style="225" bestFit="1" customWidth="1"/>
    <col min="29" max="29" width="4.77734375" style="225" customWidth="1"/>
    <col min="30" max="30" width="6.6640625" style="225" bestFit="1" customWidth="1"/>
    <col min="31" max="31" width="17.109375" style="225" customWidth="1"/>
    <col min="32" max="32" width="16.109375" style="149" bestFit="1" customWidth="1"/>
    <col min="33" max="33" width="13.33203125" style="225" bestFit="1" customWidth="1"/>
    <col min="34" max="34" width="4.77734375" style="225" customWidth="1"/>
    <col min="35" max="35" width="6.6640625" style="225" bestFit="1" customWidth="1"/>
    <col min="36" max="36" width="13.77734375" style="225" customWidth="1"/>
    <col min="37" max="37" width="16.109375" style="149" bestFit="1" customWidth="1"/>
    <col min="38" max="38" width="4.77734375" style="225" customWidth="1"/>
    <col min="39" max="39" width="6.6640625" style="225" bestFit="1" customWidth="1"/>
    <col min="40" max="40" width="60.6640625" style="225" bestFit="1" customWidth="1"/>
    <col min="41" max="41" width="16.109375" style="149" bestFit="1" customWidth="1"/>
    <col min="42" max="42" width="4.77734375" style="225" customWidth="1"/>
    <col min="43" max="43" width="6.6640625" style="225" bestFit="1" customWidth="1"/>
    <col min="44" max="44" width="72.77734375" style="225" bestFit="1" customWidth="1"/>
    <col min="45" max="45" width="16.109375" style="149" bestFit="1" customWidth="1"/>
    <col min="46" max="46" width="13.33203125" style="225" bestFit="1" customWidth="1"/>
    <col min="47" max="47" width="4.77734375" style="225" customWidth="1"/>
    <col min="48" max="48" width="5.33203125" style="225" bestFit="1" customWidth="1"/>
    <col min="49" max="49" width="46.77734375" style="225" bestFit="1" customWidth="1"/>
    <col min="50" max="50" width="16.109375" style="225" bestFit="1" customWidth="1"/>
    <col min="51" max="51" width="4.77734375" style="225" customWidth="1"/>
    <col min="52" max="52" width="5.33203125" style="225" bestFit="1" customWidth="1"/>
    <col min="53" max="53" width="34.6640625" style="225" bestFit="1" customWidth="1"/>
    <col min="54" max="54" width="16.109375" style="149" bestFit="1" customWidth="1"/>
    <col min="55" max="55" width="4.77734375" style="225" customWidth="1"/>
    <col min="56" max="56" width="6.6640625" style="225" bestFit="1" customWidth="1"/>
    <col min="57" max="57" width="59" style="225" bestFit="1" customWidth="1"/>
    <col min="58" max="58" width="16.109375" style="149" bestFit="1" customWidth="1"/>
    <col min="59" max="59" width="4.77734375" style="225" customWidth="1"/>
    <col min="60" max="60" width="5.33203125" style="225" bestFit="1" customWidth="1"/>
    <col min="61" max="61" width="25.44140625" style="225" bestFit="1" customWidth="1"/>
    <col min="62" max="62" width="28.33203125" style="225" bestFit="1" customWidth="1"/>
    <col min="63" max="63" width="16.109375" style="149" bestFit="1" customWidth="1"/>
    <col min="64" max="64" width="52.77734375" style="225" bestFit="1" customWidth="1"/>
    <col min="65" max="65" width="12" style="225" customWidth="1"/>
    <col min="66" max="68" width="12" style="149" customWidth="1"/>
    <col min="69" max="16384" width="12" style="225"/>
  </cols>
  <sheetData>
    <row r="1" spans="2:70" ht="6" customHeight="1">
      <c r="O1" s="226"/>
      <c r="P1" s="1019"/>
      <c r="Q1" s="1019"/>
    </row>
    <row r="2" spans="2:70" ht="3.75" customHeight="1">
      <c r="B2" s="1763"/>
      <c r="C2" s="1764"/>
      <c r="D2" s="1765"/>
      <c r="E2" s="1765"/>
      <c r="F2" s="1765"/>
      <c r="G2" s="1763"/>
      <c r="H2" s="1763"/>
      <c r="I2" s="1763"/>
      <c r="J2" s="1765"/>
      <c r="K2" s="1765"/>
      <c r="L2" s="1765"/>
      <c r="M2" s="1765"/>
      <c r="O2" s="226"/>
      <c r="P2" s="1019"/>
      <c r="Q2" s="1019"/>
    </row>
    <row r="3" spans="2:70" ht="18.5" customHeight="1">
      <c r="B3" s="1763"/>
      <c r="C3" s="1764"/>
      <c r="D3" s="2098" t="s">
        <v>5566</v>
      </c>
      <c r="E3" s="1018" t="s">
        <v>5793</v>
      </c>
      <c r="F3" s="1018" t="s">
        <v>5794</v>
      </c>
      <c r="G3" s="1018" t="s">
        <v>5795</v>
      </c>
      <c r="H3" s="1018" t="s">
        <v>5796</v>
      </c>
      <c r="I3" s="1018" t="s">
        <v>5797</v>
      </c>
      <c r="J3" s="1018" t="s">
        <v>5798</v>
      </c>
      <c r="K3" s="1018" t="s">
        <v>5799</v>
      </c>
      <c r="L3" s="1018" t="s">
        <v>5800</v>
      </c>
      <c r="M3" s="1763"/>
      <c r="O3" s="226"/>
      <c r="P3" s="1019"/>
      <c r="Q3" s="1019"/>
      <c r="R3" s="1020"/>
      <c r="S3" s="149"/>
      <c r="T3" s="225"/>
      <c r="Z3" s="149"/>
      <c r="AA3" s="225"/>
      <c r="AE3" s="149"/>
      <c r="AF3" s="225"/>
      <c r="AJ3" s="149"/>
      <c r="AK3" s="225"/>
      <c r="AN3" s="149"/>
      <c r="AO3" s="225"/>
      <c r="AR3" s="149"/>
      <c r="AS3" s="225"/>
      <c r="BA3" s="149"/>
      <c r="BB3" s="225"/>
      <c r="BE3" s="149"/>
      <c r="BF3" s="225"/>
      <c r="BJ3" s="149"/>
      <c r="BK3" s="225"/>
      <c r="BM3" s="149"/>
      <c r="BP3" s="225"/>
    </row>
    <row r="4" spans="2:70" ht="3.75" customHeight="1">
      <c r="B4" s="1766"/>
      <c r="C4" s="1767"/>
      <c r="D4" s="1768"/>
      <c r="E4" s="1768"/>
      <c r="F4" s="1768"/>
      <c r="G4" s="1769"/>
      <c r="H4" s="1769"/>
      <c r="I4" s="1769"/>
      <c r="J4" s="1769"/>
      <c r="K4" s="1769"/>
      <c r="L4" s="1769"/>
      <c r="M4" s="1770"/>
      <c r="O4" s="226"/>
      <c r="P4" s="1019"/>
      <c r="Q4" s="1019"/>
    </row>
    <row r="5" spans="2:70" ht="15" customHeight="1" thickBot="1">
      <c r="B5" s="229" t="s">
        <v>500</v>
      </c>
      <c r="C5" s="230"/>
      <c r="O5" s="226" t="b">
        <v>1</v>
      </c>
      <c r="P5" s="1019"/>
      <c r="Q5" s="1019"/>
    </row>
    <row r="6" spans="2:70" ht="15.5" customHeight="1">
      <c r="B6" s="3184" t="s">
        <v>501</v>
      </c>
      <c r="C6" s="3186" t="s">
        <v>1050</v>
      </c>
      <c r="D6" s="3188" t="s">
        <v>982</v>
      </c>
      <c r="E6" s="3181" t="s">
        <v>1047</v>
      </c>
      <c r="F6" s="3182"/>
      <c r="G6" s="3183"/>
      <c r="H6" s="3190" t="s">
        <v>983</v>
      </c>
      <c r="I6" s="3192" t="s">
        <v>1061</v>
      </c>
      <c r="J6" s="3194" t="s">
        <v>684</v>
      </c>
      <c r="K6" s="3175" t="s">
        <v>666</v>
      </c>
      <c r="L6" s="3177" t="s">
        <v>984</v>
      </c>
      <c r="M6" s="3178"/>
      <c r="N6" s="3146" t="s">
        <v>5813</v>
      </c>
      <c r="O6" s="226" t="b">
        <v>1</v>
      </c>
      <c r="P6" s="1019"/>
      <c r="Q6" s="1019"/>
      <c r="R6" s="3171"/>
    </row>
    <row r="7" spans="2:70" ht="15.5" customHeight="1">
      <c r="B7" s="3185"/>
      <c r="C7" s="3187"/>
      <c r="D7" s="3189"/>
      <c r="E7" s="1771" t="s">
        <v>1045</v>
      </c>
      <c r="F7" s="1771" t="s">
        <v>1046</v>
      </c>
      <c r="G7" s="1771" t="s">
        <v>669</v>
      </c>
      <c r="H7" s="3191"/>
      <c r="I7" s="3193"/>
      <c r="J7" s="3195"/>
      <c r="K7" s="3176"/>
      <c r="L7" s="3179"/>
      <c r="M7" s="3180"/>
      <c r="N7" s="3146"/>
      <c r="O7" s="226" t="b">
        <v>1</v>
      </c>
      <c r="P7" s="1019"/>
      <c r="Q7" s="1019"/>
      <c r="R7" s="3171"/>
    </row>
    <row r="8" spans="2:70" ht="15" customHeight="1">
      <c r="B8" s="231" t="s">
        <v>503</v>
      </c>
      <c r="C8" s="232"/>
      <c r="D8" s="233"/>
      <c r="E8" s="523"/>
      <c r="F8" s="523"/>
      <c r="G8" s="234"/>
      <c r="H8" s="233"/>
      <c r="I8" s="235"/>
      <c r="J8" s="236"/>
      <c r="K8" s="237"/>
      <c r="L8" s="238"/>
      <c r="M8" s="237"/>
      <c r="N8" s="2200"/>
      <c r="O8" s="226" t="b">
        <f t="shared" ref="O8:O17" si="0">I8&lt;&gt;0</f>
        <v>0</v>
      </c>
      <c r="P8" s="1019"/>
      <c r="Q8" s="1019"/>
    </row>
    <row r="9" spans="2:70" ht="15" customHeight="1">
      <c r="B9" s="239" t="s">
        <v>504</v>
      </c>
      <c r="C9" s="240"/>
      <c r="D9" s="241"/>
      <c r="E9" s="524"/>
      <c r="F9" s="524"/>
      <c r="G9" s="242"/>
      <c r="H9" s="241"/>
      <c r="I9" s="243"/>
      <c r="J9" s="244"/>
      <c r="K9" s="245"/>
      <c r="L9" s="246"/>
      <c r="M9" s="247"/>
      <c r="N9" s="2200"/>
      <c r="O9" s="226" t="b">
        <f t="shared" si="0"/>
        <v>0</v>
      </c>
      <c r="P9" s="1019"/>
      <c r="Q9" s="1019"/>
    </row>
    <row r="10" spans="2:70" ht="15" customHeight="1">
      <c r="B10" s="248" t="s">
        <v>1094</v>
      </c>
      <c r="C10" s="232"/>
      <c r="D10" s="233"/>
      <c r="E10" s="523"/>
      <c r="F10" s="523"/>
      <c r="G10" s="234"/>
      <c r="H10" s="233"/>
      <c r="I10" s="235"/>
      <c r="J10" s="236"/>
      <c r="K10" s="237"/>
      <c r="L10" s="238"/>
      <c r="M10" s="237"/>
      <c r="N10" s="2200"/>
      <c r="O10" s="226" t="b">
        <f t="shared" si="0"/>
        <v>0</v>
      </c>
      <c r="P10" s="1019"/>
      <c r="Q10" s="1019"/>
      <c r="T10" s="225"/>
      <c r="U10" s="225"/>
      <c r="V10" s="225"/>
      <c r="W10" s="149"/>
      <c r="Y10" s="149"/>
      <c r="AA10" s="225"/>
      <c r="AC10" s="149"/>
      <c r="AF10" s="225"/>
      <c r="AH10" s="149"/>
      <c r="AK10" s="225"/>
      <c r="AM10" s="149"/>
      <c r="AO10" s="225"/>
      <c r="AQ10" s="149"/>
      <c r="AS10" s="225"/>
      <c r="AU10" s="149"/>
      <c r="BB10" s="225"/>
      <c r="BD10" s="149"/>
      <c r="BF10" s="225"/>
      <c r="BH10" s="149"/>
      <c r="BK10" s="225"/>
      <c r="BM10" s="149"/>
      <c r="BN10" s="225"/>
      <c r="BO10" s="225"/>
      <c r="BQ10" s="149"/>
      <c r="BR10" s="149"/>
    </row>
    <row r="11" spans="2:70" ht="15" customHeight="1">
      <c r="B11" s="249" t="s">
        <v>1434</v>
      </c>
      <c r="C11" s="250" t="s">
        <v>505</v>
      </c>
      <c r="D11" s="241">
        <f t="shared" ref="D11:D16" si="1">ROUNDDOWN(K11,-1)</f>
        <v>24630</v>
      </c>
      <c r="E11" s="2002">
        <v>1</v>
      </c>
      <c r="F11" s="524">
        <v>1</v>
      </c>
      <c r="G11" s="242">
        <f t="shared" ref="G11:G17" si="2">+ROUNDDOWN(E11*F11,2)</f>
        <v>1</v>
      </c>
      <c r="H11" s="241">
        <f t="shared" ref="H11:H16" si="3">INT(D11*G11)</f>
        <v>24630</v>
      </c>
      <c r="I11" s="243">
        <f>SUMIF(建具の明細!B$5:B$48,建具!B11,建具の明細!K$5:K$48)</f>
        <v>0</v>
      </c>
      <c r="J11" s="244">
        <f t="shared" ref="J11:J16" si="4">INT(I11*H11)</f>
        <v>0</v>
      </c>
      <c r="K11" s="245">
        <v>24638</v>
      </c>
      <c r="L11" s="2000"/>
      <c r="M11" s="2001"/>
      <c r="N11" s="2200"/>
      <c r="O11" s="226" t="b">
        <f t="shared" ref="O11:O16" si="5">I11&lt;&gt;0</f>
        <v>0</v>
      </c>
      <c r="P11" s="1019"/>
      <c r="Q11" s="1019"/>
      <c r="T11" s="225"/>
      <c r="U11" s="225"/>
      <c r="V11" s="225"/>
      <c r="W11" s="149"/>
      <c r="Y11" s="149"/>
      <c r="AA11" s="225"/>
      <c r="AC11" s="149"/>
      <c r="AF11" s="225"/>
      <c r="AH11" s="149"/>
      <c r="AK11" s="225"/>
      <c r="AM11" s="149"/>
      <c r="AO11" s="225"/>
      <c r="AQ11" s="149"/>
      <c r="AS11" s="225"/>
      <c r="AU11" s="149"/>
      <c r="BB11" s="225"/>
      <c r="BD11" s="149"/>
      <c r="BF11" s="225"/>
      <c r="BH11" s="149"/>
      <c r="BK11" s="225"/>
      <c r="BM11" s="149"/>
      <c r="BN11" s="225"/>
      <c r="BO11" s="225"/>
      <c r="BQ11" s="149"/>
      <c r="BR11" s="149"/>
    </row>
    <row r="12" spans="2:70" ht="15" customHeight="1">
      <c r="B12" s="249" t="s">
        <v>1446</v>
      </c>
      <c r="C12" s="250" t="s">
        <v>505</v>
      </c>
      <c r="D12" s="241">
        <f t="shared" si="1"/>
        <v>16390</v>
      </c>
      <c r="E12" s="2002">
        <v>1</v>
      </c>
      <c r="F12" s="524">
        <v>1</v>
      </c>
      <c r="G12" s="242">
        <f t="shared" si="2"/>
        <v>1</v>
      </c>
      <c r="H12" s="241">
        <f t="shared" si="3"/>
        <v>16390</v>
      </c>
      <c r="I12" s="243">
        <f>SUMIF(建具の明細!B$5:B$48,建具!B12,建具の明細!K$5:K$48)</f>
        <v>0</v>
      </c>
      <c r="J12" s="244">
        <f t="shared" si="4"/>
        <v>0</v>
      </c>
      <c r="K12" s="245">
        <v>16396</v>
      </c>
      <c r="L12" s="2000"/>
      <c r="M12" s="2001"/>
      <c r="N12" s="2200"/>
      <c r="O12" s="226" t="b">
        <f t="shared" si="5"/>
        <v>0</v>
      </c>
      <c r="P12" s="1019"/>
      <c r="Q12" s="1019"/>
      <c r="T12" s="225"/>
      <c r="U12" s="225"/>
      <c r="V12" s="225"/>
      <c r="W12" s="149"/>
      <c r="Y12" s="149"/>
      <c r="AA12" s="225"/>
      <c r="AC12" s="149"/>
      <c r="AF12" s="225"/>
      <c r="AH12" s="149"/>
      <c r="AK12" s="225"/>
      <c r="AM12" s="149"/>
      <c r="AO12" s="225"/>
      <c r="AQ12" s="149"/>
      <c r="AS12" s="225"/>
      <c r="AU12" s="149"/>
      <c r="BB12" s="225"/>
      <c r="BD12" s="149"/>
      <c r="BF12" s="225"/>
      <c r="BH12" s="149"/>
      <c r="BK12" s="225"/>
      <c r="BM12" s="149"/>
      <c r="BN12" s="225"/>
      <c r="BO12" s="225"/>
      <c r="BQ12" s="149"/>
      <c r="BR12" s="149"/>
    </row>
    <row r="13" spans="2:70" ht="15" customHeight="1">
      <c r="B13" s="249" t="s">
        <v>1435</v>
      </c>
      <c r="C13" s="250" t="s">
        <v>505</v>
      </c>
      <c r="D13" s="241">
        <f t="shared" si="1"/>
        <v>20230</v>
      </c>
      <c r="E13" s="2002">
        <v>1</v>
      </c>
      <c r="F13" s="524">
        <v>1</v>
      </c>
      <c r="G13" s="242">
        <f t="shared" si="2"/>
        <v>1</v>
      </c>
      <c r="H13" s="241">
        <f t="shared" si="3"/>
        <v>20230</v>
      </c>
      <c r="I13" s="243">
        <f>SUMIF(建具の明細!B$5:B$48,建具!B13,建具の明細!K$5:K$48)</f>
        <v>0</v>
      </c>
      <c r="J13" s="244">
        <f t="shared" si="4"/>
        <v>0</v>
      </c>
      <c r="K13" s="245">
        <v>20236</v>
      </c>
      <c r="L13" s="2000"/>
      <c r="M13" s="2001"/>
      <c r="N13" s="2200"/>
      <c r="O13" s="226" t="b">
        <f t="shared" si="5"/>
        <v>0</v>
      </c>
      <c r="P13" s="1019"/>
      <c r="Q13" s="1019"/>
      <c r="T13" s="225"/>
      <c r="U13" s="225"/>
      <c r="V13" s="225"/>
      <c r="W13" s="149"/>
      <c r="Y13" s="149"/>
      <c r="AA13" s="225"/>
      <c r="AC13" s="149"/>
      <c r="AF13" s="225"/>
      <c r="AH13" s="149"/>
      <c r="AK13" s="225"/>
      <c r="AM13" s="149"/>
      <c r="AO13" s="225"/>
      <c r="AQ13" s="149"/>
      <c r="AS13" s="225"/>
      <c r="AU13" s="149"/>
      <c r="BB13" s="225"/>
      <c r="BD13" s="149"/>
      <c r="BF13" s="225"/>
      <c r="BH13" s="149"/>
      <c r="BK13" s="225"/>
      <c r="BM13" s="149"/>
      <c r="BN13" s="225"/>
      <c r="BO13" s="225"/>
      <c r="BQ13" s="149"/>
      <c r="BR13" s="149"/>
    </row>
    <row r="14" spans="2:70" ht="15" customHeight="1">
      <c r="B14" s="249" t="s">
        <v>1447</v>
      </c>
      <c r="C14" s="250" t="s">
        <v>505</v>
      </c>
      <c r="D14" s="241">
        <f t="shared" si="1"/>
        <v>14130</v>
      </c>
      <c r="E14" s="2002">
        <v>1</v>
      </c>
      <c r="F14" s="524">
        <v>1</v>
      </c>
      <c r="G14" s="242">
        <f t="shared" si="2"/>
        <v>1</v>
      </c>
      <c r="H14" s="241">
        <f t="shared" si="3"/>
        <v>14130</v>
      </c>
      <c r="I14" s="243">
        <f>SUMIF(建具の明細!B$5:B$48,建具!B14,建具の明細!K$5:K$48)</f>
        <v>0</v>
      </c>
      <c r="J14" s="244">
        <f t="shared" si="4"/>
        <v>0</v>
      </c>
      <c r="K14" s="245">
        <v>14131</v>
      </c>
      <c r="L14" s="2000"/>
      <c r="M14" s="2001"/>
      <c r="N14" s="2200"/>
      <c r="O14" s="226" t="b">
        <f t="shared" si="5"/>
        <v>0</v>
      </c>
      <c r="P14" s="1019"/>
      <c r="Q14" s="1019"/>
      <c r="T14" s="225"/>
      <c r="U14" s="225"/>
      <c r="V14" s="225"/>
      <c r="W14" s="149"/>
      <c r="Y14" s="149"/>
      <c r="AA14" s="225"/>
      <c r="AC14" s="149"/>
      <c r="AF14" s="225"/>
      <c r="AH14" s="149"/>
      <c r="AK14" s="225"/>
      <c r="AM14" s="149"/>
      <c r="AO14" s="225"/>
      <c r="AQ14" s="149"/>
      <c r="AS14" s="225"/>
      <c r="AU14" s="149"/>
      <c r="BB14" s="225"/>
      <c r="BD14" s="149"/>
      <c r="BF14" s="225"/>
      <c r="BH14" s="149"/>
      <c r="BK14" s="225"/>
      <c r="BM14" s="149"/>
      <c r="BN14" s="225"/>
      <c r="BO14" s="225"/>
      <c r="BQ14" s="149"/>
      <c r="BR14" s="149"/>
    </row>
    <row r="15" spans="2:70" ht="15" customHeight="1">
      <c r="B15" s="249" t="s">
        <v>1436</v>
      </c>
      <c r="C15" s="250" t="s">
        <v>505</v>
      </c>
      <c r="D15" s="241">
        <f t="shared" si="1"/>
        <v>33470</v>
      </c>
      <c r="E15" s="2002">
        <v>1</v>
      </c>
      <c r="F15" s="524">
        <v>1</v>
      </c>
      <c r="G15" s="242">
        <f t="shared" si="2"/>
        <v>1</v>
      </c>
      <c r="H15" s="241">
        <f t="shared" si="3"/>
        <v>33470</v>
      </c>
      <c r="I15" s="243">
        <f>SUMIF(建具の明細!B$5:B$48,建具!B15,建具の明細!K$5:K$48)</f>
        <v>0</v>
      </c>
      <c r="J15" s="244">
        <f t="shared" si="4"/>
        <v>0</v>
      </c>
      <c r="K15" s="245">
        <v>33473</v>
      </c>
      <c r="L15" s="2000"/>
      <c r="M15" s="2001"/>
      <c r="N15" s="2200"/>
      <c r="O15" s="226" t="b">
        <f t="shared" si="5"/>
        <v>0</v>
      </c>
      <c r="P15" s="1019"/>
      <c r="Q15" s="1019"/>
      <c r="T15" s="225"/>
      <c r="U15" s="225"/>
      <c r="V15" s="225"/>
      <c r="W15" s="149"/>
      <c r="Y15" s="149"/>
      <c r="AA15" s="225"/>
      <c r="AC15" s="149"/>
      <c r="AF15" s="225"/>
      <c r="AH15" s="149"/>
      <c r="AK15" s="225"/>
      <c r="AM15" s="149"/>
      <c r="AO15" s="225"/>
      <c r="AQ15" s="149"/>
      <c r="AS15" s="225"/>
      <c r="AU15" s="149"/>
      <c r="BB15" s="225"/>
      <c r="BD15" s="149"/>
      <c r="BF15" s="225"/>
      <c r="BH15" s="149"/>
      <c r="BK15" s="225"/>
      <c r="BM15" s="149"/>
      <c r="BN15" s="225"/>
      <c r="BO15" s="225"/>
      <c r="BQ15" s="149"/>
      <c r="BR15" s="149"/>
    </row>
    <row r="16" spans="2:70" ht="15" customHeight="1">
      <c r="B16" s="249" t="s">
        <v>1448</v>
      </c>
      <c r="C16" s="250" t="s">
        <v>505</v>
      </c>
      <c r="D16" s="241">
        <f t="shared" si="1"/>
        <v>21440</v>
      </c>
      <c r="E16" s="2002">
        <v>1</v>
      </c>
      <c r="F16" s="524">
        <v>1</v>
      </c>
      <c r="G16" s="242">
        <f t="shared" si="2"/>
        <v>1</v>
      </c>
      <c r="H16" s="241">
        <f t="shared" si="3"/>
        <v>21440</v>
      </c>
      <c r="I16" s="243">
        <f>SUMIF(建具の明細!B$5:B$48,建具!B16,建具の明細!K$5:K$48)</f>
        <v>0</v>
      </c>
      <c r="J16" s="244">
        <f t="shared" si="4"/>
        <v>0</v>
      </c>
      <c r="K16" s="245">
        <v>21447</v>
      </c>
      <c r="L16" s="2000"/>
      <c r="M16" s="2001"/>
      <c r="N16" s="2200"/>
      <c r="O16" s="226" t="b">
        <f t="shared" si="5"/>
        <v>0</v>
      </c>
      <c r="P16" s="1019"/>
      <c r="Q16" s="1019"/>
      <c r="T16" s="225"/>
      <c r="U16" s="225"/>
      <c r="V16" s="225"/>
      <c r="W16" s="149"/>
      <c r="Y16" s="149"/>
      <c r="AA16" s="225"/>
      <c r="AC16" s="149"/>
      <c r="AF16" s="225"/>
      <c r="AH16" s="149"/>
      <c r="AK16" s="225"/>
      <c r="AM16" s="149"/>
      <c r="AO16" s="225"/>
      <c r="AQ16" s="149"/>
      <c r="AS16" s="225"/>
      <c r="AU16" s="149"/>
      <c r="BB16" s="225"/>
      <c r="BD16" s="149"/>
      <c r="BF16" s="225"/>
      <c r="BH16" s="149"/>
      <c r="BK16" s="225"/>
      <c r="BM16" s="149"/>
      <c r="BN16" s="225"/>
      <c r="BO16" s="225"/>
      <c r="BQ16" s="149"/>
      <c r="BR16" s="149"/>
    </row>
    <row r="17" spans="2:70" ht="15" customHeight="1">
      <c r="B17" s="249" t="s">
        <v>1437</v>
      </c>
      <c r="C17" s="250" t="s">
        <v>505</v>
      </c>
      <c r="D17" s="241">
        <f t="shared" ref="D17" si="6">ROUNDDOWN(K17,-1)</f>
        <v>24630</v>
      </c>
      <c r="E17" s="2002">
        <v>1</v>
      </c>
      <c r="F17" s="524">
        <v>2.2000000000000002</v>
      </c>
      <c r="G17" s="242">
        <f t="shared" si="2"/>
        <v>2.2000000000000002</v>
      </c>
      <c r="H17" s="241">
        <f t="shared" ref="H17" si="7">INT(D17*G17)</f>
        <v>54186</v>
      </c>
      <c r="I17" s="243">
        <f>SUMIF(建具の明細!B$5:B$48,建具!B17,建具の明細!K$5:K$48)</f>
        <v>0</v>
      </c>
      <c r="J17" s="244">
        <f t="shared" ref="J17" si="8">INT(I17*H17)</f>
        <v>0</v>
      </c>
      <c r="K17" s="245">
        <v>24638</v>
      </c>
      <c r="L17" s="2000"/>
      <c r="M17" s="2001"/>
      <c r="N17" s="2200"/>
      <c r="O17" s="226" t="b">
        <f t="shared" si="0"/>
        <v>0</v>
      </c>
      <c r="P17" s="1019"/>
      <c r="Q17" s="1019"/>
      <c r="T17" s="225"/>
      <c r="U17" s="225"/>
      <c r="V17" s="225"/>
      <c r="W17" s="149"/>
      <c r="Y17" s="149"/>
      <c r="AA17" s="225"/>
      <c r="AC17" s="149"/>
      <c r="AF17" s="225"/>
      <c r="AH17" s="149"/>
      <c r="AK17" s="225"/>
      <c r="AM17" s="149"/>
      <c r="AO17" s="225"/>
      <c r="AQ17" s="149"/>
      <c r="AS17" s="225"/>
      <c r="AU17" s="149"/>
      <c r="BB17" s="225"/>
      <c r="BD17" s="149"/>
      <c r="BF17" s="225"/>
      <c r="BH17" s="149"/>
      <c r="BK17" s="225"/>
      <c r="BM17" s="149"/>
      <c r="BN17" s="225"/>
      <c r="BO17" s="225"/>
      <c r="BQ17" s="149"/>
      <c r="BR17" s="149"/>
    </row>
    <row r="18" spans="2:70" ht="15" customHeight="1">
      <c r="B18" s="249" t="s">
        <v>1449</v>
      </c>
      <c r="C18" s="250" t="s">
        <v>505</v>
      </c>
      <c r="D18" s="241">
        <f t="shared" ref="D18:D97" si="9">ROUNDDOWN(K18,-1)</f>
        <v>16390</v>
      </c>
      <c r="E18" s="2002">
        <v>1</v>
      </c>
      <c r="F18" s="524">
        <v>2.2000000000000002</v>
      </c>
      <c r="G18" s="242">
        <f t="shared" ref="G18:G97" si="10">+ROUNDDOWN(E18*F18,2)</f>
        <v>2.2000000000000002</v>
      </c>
      <c r="H18" s="241">
        <f t="shared" ref="H18:H97" si="11">INT(D18*G18)</f>
        <v>36058</v>
      </c>
      <c r="I18" s="243">
        <f>SUMIF(建具の明細!B$5:B$48,建具!B18,建具の明細!K$5:K$48)</f>
        <v>0</v>
      </c>
      <c r="J18" s="244">
        <f t="shared" ref="J18:J97" si="12">INT(I18*H18)</f>
        <v>0</v>
      </c>
      <c r="K18" s="245">
        <v>16396</v>
      </c>
      <c r="L18" s="2000"/>
      <c r="M18" s="2001"/>
      <c r="N18" s="2200"/>
      <c r="O18" s="226" t="b">
        <f t="shared" ref="O18:O97" si="13">I18&lt;&gt;0</f>
        <v>0</v>
      </c>
      <c r="P18" s="1019"/>
      <c r="Q18" s="1019"/>
      <c r="T18" s="225"/>
      <c r="U18" s="225"/>
      <c r="V18" s="225"/>
      <c r="W18" s="149"/>
      <c r="Y18" s="149"/>
      <c r="AA18" s="225"/>
      <c r="AC18" s="149"/>
      <c r="AF18" s="225"/>
      <c r="AH18" s="149"/>
      <c r="AK18" s="225"/>
      <c r="AM18" s="149"/>
      <c r="AO18" s="225"/>
      <c r="AQ18" s="149"/>
      <c r="AS18" s="225"/>
      <c r="AU18" s="149"/>
      <c r="BB18" s="225"/>
      <c r="BD18" s="149"/>
      <c r="BF18" s="225"/>
      <c r="BH18" s="149"/>
      <c r="BK18" s="225"/>
      <c r="BM18" s="149"/>
      <c r="BN18" s="225"/>
      <c r="BO18" s="225"/>
      <c r="BQ18" s="149"/>
      <c r="BR18" s="149"/>
    </row>
    <row r="19" spans="2:70" ht="15" customHeight="1">
      <c r="B19" s="249" t="s">
        <v>1438</v>
      </c>
      <c r="C19" s="250" t="s">
        <v>505</v>
      </c>
      <c r="D19" s="241">
        <f t="shared" si="9"/>
        <v>20230</v>
      </c>
      <c r="E19" s="2002">
        <v>1</v>
      </c>
      <c r="F19" s="524">
        <v>2.2000000000000002</v>
      </c>
      <c r="G19" s="242">
        <f t="shared" si="10"/>
        <v>2.2000000000000002</v>
      </c>
      <c r="H19" s="241">
        <f t="shared" si="11"/>
        <v>44506</v>
      </c>
      <c r="I19" s="243">
        <f>SUMIF(建具の明細!B$5:B$48,建具!B19,建具の明細!K$5:K$48)</f>
        <v>0</v>
      </c>
      <c r="J19" s="244">
        <f t="shared" si="12"/>
        <v>0</v>
      </c>
      <c r="K19" s="245">
        <v>20236</v>
      </c>
      <c r="L19" s="2000"/>
      <c r="M19" s="2001"/>
      <c r="N19" s="2200"/>
      <c r="O19" s="226" t="b">
        <f t="shared" si="13"/>
        <v>0</v>
      </c>
      <c r="P19" s="1019"/>
      <c r="Q19" s="1019"/>
      <c r="T19" s="225"/>
      <c r="U19" s="225"/>
      <c r="V19" s="225"/>
      <c r="W19" s="149"/>
      <c r="Y19" s="149"/>
      <c r="AA19" s="225"/>
      <c r="AC19" s="149"/>
      <c r="AF19" s="225"/>
      <c r="AH19" s="149"/>
      <c r="AK19" s="225"/>
      <c r="AM19" s="149"/>
      <c r="AO19" s="225"/>
      <c r="AQ19" s="149"/>
      <c r="AS19" s="225"/>
      <c r="AU19" s="149"/>
      <c r="BB19" s="225"/>
      <c r="BD19" s="149"/>
      <c r="BF19" s="225"/>
      <c r="BH19" s="149"/>
      <c r="BK19" s="225"/>
      <c r="BM19" s="149"/>
      <c r="BN19" s="225"/>
      <c r="BO19" s="225"/>
      <c r="BQ19" s="149"/>
      <c r="BR19" s="149"/>
    </row>
    <row r="20" spans="2:70" ht="15" customHeight="1">
      <c r="B20" s="249" t="s">
        <v>1450</v>
      </c>
      <c r="C20" s="250" t="s">
        <v>505</v>
      </c>
      <c r="D20" s="241">
        <f t="shared" si="9"/>
        <v>14130</v>
      </c>
      <c r="E20" s="2002">
        <v>1</v>
      </c>
      <c r="F20" s="524">
        <v>2.2000000000000002</v>
      </c>
      <c r="G20" s="242">
        <f t="shared" si="10"/>
        <v>2.2000000000000002</v>
      </c>
      <c r="H20" s="241">
        <f t="shared" si="11"/>
        <v>31086</v>
      </c>
      <c r="I20" s="243">
        <f>SUMIF(建具の明細!B$5:B$48,建具!B20,建具の明細!K$5:K$48)</f>
        <v>0</v>
      </c>
      <c r="J20" s="244">
        <f t="shared" si="12"/>
        <v>0</v>
      </c>
      <c r="K20" s="245">
        <v>14131</v>
      </c>
      <c r="L20" s="2000"/>
      <c r="M20" s="2001"/>
      <c r="N20" s="2200"/>
      <c r="O20" s="226" t="b">
        <f t="shared" si="13"/>
        <v>0</v>
      </c>
      <c r="P20" s="1019"/>
      <c r="Q20" s="1019"/>
      <c r="T20" s="225"/>
      <c r="U20" s="225"/>
      <c r="V20" s="225"/>
      <c r="W20" s="149"/>
      <c r="Y20" s="149"/>
      <c r="AA20" s="225"/>
      <c r="AC20" s="149"/>
      <c r="AF20" s="225"/>
      <c r="AH20" s="149"/>
      <c r="AK20" s="225"/>
      <c r="AM20" s="149"/>
      <c r="AO20" s="225"/>
      <c r="AQ20" s="149"/>
      <c r="AS20" s="225"/>
      <c r="AU20" s="149"/>
      <c r="BB20" s="225"/>
      <c r="BD20" s="149"/>
      <c r="BF20" s="225"/>
      <c r="BH20" s="149"/>
      <c r="BK20" s="225"/>
      <c r="BM20" s="149"/>
      <c r="BN20" s="225"/>
      <c r="BO20" s="225"/>
      <c r="BQ20" s="149"/>
      <c r="BR20" s="149"/>
    </row>
    <row r="21" spans="2:70" ht="15" customHeight="1">
      <c r="B21" s="249" t="s">
        <v>1439</v>
      </c>
      <c r="C21" s="250" t="s">
        <v>505</v>
      </c>
      <c r="D21" s="241">
        <f t="shared" si="9"/>
        <v>33470</v>
      </c>
      <c r="E21" s="2002">
        <v>1</v>
      </c>
      <c r="F21" s="524">
        <v>2.2000000000000002</v>
      </c>
      <c r="G21" s="242">
        <f t="shared" si="10"/>
        <v>2.2000000000000002</v>
      </c>
      <c r="H21" s="241">
        <f t="shared" si="11"/>
        <v>73634</v>
      </c>
      <c r="I21" s="243">
        <f>SUMIF(建具の明細!B$5:B$48,建具!B21,建具の明細!K$5:K$48)</f>
        <v>0</v>
      </c>
      <c r="J21" s="244">
        <f t="shared" si="12"/>
        <v>0</v>
      </c>
      <c r="K21" s="245">
        <v>33473</v>
      </c>
      <c r="L21" s="2000"/>
      <c r="M21" s="2001"/>
      <c r="N21" s="2200"/>
      <c r="O21" s="226" t="b">
        <f t="shared" si="13"/>
        <v>0</v>
      </c>
      <c r="P21" s="1019"/>
      <c r="Q21" s="1019"/>
      <c r="T21" s="225"/>
      <c r="U21" s="225"/>
      <c r="V21" s="225"/>
      <c r="W21" s="149"/>
      <c r="Y21" s="149"/>
      <c r="AA21" s="225"/>
      <c r="AC21" s="149"/>
      <c r="AF21" s="225"/>
      <c r="AH21" s="149"/>
      <c r="AK21" s="225"/>
      <c r="AM21" s="149"/>
      <c r="AO21" s="225"/>
      <c r="AQ21" s="149"/>
      <c r="AS21" s="225"/>
      <c r="AU21" s="149"/>
      <c r="BB21" s="225"/>
      <c r="BD21" s="149"/>
      <c r="BF21" s="225"/>
      <c r="BH21" s="149"/>
      <c r="BK21" s="225"/>
      <c r="BM21" s="149"/>
      <c r="BN21" s="225"/>
      <c r="BO21" s="225"/>
      <c r="BQ21" s="149"/>
      <c r="BR21" s="149"/>
    </row>
    <row r="22" spans="2:70" ht="15" customHeight="1">
      <c r="B22" s="249" t="s">
        <v>1451</v>
      </c>
      <c r="C22" s="250" t="s">
        <v>505</v>
      </c>
      <c r="D22" s="241">
        <f t="shared" si="9"/>
        <v>21440</v>
      </c>
      <c r="E22" s="2002">
        <v>1</v>
      </c>
      <c r="F22" s="524">
        <v>2.2000000000000002</v>
      </c>
      <c r="G22" s="242">
        <f t="shared" si="10"/>
        <v>2.2000000000000002</v>
      </c>
      <c r="H22" s="241">
        <f t="shared" si="11"/>
        <v>47168</v>
      </c>
      <c r="I22" s="243">
        <f>SUMIF(建具の明細!B$5:B$48,建具!B22,建具の明細!K$5:K$48)</f>
        <v>0</v>
      </c>
      <c r="J22" s="244">
        <f t="shared" si="12"/>
        <v>0</v>
      </c>
      <c r="K22" s="245">
        <v>21447</v>
      </c>
      <c r="L22" s="2000"/>
      <c r="M22" s="2001"/>
      <c r="N22" s="2200"/>
      <c r="O22" s="226" t="b">
        <f t="shared" si="13"/>
        <v>0</v>
      </c>
      <c r="P22" s="1019"/>
      <c r="Q22" s="1019"/>
      <c r="T22" s="225"/>
      <c r="U22" s="225"/>
      <c r="V22" s="225"/>
      <c r="W22" s="149"/>
      <c r="Y22" s="149"/>
      <c r="AA22" s="225"/>
      <c r="AC22" s="149"/>
      <c r="AF22" s="225"/>
      <c r="AH22" s="149"/>
      <c r="AK22" s="225"/>
      <c r="AM22" s="149"/>
      <c r="AO22" s="225"/>
      <c r="AQ22" s="149"/>
      <c r="AS22" s="225"/>
      <c r="AU22" s="149"/>
      <c r="BB22" s="225"/>
      <c r="BD22" s="149"/>
      <c r="BF22" s="225"/>
      <c r="BH22" s="149"/>
      <c r="BK22" s="225"/>
      <c r="BM22" s="149"/>
      <c r="BN22" s="225"/>
      <c r="BO22" s="225"/>
      <c r="BQ22" s="149"/>
      <c r="BR22" s="149"/>
    </row>
    <row r="23" spans="2:70" ht="15" customHeight="1">
      <c r="B23" s="249" t="s">
        <v>1440</v>
      </c>
      <c r="C23" s="250" t="s">
        <v>505</v>
      </c>
      <c r="D23" s="241">
        <f t="shared" si="9"/>
        <v>24630</v>
      </c>
      <c r="E23" s="2002">
        <v>1</v>
      </c>
      <c r="F23" s="524">
        <v>1.7</v>
      </c>
      <c r="G23" s="242">
        <f t="shared" si="10"/>
        <v>1.7</v>
      </c>
      <c r="H23" s="241">
        <f t="shared" si="11"/>
        <v>41871</v>
      </c>
      <c r="I23" s="243">
        <f>SUMIF(建具の明細!B$5:B$48,建具!B23,建具の明細!K$5:K$48)</f>
        <v>0</v>
      </c>
      <c r="J23" s="244">
        <f t="shared" si="12"/>
        <v>0</v>
      </c>
      <c r="K23" s="245">
        <v>24638</v>
      </c>
      <c r="L23" s="2000"/>
      <c r="M23" s="2001"/>
      <c r="N23" s="2200"/>
      <c r="O23" s="226" t="b">
        <f t="shared" si="13"/>
        <v>0</v>
      </c>
      <c r="P23" s="1019"/>
      <c r="Q23" s="1019"/>
      <c r="T23" s="225"/>
      <c r="U23" s="225"/>
      <c r="V23" s="225"/>
      <c r="W23" s="149"/>
      <c r="Y23" s="149"/>
      <c r="AA23" s="225"/>
      <c r="AC23" s="149"/>
      <c r="AF23" s="225"/>
      <c r="AH23" s="149"/>
      <c r="AK23" s="225"/>
      <c r="AM23" s="149"/>
      <c r="AO23" s="225"/>
      <c r="AQ23" s="149"/>
      <c r="AS23" s="225"/>
      <c r="AU23" s="149"/>
      <c r="BB23" s="225"/>
      <c r="BD23" s="149"/>
      <c r="BF23" s="225"/>
      <c r="BH23" s="149"/>
      <c r="BK23" s="225"/>
      <c r="BM23" s="149"/>
      <c r="BN23" s="225"/>
      <c r="BO23" s="225"/>
      <c r="BQ23" s="149"/>
      <c r="BR23" s="149"/>
    </row>
    <row r="24" spans="2:70" ht="15" customHeight="1">
      <c r="B24" s="249" t="s">
        <v>1452</v>
      </c>
      <c r="C24" s="250" t="s">
        <v>505</v>
      </c>
      <c r="D24" s="241">
        <f t="shared" si="9"/>
        <v>16390</v>
      </c>
      <c r="E24" s="2002">
        <v>1</v>
      </c>
      <c r="F24" s="524">
        <v>1.7</v>
      </c>
      <c r="G24" s="242">
        <f t="shared" si="10"/>
        <v>1.7</v>
      </c>
      <c r="H24" s="241">
        <f t="shared" si="11"/>
        <v>27863</v>
      </c>
      <c r="I24" s="243">
        <f>SUMIF(建具の明細!B$5:B$48,建具!B24,建具の明細!K$5:K$48)</f>
        <v>0</v>
      </c>
      <c r="J24" s="244">
        <f t="shared" si="12"/>
        <v>0</v>
      </c>
      <c r="K24" s="245">
        <v>16396</v>
      </c>
      <c r="L24" s="2000"/>
      <c r="M24" s="2001"/>
      <c r="N24" s="2200"/>
      <c r="O24" s="226" t="b">
        <f t="shared" si="13"/>
        <v>0</v>
      </c>
      <c r="P24" s="1019"/>
      <c r="Q24" s="1019"/>
      <c r="T24" s="225"/>
      <c r="U24" s="225"/>
      <c r="V24" s="225"/>
      <c r="W24" s="149"/>
      <c r="Y24" s="149"/>
      <c r="AA24" s="225"/>
      <c r="AC24" s="149"/>
      <c r="AF24" s="225"/>
      <c r="AH24" s="149"/>
      <c r="AK24" s="225"/>
      <c r="AM24" s="149"/>
      <c r="AO24" s="225"/>
      <c r="AQ24" s="149"/>
      <c r="AS24" s="225"/>
      <c r="AU24" s="149"/>
      <c r="BB24" s="225"/>
      <c r="BD24" s="149"/>
      <c r="BF24" s="225"/>
      <c r="BH24" s="149"/>
      <c r="BK24" s="225"/>
      <c r="BM24" s="149"/>
      <c r="BN24" s="225"/>
      <c r="BO24" s="225"/>
      <c r="BQ24" s="149"/>
      <c r="BR24" s="149"/>
    </row>
    <row r="25" spans="2:70" ht="15" customHeight="1">
      <c r="B25" s="249" t="s">
        <v>1441</v>
      </c>
      <c r="C25" s="250" t="s">
        <v>505</v>
      </c>
      <c r="D25" s="241">
        <f t="shared" si="9"/>
        <v>20230</v>
      </c>
      <c r="E25" s="2002">
        <v>1</v>
      </c>
      <c r="F25" s="524">
        <v>1.7</v>
      </c>
      <c r="G25" s="242">
        <f t="shared" si="10"/>
        <v>1.7</v>
      </c>
      <c r="H25" s="241">
        <f t="shared" si="11"/>
        <v>34391</v>
      </c>
      <c r="I25" s="243">
        <f>SUMIF(建具の明細!B$5:B$48,建具!B25,建具の明細!K$5:K$48)</f>
        <v>0</v>
      </c>
      <c r="J25" s="244">
        <f t="shared" si="12"/>
        <v>0</v>
      </c>
      <c r="K25" s="245">
        <v>20236</v>
      </c>
      <c r="L25" s="2000"/>
      <c r="M25" s="2001"/>
      <c r="N25" s="2200"/>
      <c r="O25" s="226" t="b">
        <f t="shared" si="13"/>
        <v>0</v>
      </c>
      <c r="P25" s="1019"/>
      <c r="Q25" s="1019"/>
      <c r="T25" s="225"/>
      <c r="U25" s="225"/>
      <c r="V25" s="225"/>
      <c r="W25" s="149"/>
      <c r="Y25" s="149"/>
      <c r="AA25" s="225"/>
      <c r="AC25" s="149"/>
      <c r="AF25" s="225"/>
      <c r="AH25" s="149"/>
      <c r="AK25" s="225"/>
      <c r="AM25" s="149"/>
      <c r="AO25" s="225"/>
      <c r="AQ25" s="149"/>
      <c r="AS25" s="225"/>
      <c r="AU25" s="149"/>
      <c r="BB25" s="225"/>
      <c r="BD25" s="149"/>
      <c r="BF25" s="225"/>
      <c r="BH25" s="149"/>
      <c r="BK25" s="225"/>
      <c r="BM25" s="149"/>
      <c r="BN25" s="225"/>
      <c r="BO25" s="225"/>
      <c r="BQ25" s="149"/>
      <c r="BR25" s="149"/>
    </row>
    <row r="26" spans="2:70" ht="15" customHeight="1">
      <c r="B26" s="249" t="s">
        <v>1453</v>
      </c>
      <c r="C26" s="250" t="s">
        <v>505</v>
      </c>
      <c r="D26" s="241">
        <f t="shared" si="9"/>
        <v>14130</v>
      </c>
      <c r="E26" s="2002">
        <v>1</v>
      </c>
      <c r="F26" s="524">
        <v>1.7</v>
      </c>
      <c r="G26" s="242">
        <f t="shared" si="10"/>
        <v>1.7</v>
      </c>
      <c r="H26" s="241">
        <f t="shared" si="11"/>
        <v>24021</v>
      </c>
      <c r="I26" s="243">
        <f>SUMIF(建具の明細!B$5:B$48,建具!B26,建具の明細!K$5:K$48)</f>
        <v>0</v>
      </c>
      <c r="J26" s="244">
        <f t="shared" si="12"/>
        <v>0</v>
      </c>
      <c r="K26" s="245">
        <v>14131</v>
      </c>
      <c r="L26" s="2000"/>
      <c r="M26" s="2001"/>
      <c r="N26" s="2200"/>
      <c r="O26" s="226" t="b">
        <f t="shared" si="13"/>
        <v>0</v>
      </c>
      <c r="P26" s="1019"/>
      <c r="Q26" s="1019"/>
      <c r="T26" s="225"/>
      <c r="U26" s="225"/>
      <c r="V26" s="225"/>
      <c r="W26" s="149"/>
      <c r="Y26" s="149"/>
      <c r="AA26" s="225"/>
      <c r="AC26" s="149"/>
      <c r="AF26" s="225"/>
      <c r="AH26" s="149"/>
      <c r="AK26" s="225"/>
      <c r="AM26" s="149"/>
      <c r="AO26" s="225"/>
      <c r="AQ26" s="149"/>
      <c r="AS26" s="225"/>
      <c r="AU26" s="149"/>
      <c r="BB26" s="225"/>
      <c r="BD26" s="149"/>
      <c r="BF26" s="225"/>
      <c r="BH26" s="149"/>
      <c r="BK26" s="225"/>
      <c r="BM26" s="149"/>
      <c r="BN26" s="225"/>
      <c r="BO26" s="225"/>
      <c r="BQ26" s="149"/>
      <c r="BR26" s="149"/>
    </row>
    <row r="27" spans="2:70" ht="15" customHeight="1">
      <c r="B27" s="249" t="s">
        <v>1442</v>
      </c>
      <c r="C27" s="250" t="s">
        <v>505</v>
      </c>
      <c r="D27" s="241">
        <f t="shared" si="9"/>
        <v>33470</v>
      </c>
      <c r="E27" s="2002">
        <v>1</v>
      </c>
      <c r="F27" s="524">
        <v>1.7</v>
      </c>
      <c r="G27" s="242">
        <f t="shared" si="10"/>
        <v>1.7</v>
      </c>
      <c r="H27" s="241">
        <f t="shared" si="11"/>
        <v>56899</v>
      </c>
      <c r="I27" s="243">
        <f>SUMIF(建具の明細!B$5:B$48,建具!B27,建具の明細!K$5:K$48)</f>
        <v>0</v>
      </c>
      <c r="J27" s="244">
        <f t="shared" si="12"/>
        <v>0</v>
      </c>
      <c r="K27" s="245">
        <v>33473</v>
      </c>
      <c r="L27" s="2000"/>
      <c r="M27" s="2001"/>
      <c r="N27" s="2200"/>
      <c r="O27" s="226" t="b">
        <f t="shared" si="13"/>
        <v>0</v>
      </c>
      <c r="P27" s="1019"/>
      <c r="Q27" s="1019"/>
      <c r="T27" s="225"/>
      <c r="U27" s="225"/>
      <c r="V27" s="225"/>
      <c r="W27" s="149"/>
      <c r="Y27" s="149"/>
      <c r="AA27" s="225"/>
      <c r="AC27" s="149"/>
      <c r="AF27" s="225"/>
      <c r="AH27" s="149"/>
      <c r="AK27" s="225"/>
      <c r="AM27" s="149"/>
      <c r="AO27" s="225"/>
      <c r="AQ27" s="149"/>
      <c r="AS27" s="225"/>
      <c r="AU27" s="149"/>
      <c r="BB27" s="225"/>
      <c r="BD27" s="149"/>
      <c r="BF27" s="225"/>
      <c r="BH27" s="149"/>
      <c r="BK27" s="225"/>
      <c r="BM27" s="149"/>
      <c r="BN27" s="225"/>
      <c r="BO27" s="225"/>
      <c r="BQ27" s="149"/>
      <c r="BR27" s="149"/>
    </row>
    <row r="28" spans="2:70" ht="15" customHeight="1">
      <c r="B28" s="249" t="s">
        <v>1454</v>
      </c>
      <c r="C28" s="250" t="s">
        <v>505</v>
      </c>
      <c r="D28" s="241">
        <f t="shared" si="9"/>
        <v>21440</v>
      </c>
      <c r="E28" s="2002">
        <v>1</v>
      </c>
      <c r="F28" s="524">
        <v>1.7</v>
      </c>
      <c r="G28" s="242">
        <f t="shared" si="10"/>
        <v>1.7</v>
      </c>
      <c r="H28" s="241">
        <f t="shared" si="11"/>
        <v>36448</v>
      </c>
      <c r="I28" s="243">
        <f>SUMIF(建具の明細!B$5:B$48,建具!B28,建具の明細!K$5:K$48)</f>
        <v>0</v>
      </c>
      <c r="J28" s="244">
        <f t="shared" si="12"/>
        <v>0</v>
      </c>
      <c r="K28" s="245">
        <v>21447</v>
      </c>
      <c r="L28" s="2000"/>
      <c r="M28" s="2001"/>
      <c r="N28" s="2200"/>
      <c r="O28" s="226" t="b">
        <f t="shared" si="13"/>
        <v>0</v>
      </c>
      <c r="P28" s="1019"/>
      <c r="Q28" s="1019"/>
      <c r="T28" s="225"/>
      <c r="U28" s="225"/>
      <c r="V28" s="225"/>
      <c r="W28" s="149"/>
      <c r="Y28" s="149"/>
      <c r="AA28" s="225"/>
      <c r="AC28" s="149"/>
      <c r="AF28" s="225"/>
      <c r="AH28" s="149"/>
      <c r="AK28" s="225"/>
      <c r="AM28" s="149"/>
      <c r="AO28" s="225"/>
      <c r="AQ28" s="149"/>
      <c r="AS28" s="225"/>
      <c r="AU28" s="149"/>
      <c r="BB28" s="225"/>
      <c r="BD28" s="149"/>
      <c r="BF28" s="225"/>
      <c r="BH28" s="149"/>
      <c r="BK28" s="225"/>
      <c r="BM28" s="149"/>
      <c r="BN28" s="225"/>
      <c r="BO28" s="225"/>
      <c r="BQ28" s="149"/>
      <c r="BR28" s="149"/>
    </row>
    <row r="29" spans="2:70" ht="15" customHeight="1">
      <c r="B29" s="249" t="s">
        <v>1443</v>
      </c>
      <c r="C29" s="250" t="s">
        <v>505</v>
      </c>
      <c r="D29" s="241">
        <f t="shared" si="9"/>
        <v>24630</v>
      </c>
      <c r="E29" s="2002">
        <v>1</v>
      </c>
      <c r="F29" s="524">
        <v>0.65</v>
      </c>
      <c r="G29" s="242">
        <f t="shared" si="10"/>
        <v>0.65</v>
      </c>
      <c r="H29" s="241">
        <f t="shared" si="11"/>
        <v>16009</v>
      </c>
      <c r="I29" s="243">
        <f>SUMIF(建具の明細!B$5:B$48,建具!B29,建具の明細!K$5:K$48)</f>
        <v>0</v>
      </c>
      <c r="J29" s="244">
        <f t="shared" si="12"/>
        <v>0</v>
      </c>
      <c r="K29" s="245">
        <v>24638</v>
      </c>
      <c r="L29" s="2000"/>
      <c r="M29" s="2001"/>
      <c r="N29" s="2200"/>
      <c r="O29" s="226" t="b">
        <f t="shared" si="13"/>
        <v>0</v>
      </c>
      <c r="P29" s="1019"/>
      <c r="Q29" s="1019"/>
      <c r="T29" s="225"/>
      <c r="U29" s="225"/>
      <c r="V29" s="225"/>
      <c r="W29" s="149"/>
      <c r="Y29" s="149"/>
      <c r="AA29" s="225"/>
      <c r="AC29" s="149"/>
      <c r="AF29" s="225"/>
      <c r="AH29" s="149"/>
      <c r="AK29" s="225"/>
      <c r="AM29" s="149"/>
      <c r="AO29" s="225"/>
      <c r="AQ29" s="149"/>
      <c r="AS29" s="225"/>
      <c r="AU29" s="149"/>
      <c r="BB29" s="225"/>
      <c r="BD29" s="149"/>
      <c r="BF29" s="225"/>
      <c r="BH29" s="149"/>
      <c r="BK29" s="225"/>
      <c r="BM29" s="149"/>
      <c r="BN29" s="225"/>
      <c r="BO29" s="225"/>
      <c r="BQ29" s="149"/>
      <c r="BR29" s="149"/>
    </row>
    <row r="30" spans="2:70" ht="15" customHeight="1">
      <c r="B30" s="249" t="s">
        <v>1455</v>
      </c>
      <c r="C30" s="250" t="s">
        <v>505</v>
      </c>
      <c r="D30" s="241">
        <f t="shared" si="9"/>
        <v>16390</v>
      </c>
      <c r="E30" s="2002">
        <v>1</v>
      </c>
      <c r="F30" s="524">
        <v>0.65</v>
      </c>
      <c r="G30" s="242">
        <f t="shared" si="10"/>
        <v>0.65</v>
      </c>
      <c r="H30" s="241">
        <f t="shared" si="11"/>
        <v>10653</v>
      </c>
      <c r="I30" s="243">
        <f>SUMIF(建具の明細!B$5:B$48,建具!B30,建具の明細!K$5:K$48)</f>
        <v>0</v>
      </c>
      <c r="J30" s="244">
        <f t="shared" si="12"/>
        <v>0</v>
      </c>
      <c r="K30" s="245">
        <v>16396</v>
      </c>
      <c r="L30" s="2000"/>
      <c r="M30" s="2001"/>
      <c r="N30" s="2200"/>
      <c r="O30" s="226" t="b">
        <f t="shared" si="13"/>
        <v>0</v>
      </c>
      <c r="P30" s="1019"/>
      <c r="Q30" s="1019"/>
      <c r="T30" s="225"/>
      <c r="U30" s="225"/>
      <c r="V30" s="225"/>
      <c r="W30" s="149"/>
      <c r="Y30" s="149"/>
      <c r="AA30" s="225"/>
      <c r="AC30" s="149"/>
      <c r="AF30" s="225"/>
      <c r="AH30" s="149"/>
      <c r="AK30" s="225"/>
      <c r="AM30" s="149"/>
      <c r="AO30" s="225"/>
      <c r="AQ30" s="149"/>
      <c r="AS30" s="225"/>
      <c r="AU30" s="149"/>
      <c r="BB30" s="225"/>
      <c r="BD30" s="149"/>
      <c r="BF30" s="225"/>
      <c r="BH30" s="149"/>
      <c r="BK30" s="225"/>
      <c r="BM30" s="149"/>
      <c r="BN30" s="225"/>
      <c r="BO30" s="225"/>
      <c r="BQ30" s="149"/>
      <c r="BR30" s="149"/>
    </row>
    <row r="31" spans="2:70" ht="15" customHeight="1">
      <c r="B31" s="249" t="s">
        <v>1444</v>
      </c>
      <c r="C31" s="250" t="s">
        <v>505</v>
      </c>
      <c r="D31" s="241">
        <f t="shared" si="9"/>
        <v>20230</v>
      </c>
      <c r="E31" s="2002">
        <v>1</v>
      </c>
      <c r="F31" s="524">
        <v>0.65</v>
      </c>
      <c r="G31" s="242">
        <f t="shared" si="10"/>
        <v>0.65</v>
      </c>
      <c r="H31" s="241">
        <f t="shared" si="11"/>
        <v>13149</v>
      </c>
      <c r="I31" s="243">
        <f>SUMIF(建具の明細!B$5:B$48,建具!B31,建具の明細!K$5:K$48)</f>
        <v>0</v>
      </c>
      <c r="J31" s="244">
        <f t="shared" si="12"/>
        <v>0</v>
      </c>
      <c r="K31" s="245">
        <v>20236</v>
      </c>
      <c r="L31" s="2000"/>
      <c r="M31" s="2001"/>
      <c r="N31" s="2200"/>
      <c r="O31" s="226" t="b">
        <f t="shared" si="13"/>
        <v>0</v>
      </c>
      <c r="P31" s="1019"/>
      <c r="Q31" s="1019"/>
      <c r="T31" s="225"/>
      <c r="U31" s="225"/>
      <c r="V31" s="225"/>
      <c r="W31" s="149"/>
      <c r="Y31" s="149"/>
      <c r="AA31" s="225"/>
      <c r="AC31" s="149"/>
      <c r="AF31" s="225"/>
      <c r="AH31" s="149"/>
      <c r="AK31" s="225"/>
      <c r="AM31" s="149"/>
      <c r="AO31" s="225"/>
      <c r="AQ31" s="149"/>
      <c r="AS31" s="225"/>
      <c r="AU31" s="149"/>
      <c r="BB31" s="225"/>
      <c r="BD31" s="149"/>
      <c r="BF31" s="225"/>
      <c r="BH31" s="149"/>
      <c r="BK31" s="225"/>
      <c r="BM31" s="149"/>
      <c r="BN31" s="225"/>
      <c r="BO31" s="225"/>
      <c r="BQ31" s="149"/>
      <c r="BR31" s="149"/>
    </row>
    <row r="32" spans="2:70" ht="15" customHeight="1">
      <c r="B32" s="249" t="s">
        <v>1456</v>
      </c>
      <c r="C32" s="250" t="s">
        <v>505</v>
      </c>
      <c r="D32" s="241">
        <f t="shared" si="9"/>
        <v>14130</v>
      </c>
      <c r="E32" s="2002">
        <v>1</v>
      </c>
      <c r="F32" s="524">
        <v>0.65</v>
      </c>
      <c r="G32" s="242">
        <f t="shared" si="10"/>
        <v>0.65</v>
      </c>
      <c r="H32" s="241">
        <f t="shared" si="11"/>
        <v>9184</v>
      </c>
      <c r="I32" s="243">
        <f>SUMIF(建具の明細!B$5:B$48,建具!B32,建具の明細!K$5:K$48)</f>
        <v>0</v>
      </c>
      <c r="J32" s="244">
        <f t="shared" si="12"/>
        <v>0</v>
      </c>
      <c r="K32" s="245">
        <v>14131</v>
      </c>
      <c r="L32" s="2000"/>
      <c r="M32" s="2001"/>
      <c r="N32" s="2200"/>
      <c r="O32" s="226" t="b">
        <f t="shared" si="13"/>
        <v>0</v>
      </c>
      <c r="P32" s="1019"/>
      <c r="Q32" s="1019"/>
      <c r="T32" s="225"/>
      <c r="U32" s="225"/>
      <c r="V32" s="225"/>
      <c r="W32" s="149"/>
      <c r="Y32" s="149"/>
      <c r="AA32" s="225"/>
      <c r="AC32" s="149"/>
      <c r="AF32" s="225"/>
      <c r="AH32" s="149"/>
      <c r="AK32" s="225"/>
      <c r="AM32" s="149"/>
      <c r="AO32" s="225"/>
      <c r="AQ32" s="149"/>
      <c r="AS32" s="225"/>
      <c r="AU32" s="149"/>
      <c r="BB32" s="225"/>
      <c r="BD32" s="149"/>
      <c r="BF32" s="225"/>
      <c r="BH32" s="149"/>
      <c r="BK32" s="225"/>
      <c r="BM32" s="149"/>
      <c r="BN32" s="225"/>
      <c r="BO32" s="225"/>
      <c r="BQ32" s="149"/>
      <c r="BR32" s="149"/>
    </row>
    <row r="33" spans="2:70" ht="15" customHeight="1">
      <c r="B33" s="249" t="s">
        <v>1445</v>
      </c>
      <c r="C33" s="250" t="s">
        <v>505</v>
      </c>
      <c r="D33" s="241">
        <f t="shared" si="9"/>
        <v>33470</v>
      </c>
      <c r="E33" s="2002">
        <v>1</v>
      </c>
      <c r="F33" s="524">
        <v>0.65</v>
      </c>
      <c r="G33" s="242">
        <f t="shared" si="10"/>
        <v>0.65</v>
      </c>
      <c r="H33" s="241">
        <f t="shared" si="11"/>
        <v>21755</v>
      </c>
      <c r="I33" s="243">
        <f>SUMIF(建具の明細!B$5:B$48,建具!B33,建具の明細!K$5:K$48)</f>
        <v>0</v>
      </c>
      <c r="J33" s="244">
        <f t="shared" si="12"/>
        <v>0</v>
      </c>
      <c r="K33" s="245">
        <v>33473</v>
      </c>
      <c r="L33" s="2000"/>
      <c r="M33" s="2001"/>
      <c r="N33" s="2200"/>
      <c r="O33" s="226" t="b">
        <f t="shared" si="13"/>
        <v>0</v>
      </c>
      <c r="P33" s="1019"/>
      <c r="Q33" s="1019"/>
      <c r="T33" s="225"/>
      <c r="U33" s="225"/>
      <c r="V33" s="225"/>
      <c r="Y33" s="149"/>
      <c r="AA33" s="225"/>
      <c r="AC33" s="149"/>
      <c r="AF33" s="225"/>
      <c r="AH33" s="149"/>
      <c r="AK33" s="225"/>
      <c r="AM33" s="149"/>
      <c r="AO33" s="225"/>
      <c r="AQ33" s="149"/>
      <c r="AS33" s="225"/>
      <c r="AU33" s="149"/>
      <c r="BB33" s="225"/>
      <c r="BD33" s="149"/>
      <c r="BF33" s="225"/>
      <c r="BH33" s="149"/>
      <c r="BK33" s="225"/>
      <c r="BM33" s="149"/>
      <c r="BN33" s="225"/>
      <c r="BO33" s="225"/>
      <c r="BQ33" s="149"/>
      <c r="BR33" s="149"/>
    </row>
    <row r="34" spans="2:70" ht="15" customHeight="1">
      <c r="B34" s="249" t="s">
        <v>1457</v>
      </c>
      <c r="C34" s="250" t="s">
        <v>505</v>
      </c>
      <c r="D34" s="241">
        <f t="shared" si="9"/>
        <v>21440</v>
      </c>
      <c r="E34" s="2002">
        <v>1</v>
      </c>
      <c r="F34" s="524">
        <v>0.65</v>
      </c>
      <c r="G34" s="242">
        <f t="shared" si="10"/>
        <v>0.65</v>
      </c>
      <c r="H34" s="241">
        <f t="shared" si="11"/>
        <v>13936</v>
      </c>
      <c r="I34" s="243">
        <f>SUMIF(建具の明細!B$5:B$48,建具!B34,建具の明細!K$5:K$48)</f>
        <v>0</v>
      </c>
      <c r="J34" s="244">
        <f t="shared" si="12"/>
        <v>0</v>
      </c>
      <c r="K34" s="245">
        <v>21447</v>
      </c>
      <c r="L34" s="2000"/>
      <c r="M34" s="2001"/>
      <c r="N34" s="2200"/>
      <c r="O34" s="226" t="b">
        <f t="shared" si="13"/>
        <v>0</v>
      </c>
      <c r="P34" s="1019"/>
      <c r="Q34" s="1019"/>
      <c r="T34" s="225"/>
      <c r="U34" s="225"/>
      <c r="V34" s="225"/>
      <c r="Y34" s="149"/>
      <c r="AA34" s="225"/>
      <c r="AC34" s="149"/>
      <c r="AF34" s="225"/>
      <c r="AH34" s="149"/>
      <c r="AK34" s="225"/>
      <c r="AM34" s="149"/>
      <c r="AO34" s="225"/>
      <c r="AQ34" s="149"/>
      <c r="AS34" s="225"/>
      <c r="AU34" s="149"/>
      <c r="BB34" s="225"/>
      <c r="BD34" s="149"/>
      <c r="BF34" s="225"/>
      <c r="BH34" s="149"/>
      <c r="BK34" s="225"/>
      <c r="BM34" s="149"/>
      <c r="BN34" s="225"/>
      <c r="BO34" s="225"/>
      <c r="BQ34" s="149"/>
      <c r="BR34" s="149"/>
    </row>
    <row r="35" spans="2:70" ht="15" customHeight="1">
      <c r="B35" s="249" t="s">
        <v>1095</v>
      </c>
      <c r="C35" s="250"/>
      <c r="D35" s="241"/>
      <c r="E35" s="524"/>
      <c r="F35" s="524"/>
      <c r="G35" s="242"/>
      <c r="H35" s="241"/>
      <c r="I35" s="243"/>
      <c r="J35" s="244"/>
      <c r="K35" s="245"/>
      <c r="L35" s="2000"/>
      <c r="M35" s="2001"/>
      <c r="N35" s="2200"/>
      <c r="O35" s="226" t="b">
        <f t="shared" si="13"/>
        <v>0</v>
      </c>
      <c r="P35" s="1019"/>
      <c r="Q35" s="1019"/>
      <c r="S35" s="533"/>
      <c r="T35" s="225"/>
      <c r="U35" s="225"/>
      <c r="V35" s="225"/>
      <c r="W35" s="149"/>
      <c r="Y35" s="149"/>
      <c r="AA35" s="225"/>
      <c r="AC35" s="149"/>
      <c r="AF35" s="225"/>
      <c r="AH35" s="149"/>
      <c r="AK35" s="225"/>
      <c r="AM35" s="149"/>
      <c r="AO35" s="225"/>
      <c r="AQ35" s="149"/>
      <c r="AS35" s="225"/>
      <c r="AU35" s="149"/>
      <c r="BB35" s="225"/>
      <c r="BD35" s="149"/>
      <c r="BF35" s="225"/>
      <c r="BH35" s="149"/>
      <c r="BK35" s="225"/>
      <c r="BM35" s="149"/>
      <c r="BN35" s="225"/>
      <c r="BO35" s="225"/>
      <c r="BQ35" s="149"/>
      <c r="BR35" s="149"/>
    </row>
    <row r="36" spans="2:70" ht="15" customHeight="1">
      <c r="B36" s="249" t="s">
        <v>1458</v>
      </c>
      <c r="C36" s="250"/>
      <c r="D36" s="241">
        <f t="shared" si="9"/>
        <v>49670</v>
      </c>
      <c r="E36" s="2002">
        <v>1</v>
      </c>
      <c r="F36" s="524">
        <v>1</v>
      </c>
      <c r="G36" s="242">
        <f t="shared" si="10"/>
        <v>1</v>
      </c>
      <c r="H36" s="241">
        <f t="shared" si="11"/>
        <v>49670</v>
      </c>
      <c r="I36" s="243">
        <f>SUMIF(建具の明細!B$5:B$48,建具!B36,建具の明細!K$5:K$48)</f>
        <v>0</v>
      </c>
      <c r="J36" s="244">
        <f t="shared" si="12"/>
        <v>0</v>
      </c>
      <c r="K36" s="245">
        <v>49671</v>
      </c>
      <c r="L36" s="2000"/>
      <c r="M36" s="2001"/>
      <c r="N36" s="2200"/>
      <c r="O36" s="226" t="b">
        <f t="shared" si="13"/>
        <v>0</v>
      </c>
      <c r="P36" s="1019"/>
      <c r="Q36" s="1019"/>
      <c r="T36" s="225"/>
      <c r="U36" s="225"/>
      <c r="V36" s="225"/>
      <c r="W36" s="149"/>
      <c r="Y36" s="149"/>
      <c r="AA36" s="225"/>
      <c r="AC36" s="149"/>
      <c r="AF36" s="225"/>
      <c r="AH36" s="149"/>
      <c r="AK36" s="225"/>
      <c r="AM36" s="149"/>
      <c r="AO36" s="225"/>
      <c r="AQ36" s="149"/>
      <c r="AS36" s="225"/>
      <c r="AU36" s="149"/>
      <c r="BB36" s="225"/>
      <c r="BD36" s="149"/>
      <c r="BF36" s="225"/>
      <c r="BH36" s="149"/>
      <c r="BK36" s="225"/>
      <c r="BM36" s="149"/>
      <c r="BN36" s="225"/>
      <c r="BO36" s="225"/>
      <c r="BQ36" s="149"/>
      <c r="BR36" s="149"/>
    </row>
    <row r="37" spans="2:70" ht="15" customHeight="1">
      <c r="B37" s="249" t="s">
        <v>1459</v>
      </c>
      <c r="C37" s="250"/>
      <c r="D37" s="241">
        <f t="shared" si="9"/>
        <v>43610</v>
      </c>
      <c r="E37" s="2002">
        <v>1</v>
      </c>
      <c r="F37" s="524">
        <v>1</v>
      </c>
      <c r="G37" s="242">
        <f t="shared" si="10"/>
        <v>1</v>
      </c>
      <c r="H37" s="241">
        <f t="shared" si="11"/>
        <v>43610</v>
      </c>
      <c r="I37" s="243">
        <f>SUMIF(建具の明細!B$5:B$48,建具!B37,建具の明細!K$5:K$48)</f>
        <v>0</v>
      </c>
      <c r="J37" s="244">
        <f t="shared" si="12"/>
        <v>0</v>
      </c>
      <c r="K37" s="245">
        <v>43615</v>
      </c>
      <c r="L37" s="2000"/>
      <c r="M37" s="2001"/>
      <c r="N37" s="2200"/>
      <c r="O37" s="226" t="b">
        <f t="shared" si="13"/>
        <v>0</v>
      </c>
      <c r="P37" s="1019"/>
      <c r="Q37" s="1019"/>
      <c r="T37" s="225"/>
      <c r="U37" s="225"/>
      <c r="V37" s="225"/>
      <c r="W37" s="149"/>
      <c r="Y37" s="149"/>
      <c r="AA37" s="225"/>
      <c r="AC37" s="149"/>
      <c r="AF37" s="225"/>
      <c r="AH37" s="149"/>
      <c r="AK37" s="225"/>
      <c r="AM37" s="149"/>
      <c r="AO37" s="225"/>
      <c r="AQ37" s="149"/>
      <c r="AS37" s="225"/>
      <c r="AU37" s="149"/>
      <c r="BB37" s="225"/>
      <c r="BD37" s="149"/>
      <c r="BF37" s="225"/>
      <c r="BH37" s="149"/>
      <c r="BK37" s="225"/>
      <c r="BM37" s="149"/>
      <c r="BN37" s="225"/>
      <c r="BO37" s="225"/>
      <c r="BQ37" s="149"/>
      <c r="BR37" s="149"/>
    </row>
    <row r="38" spans="2:70" ht="15" customHeight="1">
      <c r="B38" s="249" t="s">
        <v>1460</v>
      </c>
      <c r="C38" s="250"/>
      <c r="D38" s="241">
        <f t="shared" si="9"/>
        <v>35680</v>
      </c>
      <c r="E38" s="2002">
        <v>1</v>
      </c>
      <c r="F38" s="524">
        <v>1</v>
      </c>
      <c r="G38" s="242">
        <f t="shared" si="10"/>
        <v>1</v>
      </c>
      <c r="H38" s="241">
        <f t="shared" si="11"/>
        <v>35680</v>
      </c>
      <c r="I38" s="243">
        <f>SUMIF(建具の明細!B$5:B$48,建具!B38,建具の明細!K$5:K$48)</f>
        <v>0</v>
      </c>
      <c r="J38" s="244">
        <f t="shared" si="12"/>
        <v>0</v>
      </c>
      <c r="K38" s="245">
        <v>35688</v>
      </c>
      <c r="L38" s="2000"/>
      <c r="M38" s="2001"/>
      <c r="N38" s="2200"/>
      <c r="O38" s="226" t="b">
        <f t="shared" si="13"/>
        <v>0</v>
      </c>
      <c r="P38" s="1019"/>
      <c r="Q38" s="1019"/>
      <c r="T38" s="225"/>
      <c r="U38" s="225"/>
      <c r="V38" s="225"/>
      <c r="W38" s="149"/>
      <c r="Y38" s="149"/>
      <c r="AA38" s="225"/>
      <c r="AC38" s="149"/>
      <c r="AF38" s="225"/>
      <c r="AH38" s="149"/>
      <c r="AK38" s="225"/>
      <c r="AM38" s="149"/>
      <c r="AO38" s="225"/>
      <c r="AQ38" s="149"/>
      <c r="AS38" s="225"/>
      <c r="AU38" s="149"/>
      <c r="BB38" s="225"/>
      <c r="BD38" s="149"/>
      <c r="BF38" s="225"/>
      <c r="BH38" s="149"/>
      <c r="BK38" s="225"/>
      <c r="BM38" s="149"/>
      <c r="BN38" s="225"/>
      <c r="BO38" s="225"/>
      <c r="BQ38" s="149"/>
      <c r="BR38" s="149"/>
    </row>
    <row r="39" spans="2:70" ht="15" customHeight="1">
      <c r="B39" s="249" t="s">
        <v>1461</v>
      </c>
      <c r="C39" s="250"/>
      <c r="D39" s="241">
        <f t="shared" si="9"/>
        <v>25610</v>
      </c>
      <c r="E39" s="2002">
        <v>1</v>
      </c>
      <c r="F39" s="524">
        <v>1</v>
      </c>
      <c r="G39" s="242">
        <f t="shared" si="10"/>
        <v>1</v>
      </c>
      <c r="H39" s="241">
        <f t="shared" si="11"/>
        <v>25610</v>
      </c>
      <c r="I39" s="243">
        <f>SUMIF(建具の明細!B$5:B$48,建具!B39,建具の明細!K$5:K$48)</f>
        <v>0</v>
      </c>
      <c r="J39" s="244">
        <f t="shared" si="12"/>
        <v>0</v>
      </c>
      <c r="K39" s="245">
        <v>25610</v>
      </c>
      <c r="L39" s="2000"/>
      <c r="M39" s="2001"/>
      <c r="N39" s="2200"/>
      <c r="O39" s="226" t="b">
        <f t="shared" si="13"/>
        <v>0</v>
      </c>
      <c r="P39" s="1019"/>
      <c r="Q39" s="1019"/>
      <c r="T39" s="225"/>
      <c r="U39" s="225"/>
      <c r="V39" s="225"/>
      <c r="W39" s="149"/>
      <c r="Y39" s="149"/>
      <c r="AA39" s="225"/>
      <c r="AC39" s="149"/>
      <c r="AF39" s="225"/>
      <c r="AH39" s="149"/>
      <c r="AK39" s="225"/>
      <c r="AM39" s="149"/>
      <c r="AO39" s="225"/>
      <c r="AQ39" s="149"/>
      <c r="AS39" s="225"/>
      <c r="AU39" s="149"/>
      <c r="BB39" s="225"/>
      <c r="BD39" s="149"/>
      <c r="BF39" s="225"/>
      <c r="BH39" s="149"/>
      <c r="BK39" s="225"/>
      <c r="BM39" s="149"/>
      <c r="BN39" s="225"/>
      <c r="BO39" s="225"/>
      <c r="BQ39" s="149"/>
      <c r="BR39" s="149"/>
    </row>
    <row r="40" spans="2:70" ht="15" customHeight="1">
      <c r="B40" s="249" t="s">
        <v>1063</v>
      </c>
      <c r="C40" s="250"/>
      <c r="D40" s="241">
        <f t="shared" si="9"/>
        <v>32850</v>
      </c>
      <c r="E40" s="2002">
        <v>1</v>
      </c>
      <c r="F40" s="524">
        <v>1.4</v>
      </c>
      <c r="G40" s="242">
        <f t="shared" si="10"/>
        <v>1.4</v>
      </c>
      <c r="H40" s="241">
        <f t="shared" si="11"/>
        <v>45990</v>
      </c>
      <c r="I40" s="243">
        <f>SUMIF(建具の明細!B$5:B$48,建具!B40,建具の明細!K$5:K$48)</f>
        <v>0</v>
      </c>
      <c r="J40" s="244">
        <f t="shared" si="12"/>
        <v>0</v>
      </c>
      <c r="K40" s="245">
        <v>32850</v>
      </c>
      <c r="L40" s="2000"/>
      <c r="M40" s="2001"/>
      <c r="N40" s="2200"/>
      <c r="O40" s="226" t="b">
        <f t="shared" si="13"/>
        <v>0</v>
      </c>
      <c r="P40" s="1019"/>
      <c r="Q40" s="1019"/>
      <c r="T40" s="225"/>
      <c r="U40" s="225"/>
      <c r="V40" s="533"/>
      <c r="W40" s="149"/>
      <c r="Y40" s="149"/>
      <c r="AA40" s="225"/>
      <c r="AC40" s="149"/>
      <c r="AF40" s="225"/>
      <c r="AH40" s="149"/>
      <c r="AK40" s="225"/>
      <c r="AM40" s="149"/>
      <c r="AO40" s="225"/>
      <c r="AQ40" s="149"/>
      <c r="AS40" s="225"/>
      <c r="AU40" s="149"/>
      <c r="BB40" s="225"/>
      <c r="BD40" s="149"/>
      <c r="BF40" s="225"/>
      <c r="BH40" s="149"/>
      <c r="BK40" s="225"/>
      <c r="BM40" s="149"/>
      <c r="BN40" s="225"/>
      <c r="BO40" s="225"/>
      <c r="BQ40" s="149"/>
      <c r="BR40" s="149"/>
    </row>
    <row r="41" spans="2:70" ht="15" customHeight="1">
      <c r="B41" s="249" t="s">
        <v>1064</v>
      </c>
      <c r="C41" s="250"/>
      <c r="D41" s="241">
        <f t="shared" si="9"/>
        <v>29300</v>
      </c>
      <c r="E41" s="2002">
        <v>1</v>
      </c>
      <c r="F41" s="524">
        <v>1.4</v>
      </c>
      <c r="G41" s="242">
        <f t="shared" si="10"/>
        <v>1.4</v>
      </c>
      <c r="H41" s="241">
        <f t="shared" si="11"/>
        <v>41020</v>
      </c>
      <c r="I41" s="243">
        <f>SUMIF(建具の明細!B$5:B$48,建具!B41,建具の明細!K$5:K$48)</f>
        <v>0</v>
      </c>
      <c r="J41" s="244">
        <f t="shared" si="12"/>
        <v>0</v>
      </c>
      <c r="K41" s="245">
        <v>29302</v>
      </c>
      <c r="L41" s="2000"/>
      <c r="M41" s="2001"/>
      <c r="N41" s="2200"/>
      <c r="O41" s="226" t="b">
        <f t="shared" si="13"/>
        <v>0</v>
      </c>
      <c r="P41" s="1019"/>
      <c r="Q41" s="1019"/>
      <c r="T41" s="225"/>
      <c r="U41" s="225"/>
      <c r="V41" s="225"/>
      <c r="W41" s="149"/>
      <c r="Y41" s="149"/>
      <c r="AA41" s="225"/>
      <c r="AC41" s="149"/>
      <c r="AF41" s="225"/>
      <c r="AH41" s="149"/>
      <c r="AK41" s="225"/>
      <c r="AM41" s="149"/>
      <c r="AO41" s="225"/>
      <c r="AQ41" s="149"/>
      <c r="AS41" s="225"/>
      <c r="AU41" s="149"/>
      <c r="BB41" s="225"/>
      <c r="BD41" s="149"/>
      <c r="BF41" s="225"/>
      <c r="BH41" s="149"/>
      <c r="BK41" s="225"/>
      <c r="BM41" s="149"/>
      <c r="BN41" s="225"/>
      <c r="BO41" s="225"/>
      <c r="BQ41" s="149"/>
      <c r="BR41" s="149"/>
    </row>
    <row r="42" spans="2:70" ht="15" customHeight="1">
      <c r="B42" s="249" t="s">
        <v>1065</v>
      </c>
      <c r="C42" s="250"/>
      <c r="D42" s="241">
        <f t="shared" si="9"/>
        <v>23110</v>
      </c>
      <c r="E42" s="2002">
        <v>1</v>
      </c>
      <c r="F42" s="524">
        <v>1.4</v>
      </c>
      <c r="G42" s="242">
        <f t="shared" si="10"/>
        <v>1.4</v>
      </c>
      <c r="H42" s="241">
        <f t="shared" si="11"/>
        <v>32354</v>
      </c>
      <c r="I42" s="243">
        <f>SUMIF(建具の明細!B$5:B$48,建具!B42,建具の明細!K$5:K$48)</f>
        <v>0</v>
      </c>
      <c r="J42" s="244">
        <f t="shared" si="12"/>
        <v>0</v>
      </c>
      <c r="K42" s="245">
        <v>23114</v>
      </c>
      <c r="L42" s="2000"/>
      <c r="M42" s="2001"/>
      <c r="N42" s="2200"/>
      <c r="O42" s="226" t="b">
        <f t="shared" si="13"/>
        <v>0</v>
      </c>
      <c r="P42" s="1019"/>
      <c r="Q42" s="1019"/>
      <c r="T42" s="225"/>
      <c r="U42" s="225"/>
      <c r="V42" s="225"/>
      <c r="W42" s="149"/>
      <c r="Y42" s="149"/>
      <c r="AA42" s="225"/>
      <c r="AC42" s="149"/>
      <c r="AF42" s="225"/>
      <c r="AH42" s="149"/>
      <c r="AK42" s="225"/>
      <c r="AM42" s="149"/>
      <c r="AO42" s="225"/>
      <c r="AQ42" s="149"/>
      <c r="AS42" s="225"/>
      <c r="AU42" s="149"/>
      <c r="BB42" s="225"/>
      <c r="BD42" s="149"/>
      <c r="BF42" s="225"/>
      <c r="BH42" s="149"/>
      <c r="BK42" s="225"/>
      <c r="BM42" s="149"/>
      <c r="BN42" s="225"/>
      <c r="BO42" s="225"/>
      <c r="BQ42" s="149"/>
      <c r="BR42" s="149"/>
    </row>
    <row r="43" spans="2:70" ht="15" customHeight="1">
      <c r="B43" s="249" t="s">
        <v>1462</v>
      </c>
      <c r="C43" s="250"/>
      <c r="D43" s="241">
        <f t="shared" si="9"/>
        <v>32850</v>
      </c>
      <c r="E43" s="2002">
        <v>1</v>
      </c>
      <c r="F43" s="524">
        <v>1</v>
      </c>
      <c r="G43" s="242">
        <f t="shared" si="10"/>
        <v>1</v>
      </c>
      <c r="H43" s="241">
        <f t="shared" si="11"/>
        <v>32850</v>
      </c>
      <c r="I43" s="243">
        <f>SUMIF(建具の明細!B$5:B$48,建具!B43,建具の明細!K$5:K$48)</f>
        <v>0</v>
      </c>
      <c r="J43" s="244">
        <f t="shared" si="12"/>
        <v>0</v>
      </c>
      <c r="K43" s="245">
        <v>32850</v>
      </c>
      <c r="L43" s="2000"/>
      <c r="M43" s="2001"/>
      <c r="N43" s="2200"/>
      <c r="O43" s="226" t="b">
        <f t="shared" si="13"/>
        <v>0</v>
      </c>
      <c r="P43" s="1019"/>
      <c r="Q43" s="1019"/>
      <c r="T43" s="225"/>
      <c r="U43" s="225"/>
      <c r="V43" s="225"/>
      <c r="W43" s="149"/>
      <c r="Y43" s="149"/>
      <c r="AA43" s="225"/>
      <c r="AC43" s="149"/>
      <c r="AF43" s="225"/>
      <c r="AH43" s="149"/>
      <c r="AK43" s="225"/>
      <c r="AM43" s="149"/>
      <c r="AO43" s="225"/>
      <c r="AQ43" s="149"/>
      <c r="AS43" s="225"/>
      <c r="AU43" s="149"/>
      <c r="BB43" s="225"/>
      <c r="BD43" s="149"/>
      <c r="BF43" s="225"/>
      <c r="BH43" s="149"/>
      <c r="BK43" s="225"/>
      <c r="BM43" s="149"/>
      <c r="BN43" s="225"/>
      <c r="BO43" s="225"/>
      <c r="BQ43" s="149"/>
      <c r="BR43" s="149"/>
    </row>
    <row r="44" spans="2:70" ht="15" customHeight="1">
      <c r="B44" s="249" t="s">
        <v>1463</v>
      </c>
      <c r="C44" s="250"/>
      <c r="D44" s="241">
        <f t="shared" si="9"/>
        <v>29300</v>
      </c>
      <c r="E44" s="2002">
        <v>1</v>
      </c>
      <c r="F44" s="524">
        <v>1</v>
      </c>
      <c r="G44" s="242">
        <f t="shared" si="10"/>
        <v>1</v>
      </c>
      <c r="H44" s="241">
        <f t="shared" si="11"/>
        <v>29300</v>
      </c>
      <c r="I44" s="243">
        <f>SUMIF(建具の明細!B$5:B$48,建具!B44,建具の明細!K$5:K$48)</f>
        <v>0</v>
      </c>
      <c r="J44" s="244">
        <f t="shared" si="12"/>
        <v>0</v>
      </c>
      <c r="K44" s="245">
        <v>29302</v>
      </c>
      <c r="L44" s="2000"/>
      <c r="M44" s="2001"/>
      <c r="N44" s="2200"/>
      <c r="O44" s="226" t="b">
        <f t="shared" si="13"/>
        <v>0</v>
      </c>
      <c r="P44" s="1019"/>
      <c r="Q44" s="1019"/>
      <c r="T44" s="225"/>
      <c r="U44" s="225"/>
      <c r="V44" s="225"/>
      <c r="W44" s="149"/>
      <c r="Y44" s="149"/>
      <c r="AA44" s="225"/>
      <c r="AC44" s="149"/>
      <c r="AF44" s="225"/>
      <c r="AH44" s="149"/>
      <c r="AK44" s="225"/>
      <c r="AM44" s="149"/>
      <c r="AO44" s="225"/>
      <c r="AQ44" s="149"/>
      <c r="AS44" s="225"/>
      <c r="AU44" s="149"/>
      <c r="BB44" s="225"/>
      <c r="BD44" s="149"/>
      <c r="BF44" s="225"/>
      <c r="BH44" s="149"/>
      <c r="BK44" s="225"/>
      <c r="BM44" s="149"/>
      <c r="BN44" s="225"/>
      <c r="BO44" s="225"/>
      <c r="BQ44" s="149"/>
      <c r="BR44" s="149"/>
    </row>
    <row r="45" spans="2:70" ht="15" customHeight="1">
      <c r="B45" s="249" t="s">
        <v>1464</v>
      </c>
      <c r="C45" s="250"/>
      <c r="D45" s="241">
        <f t="shared" si="9"/>
        <v>23110</v>
      </c>
      <c r="E45" s="2002">
        <v>1</v>
      </c>
      <c r="F45" s="524">
        <v>1</v>
      </c>
      <c r="G45" s="242">
        <f t="shared" si="10"/>
        <v>1</v>
      </c>
      <c r="H45" s="241">
        <f t="shared" si="11"/>
        <v>23110</v>
      </c>
      <c r="I45" s="243">
        <f>SUMIF(建具の明細!B$5:B$48,建具!B45,建具の明細!K$5:K$48)</f>
        <v>0</v>
      </c>
      <c r="J45" s="244">
        <f t="shared" si="12"/>
        <v>0</v>
      </c>
      <c r="K45" s="245">
        <v>23114</v>
      </c>
      <c r="L45" s="2000"/>
      <c r="M45" s="2001"/>
      <c r="N45" s="2200"/>
      <c r="O45" s="226" t="b">
        <f t="shared" si="13"/>
        <v>0</v>
      </c>
      <c r="P45" s="1019"/>
      <c r="Q45" s="1019"/>
      <c r="T45" s="225"/>
      <c r="U45" s="225"/>
      <c r="V45" s="225"/>
      <c r="W45" s="149"/>
      <c r="Y45" s="149"/>
      <c r="AA45" s="225"/>
      <c r="AC45" s="149"/>
      <c r="AF45" s="225"/>
      <c r="AH45" s="149"/>
      <c r="AK45" s="225"/>
      <c r="AM45" s="149"/>
      <c r="AO45" s="225"/>
      <c r="AQ45" s="149"/>
      <c r="AS45" s="225"/>
      <c r="AU45" s="149"/>
      <c r="BB45" s="225"/>
      <c r="BD45" s="149"/>
      <c r="BF45" s="225"/>
      <c r="BH45" s="149"/>
      <c r="BK45" s="225"/>
      <c r="BM45" s="149"/>
      <c r="BN45" s="225"/>
      <c r="BO45" s="225"/>
      <c r="BQ45" s="149"/>
      <c r="BR45" s="149"/>
    </row>
    <row r="46" spans="2:70" ht="15" customHeight="1">
      <c r="B46" s="249" t="s">
        <v>1465</v>
      </c>
      <c r="C46" s="250"/>
      <c r="D46" s="241">
        <f t="shared" si="9"/>
        <v>49380</v>
      </c>
      <c r="E46" s="2002">
        <v>1</v>
      </c>
      <c r="F46" s="524">
        <v>1</v>
      </c>
      <c r="G46" s="242">
        <f t="shared" si="10"/>
        <v>1</v>
      </c>
      <c r="H46" s="241">
        <f t="shared" si="11"/>
        <v>49380</v>
      </c>
      <c r="I46" s="243">
        <f>SUMIF(建具の明細!B$5:B$48,建具!B46,建具の明細!K$5:K$48)</f>
        <v>0</v>
      </c>
      <c r="J46" s="244">
        <f t="shared" si="12"/>
        <v>0</v>
      </c>
      <c r="K46" s="245">
        <v>49388</v>
      </c>
      <c r="L46" s="2000"/>
      <c r="M46" s="2001"/>
      <c r="N46" s="2200"/>
      <c r="O46" s="226" t="b">
        <f t="shared" si="13"/>
        <v>0</v>
      </c>
      <c r="P46" s="1019"/>
      <c r="Q46" s="1019"/>
      <c r="T46" s="225"/>
      <c r="U46" s="225"/>
      <c r="V46" s="225"/>
      <c r="W46" s="149"/>
      <c r="Y46" s="149"/>
      <c r="AA46" s="225"/>
      <c r="AC46" s="149"/>
      <c r="AF46" s="225"/>
      <c r="AH46" s="149"/>
      <c r="AK46" s="225"/>
      <c r="AM46" s="149"/>
      <c r="AO46" s="225"/>
      <c r="AQ46" s="149"/>
      <c r="AS46" s="225"/>
      <c r="AU46" s="149"/>
      <c r="BB46" s="225"/>
      <c r="BD46" s="149"/>
      <c r="BF46" s="225"/>
      <c r="BH46" s="149"/>
      <c r="BK46" s="225"/>
      <c r="BM46" s="149"/>
      <c r="BN46" s="225"/>
      <c r="BO46" s="225"/>
      <c r="BQ46" s="149"/>
      <c r="BR46" s="149"/>
    </row>
    <row r="47" spans="2:70" ht="15" customHeight="1">
      <c r="B47" s="249" t="s">
        <v>1466</v>
      </c>
      <c r="C47" s="250"/>
      <c r="D47" s="241">
        <f t="shared" si="9"/>
        <v>22060</v>
      </c>
      <c r="E47" s="2002">
        <v>1</v>
      </c>
      <c r="F47" s="524">
        <v>1</v>
      </c>
      <c r="G47" s="242">
        <f t="shared" si="10"/>
        <v>1</v>
      </c>
      <c r="H47" s="241">
        <f t="shared" si="11"/>
        <v>22060</v>
      </c>
      <c r="I47" s="243">
        <f>SUMIF(建具の明細!B$5:B$48,建具!B47,建具の明細!K$5:K$48)</f>
        <v>0</v>
      </c>
      <c r="J47" s="244">
        <f t="shared" si="12"/>
        <v>0</v>
      </c>
      <c r="K47" s="245">
        <v>22064</v>
      </c>
      <c r="L47" s="2000"/>
      <c r="M47" s="2001"/>
      <c r="N47" s="2200"/>
      <c r="O47" s="226" t="b">
        <f t="shared" si="13"/>
        <v>0</v>
      </c>
      <c r="P47" s="1019"/>
      <c r="Q47" s="1019"/>
      <c r="T47" s="225"/>
      <c r="U47" s="225"/>
      <c r="V47" s="225"/>
      <c r="W47" s="149"/>
      <c r="Y47" s="149"/>
      <c r="AA47" s="225"/>
      <c r="AC47" s="149"/>
      <c r="AF47" s="225"/>
      <c r="AH47" s="149"/>
      <c r="AK47" s="225"/>
      <c r="AM47" s="149"/>
      <c r="AO47" s="225"/>
      <c r="AQ47" s="149"/>
      <c r="AS47" s="225"/>
      <c r="AU47" s="149"/>
      <c r="BB47" s="225"/>
      <c r="BD47" s="149"/>
      <c r="BF47" s="225"/>
      <c r="BH47" s="149"/>
      <c r="BK47" s="225"/>
      <c r="BM47" s="149"/>
      <c r="BN47" s="225"/>
      <c r="BO47" s="225"/>
      <c r="BQ47" s="149"/>
      <c r="BR47" s="149"/>
    </row>
    <row r="48" spans="2:70" ht="15" customHeight="1">
      <c r="B48" s="249" t="s">
        <v>1467</v>
      </c>
      <c r="C48" s="250"/>
      <c r="D48" s="241">
        <f t="shared" si="9"/>
        <v>196240</v>
      </c>
      <c r="E48" s="2002">
        <v>1</v>
      </c>
      <c r="F48" s="524">
        <v>1</v>
      </c>
      <c r="G48" s="242">
        <f t="shared" si="10"/>
        <v>1</v>
      </c>
      <c r="H48" s="241">
        <f t="shared" si="11"/>
        <v>196240</v>
      </c>
      <c r="I48" s="243">
        <f>SUMIF(建具の明細!B$5:B$48,建具!B48,建具の明細!K$5:K$48)</f>
        <v>0</v>
      </c>
      <c r="J48" s="244">
        <f t="shared" si="12"/>
        <v>0</v>
      </c>
      <c r="K48" s="245">
        <v>196245</v>
      </c>
      <c r="L48" s="2000"/>
      <c r="M48" s="2001"/>
      <c r="N48" s="2200"/>
      <c r="O48" s="226" t="b">
        <f t="shared" si="13"/>
        <v>0</v>
      </c>
      <c r="P48" s="1019"/>
      <c r="Q48" s="1019"/>
      <c r="T48" s="225"/>
      <c r="U48" s="225"/>
      <c r="V48" s="225"/>
      <c r="W48" s="149"/>
      <c r="Y48" s="149"/>
      <c r="AA48" s="225"/>
      <c r="AC48" s="149"/>
      <c r="AF48" s="225"/>
      <c r="AH48" s="149"/>
      <c r="AK48" s="225"/>
      <c r="AM48" s="149"/>
      <c r="AO48" s="225"/>
      <c r="AQ48" s="149"/>
      <c r="AS48" s="225"/>
      <c r="AU48" s="149"/>
      <c r="BB48" s="225"/>
      <c r="BD48" s="149"/>
      <c r="BF48" s="225"/>
      <c r="BH48" s="149"/>
      <c r="BK48" s="225"/>
      <c r="BM48" s="149"/>
      <c r="BN48" s="225"/>
      <c r="BO48" s="225"/>
      <c r="BQ48" s="149"/>
      <c r="BR48" s="149"/>
    </row>
    <row r="49" spans="2:70" ht="15" customHeight="1">
      <c r="B49" s="249" t="s">
        <v>1468</v>
      </c>
      <c r="C49" s="250"/>
      <c r="D49" s="241">
        <f t="shared" si="9"/>
        <v>94780</v>
      </c>
      <c r="E49" s="2002">
        <v>1</v>
      </c>
      <c r="F49" s="524">
        <v>1</v>
      </c>
      <c r="G49" s="242">
        <f t="shared" si="10"/>
        <v>1</v>
      </c>
      <c r="H49" s="241">
        <f t="shared" si="11"/>
        <v>94780</v>
      </c>
      <c r="I49" s="243">
        <f>SUMIF(建具の明細!B$5:B$48,建具!B49,建具の明細!K$5:K$48)</f>
        <v>0</v>
      </c>
      <c r="J49" s="244">
        <f t="shared" si="12"/>
        <v>0</v>
      </c>
      <c r="K49" s="245">
        <v>94780</v>
      </c>
      <c r="L49" s="2000"/>
      <c r="M49" s="2001"/>
      <c r="N49" s="2200"/>
      <c r="O49" s="226" t="b">
        <f t="shared" si="13"/>
        <v>0</v>
      </c>
      <c r="P49" s="1019"/>
      <c r="Q49" s="1019"/>
      <c r="T49" s="225"/>
      <c r="U49" s="225"/>
      <c r="V49" s="225"/>
      <c r="W49" s="149"/>
      <c r="Y49" s="149"/>
      <c r="AA49" s="225"/>
      <c r="AC49" s="149"/>
      <c r="AF49" s="225"/>
      <c r="AH49" s="149"/>
      <c r="AK49" s="225"/>
      <c r="AM49" s="149"/>
      <c r="AO49" s="225"/>
      <c r="AQ49" s="149"/>
      <c r="AS49" s="225"/>
      <c r="AU49" s="149"/>
      <c r="BB49" s="225"/>
      <c r="BD49" s="149"/>
      <c r="BF49" s="225"/>
      <c r="BH49" s="149"/>
      <c r="BK49" s="225"/>
      <c r="BM49" s="149"/>
      <c r="BN49" s="225"/>
      <c r="BO49" s="225"/>
      <c r="BQ49" s="149"/>
      <c r="BR49" s="149"/>
    </row>
    <row r="50" spans="2:70" ht="15" customHeight="1">
      <c r="B50" s="249" t="s">
        <v>1469</v>
      </c>
      <c r="C50" s="250"/>
      <c r="D50" s="241">
        <f t="shared" si="9"/>
        <v>91490</v>
      </c>
      <c r="E50" s="2002">
        <v>1</v>
      </c>
      <c r="F50" s="524">
        <v>1</v>
      </c>
      <c r="G50" s="242">
        <f t="shared" si="10"/>
        <v>1</v>
      </c>
      <c r="H50" s="241">
        <f t="shared" si="11"/>
        <v>91490</v>
      </c>
      <c r="I50" s="243">
        <f>SUMIF(建具の明細!B$5:B$48,建具!B50,建具の明細!K$5:K$48)</f>
        <v>0</v>
      </c>
      <c r="J50" s="244">
        <f t="shared" si="12"/>
        <v>0</v>
      </c>
      <c r="K50" s="245">
        <v>91499</v>
      </c>
      <c r="L50" s="2000"/>
      <c r="M50" s="2001"/>
      <c r="N50" s="2200"/>
      <c r="O50" s="226" t="b">
        <f t="shared" si="13"/>
        <v>0</v>
      </c>
      <c r="P50" s="1019"/>
      <c r="Q50" s="1019"/>
      <c r="T50" s="225"/>
      <c r="U50" s="225"/>
      <c r="V50" s="225"/>
      <c r="W50" s="149"/>
      <c r="Y50" s="149"/>
      <c r="AA50" s="225"/>
      <c r="AC50" s="149"/>
      <c r="AF50" s="225"/>
      <c r="AH50" s="149"/>
      <c r="AK50" s="225"/>
      <c r="AM50" s="149"/>
      <c r="AO50" s="225"/>
      <c r="AQ50" s="149"/>
      <c r="AS50" s="225"/>
      <c r="AU50" s="149"/>
      <c r="BB50" s="225"/>
      <c r="BD50" s="149"/>
      <c r="BF50" s="225"/>
      <c r="BH50" s="149"/>
      <c r="BK50" s="225"/>
      <c r="BM50" s="149"/>
      <c r="BN50" s="225"/>
      <c r="BO50" s="225"/>
      <c r="BQ50" s="149"/>
      <c r="BR50" s="149"/>
    </row>
    <row r="51" spans="2:70" ht="15" customHeight="1">
      <c r="B51" s="249" t="s">
        <v>1470</v>
      </c>
      <c r="C51" s="250"/>
      <c r="D51" s="241">
        <f t="shared" si="9"/>
        <v>87280</v>
      </c>
      <c r="E51" s="2002">
        <v>1</v>
      </c>
      <c r="F51" s="524">
        <v>1</v>
      </c>
      <c r="G51" s="242">
        <f t="shared" si="10"/>
        <v>1</v>
      </c>
      <c r="H51" s="241">
        <f t="shared" si="11"/>
        <v>87280</v>
      </c>
      <c r="I51" s="243">
        <f>SUMIF(建具の明細!B$5:B$48,建具!B51,建具の明細!K$5:K$48)</f>
        <v>0</v>
      </c>
      <c r="J51" s="244">
        <f t="shared" si="12"/>
        <v>0</v>
      </c>
      <c r="K51" s="245">
        <v>87287</v>
      </c>
      <c r="L51" s="2000"/>
      <c r="M51" s="2001"/>
      <c r="N51" s="2200"/>
      <c r="O51" s="226" t="b">
        <f t="shared" si="13"/>
        <v>0</v>
      </c>
      <c r="P51" s="1019"/>
      <c r="Q51" s="1019"/>
      <c r="T51" s="225"/>
      <c r="U51" s="225"/>
      <c r="V51" s="225"/>
      <c r="W51" s="149"/>
      <c r="Y51" s="149"/>
      <c r="AA51" s="225"/>
      <c r="AC51" s="149"/>
      <c r="AF51" s="225"/>
      <c r="AH51" s="149"/>
      <c r="AK51" s="225"/>
      <c r="AM51" s="149"/>
      <c r="AO51" s="225"/>
      <c r="AQ51" s="149"/>
      <c r="AS51" s="225"/>
      <c r="AU51" s="149"/>
      <c r="BB51" s="225"/>
      <c r="BD51" s="149"/>
      <c r="BF51" s="225"/>
      <c r="BH51" s="149"/>
      <c r="BK51" s="225"/>
      <c r="BM51" s="149"/>
      <c r="BN51" s="225"/>
      <c r="BO51" s="225"/>
      <c r="BQ51" s="149"/>
      <c r="BR51" s="149"/>
    </row>
    <row r="52" spans="2:70" ht="15" customHeight="1">
      <c r="B52" s="249" t="s">
        <v>1471</v>
      </c>
      <c r="C52" s="250"/>
      <c r="D52" s="241">
        <f t="shared" si="9"/>
        <v>81370</v>
      </c>
      <c r="E52" s="2002">
        <v>1</v>
      </c>
      <c r="F52" s="524">
        <v>1</v>
      </c>
      <c r="G52" s="242">
        <f t="shared" si="10"/>
        <v>1</v>
      </c>
      <c r="H52" s="241">
        <f t="shared" si="11"/>
        <v>81370</v>
      </c>
      <c r="I52" s="243">
        <f>SUMIF(建具の明細!B$5:B$48,建具!B52,建具の明細!K$5:K$48)</f>
        <v>0</v>
      </c>
      <c r="J52" s="244">
        <f t="shared" si="12"/>
        <v>0</v>
      </c>
      <c r="K52" s="245">
        <v>81377</v>
      </c>
      <c r="L52" s="2000"/>
      <c r="M52" s="2001"/>
      <c r="N52" s="2200"/>
      <c r="O52" s="226" t="b">
        <f t="shared" si="13"/>
        <v>0</v>
      </c>
      <c r="P52" s="1019"/>
      <c r="Q52" s="1019"/>
      <c r="T52" s="225"/>
      <c r="U52" s="225"/>
      <c r="V52" s="225"/>
      <c r="W52" s="149"/>
      <c r="Y52" s="149"/>
      <c r="AA52" s="225"/>
      <c r="AC52" s="149"/>
      <c r="AF52" s="225"/>
      <c r="AH52" s="149"/>
      <c r="AK52" s="225"/>
      <c r="AM52" s="149"/>
      <c r="AO52" s="225"/>
      <c r="AQ52" s="149"/>
      <c r="AS52" s="225"/>
      <c r="AU52" s="149"/>
      <c r="BB52" s="225"/>
      <c r="BD52" s="149"/>
      <c r="BF52" s="225"/>
      <c r="BH52" s="149"/>
      <c r="BK52" s="225"/>
      <c r="BM52" s="149"/>
      <c r="BN52" s="225"/>
      <c r="BO52" s="225"/>
      <c r="BQ52" s="149"/>
      <c r="BR52" s="149"/>
    </row>
    <row r="53" spans="2:70" ht="15" customHeight="1">
      <c r="B53" s="249" t="s">
        <v>1096</v>
      </c>
      <c r="C53" s="250"/>
      <c r="D53" s="241"/>
      <c r="E53" s="524"/>
      <c r="F53" s="524"/>
      <c r="G53" s="242"/>
      <c r="H53" s="241"/>
      <c r="I53" s="243"/>
      <c r="J53" s="244"/>
      <c r="K53" s="245"/>
      <c r="L53" s="2000"/>
      <c r="M53" s="2001"/>
      <c r="N53" s="2200"/>
      <c r="O53" s="226" t="b">
        <f t="shared" si="13"/>
        <v>0</v>
      </c>
      <c r="P53" s="1019"/>
      <c r="Q53" s="1019"/>
      <c r="R53" s="1021"/>
      <c r="T53" s="225"/>
      <c r="U53" s="225"/>
      <c r="V53" s="225"/>
      <c r="W53" s="149"/>
      <c r="Y53" s="149"/>
      <c r="AA53" s="225"/>
      <c r="AC53" s="149"/>
      <c r="AF53" s="225"/>
      <c r="AH53" s="149"/>
      <c r="AK53" s="225"/>
      <c r="AM53" s="149"/>
      <c r="AO53" s="225"/>
      <c r="AQ53" s="149"/>
      <c r="AS53" s="225"/>
      <c r="AU53" s="149"/>
      <c r="BB53" s="225"/>
      <c r="BD53" s="149"/>
      <c r="BF53" s="225"/>
      <c r="BH53" s="149"/>
      <c r="BK53" s="225"/>
      <c r="BM53" s="149"/>
      <c r="BN53" s="225"/>
      <c r="BO53" s="225"/>
      <c r="BQ53" s="149"/>
      <c r="BR53" s="149"/>
    </row>
    <row r="54" spans="2:70" ht="15" customHeight="1">
      <c r="B54" s="249" t="s">
        <v>5743</v>
      </c>
      <c r="C54" s="250"/>
      <c r="D54" s="241">
        <f t="shared" ref="D54:D75" si="14">ROUNDDOWN(K54,-1)</f>
        <v>14510</v>
      </c>
      <c r="E54" s="2002">
        <v>1</v>
      </c>
      <c r="F54" s="524">
        <v>1</v>
      </c>
      <c r="G54" s="242">
        <f t="shared" ref="G54:G75" si="15">+ROUNDDOWN(E54*F54,2)</f>
        <v>1</v>
      </c>
      <c r="H54" s="241">
        <f t="shared" ref="H54:H75" si="16">INT(D54*G54)</f>
        <v>14510</v>
      </c>
      <c r="I54" s="243">
        <f>SUMIF(建具の明細!B$5:B$48,建具!B54,建具の明細!K$5:K$48)</f>
        <v>0</v>
      </c>
      <c r="J54" s="244">
        <f t="shared" ref="J54:J75" si="17">INT(I54*H54)</f>
        <v>0</v>
      </c>
      <c r="K54" s="245">
        <v>14512</v>
      </c>
      <c r="L54" s="2000"/>
      <c r="M54" s="2001"/>
      <c r="N54" s="2200"/>
      <c r="O54" s="226" t="b">
        <f t="shared" ref="O54:O75" si="18">I54&lt;&gt;0</f>
        <v>0</v>
      </c>
      <c r="P54" s="1019"/>
      <c r="Q54" s="1019"/>
      <c r="R54" s="1021"/>
      <c r="T54" s="225"/>
      <c r="U54" s="225"/>
      <c r="V54" s="225"/>
      <c r="W54" s="149"/>
      <c r="Y54" s="149"/>
      <c r="AA54" s="225"/>
      <c r="AC54" s="149"/>
      <c r="AF54" s="225"/>
      <c r="AH54" s="149"/>
      <c r="AK54" s="225"/>
      <c r="AM54" s="149"/>
      <c r="AO54" s="225"/>
      <c r="AQ54" s="149"/>
      <c r="AS54" s="225"/>
      <c r="AU54" s="149"/>
      <c r="BB54" s="225"/>
      <c r="BD54" s="149"/>
      <c r="BF54" s="225"/>
      <c r="BH54" s="149"/>
      <c r="BK54" s="225"/>
      <c r="BM54" s="149"/>
      <c r="BN54" s="225"/>
      <c r="BO54" s="225"/>
      <c r="BQ54" s="149"/>
      <c r="BR54" s="149"/>
    </row>
    <row r="55" spans="2:70" ht="15" customHeight="1">
      <c r="B55" s="249" t="s">
        <v>5744</v>
      </c>
      <c r="C55" s="250"/>
      <c r="D55" s="241">
        <f t="shared" si="14"/>
        <v>28060</v>
      </c>
      <c r="E55" s="2002">
        <v>1</v>
      </c>
      <c r="F55" s="524">
        <v>1</v>
      </c>
      <c r="G55" s="242">
        <f t="shared" si="15"/>
        <v>1</v>
      </c>
      <c r="H55" s="241">
        <f t="shared" si="16"/>
        <v>28060</v>
      </c>
      <c r="I55" s="243">
        <f>SUMIF(建具の明細!B$5:B$48,建具!B55,建具の明細!K$5:K$48)</f>
        <v>0</v>
      </c>
      <c r="J55" s="244">
        <f t="shared" si="17"/>
        <v>0</v>
      </c>
      <c r="K55" s="245">
        <v>28064</v>
      </c>
      <c r="L55" s="2000"/>
      <c r="M55" s="2001"/>
      <c r="N55" s="2200"/>
      <c r="O55" s="226" t="b">
        <f t="shared" si="18"/>
        <v>0</v>
      </c>
      <c r="P55" s="1019"/>
      <c r="Q55" s="1019"/>
      <c r="R55" s="1021"/>
      <c r="T55" s="225"/>
      <c r="U55" s="225"/>
      <c r="V55" s="225"/>
      <c r="W55" s="149"/>
      <c r="Y55" s="149"/>
      <c r="AA55" s="225"/>
      <c r="AC55" s="149"/>
      <c r="AF55" s="225"/>
      <c r="AH55" s="149"/>
      <c r="AK55" s="225"/>
      <c r="AM55" s="149"/>
      <c r="AO55" s="225"/>
      <c r="AQ55" s="149"/>
      <c r="AS55" s="225"/>
      <c r="AU55" s="149"/>
      <c r="BB55" s="225"/>
      <c r="BD55" s="149"/>
      <c r="BF55" s="225"/>
      <c r="BH55" s="149"/>
      <c r="BK55" s="225"/>
      <c r="BM55" s="149"/>
      <c r="BN55" s="225"/>
      <c r="BO55" s="225"/>
      <c r="BQ55" s="149"/>
      <c r="BR55" s="149"/>
    </row>
    <row r="56" spans="2:70" ht="15" customHeight="1">
      <c r="B56" s="249" t="s">
        <v>5745</v>
      </c>
      <c r="C56" s="250"/>
      <c r="D56" s="241">
        <f t="shared" si="14"/>
        <v>19840</v>
      </c>
      <c r="E56" s="2002">
        <v>1</v>
      </c>
      <c r="F56" s="524">
        <v>1</v>
      </c>
      <c r="G56" s="242">
        <f t="shared" si="15"/>
        <v>1</v>
      </c>
      <c r="H56" s="241">
        <f t="shared" si="16"/>
        <v>19840</v>
      </c>
      <c r="I56" s="243">
        <f>SUMIF(建具の明細!B$5:B$48,建具!B56,建具の明細!K$5:K$48)</f>
        <v>0</v>
      </c>
      <c r="J56" s="244">
        <f t="shared" si="17"/>
        <v>0</v>
      </c>
      <c r="K56" s="245">
        <v>19842</v>
      </c>
      <c r="L56" s="2000"/>
      <c r="M56" s="2001"/>
      <c r="N56" s="2200"/>
      <c r="O56" s="226" t="b">
        <f t="shared" si="18"/>
        <v>0</v>
      </c>
      <c r="P56" s="1019"/>
      <c r="Q56" s="1019"/>
      <c r="R56" s="1021"/>
      <c r="T56" s="225"/>
      <c r="U56" s="225"/>
      <c r="V56" s="225"/>
      <c r="W56" s="149"/>
      <c r="Y56" s="149"/>
      <c r="AA56" s="225"/>
      <c r="AC56" s="149"/>
      <c r="AF56" s="225"/>
      <c r="AH56" s="149"/>
      <c r="AK56" s="225"/>
      <c r="AM56" s="149"/>
      <c r="AO56" s="225"/>
      <c r="AQ56" s="149"/>
      <c r="AS56" s="225"/>
      <c r="AU56" s="149"/>
      <c r="BB56" s="225"/>
      <c r="BD56" s="149"/>
      <c r="BF56" s="225"/>
      <c r="BH56" s="149"/>
      <c r="BK56" s="225"/>
      <c r="BM56" s="149"/>
      <c r="BN56" s="225"/>
      <c r="BO56" s="225"/>
      <c r="BQ56" s="149"/>
      <c r="BR56" s="149"/>
    </row>
    <row r="57" spans="2:70" ht="15" customHeight="1">
      <c r="B57" s="249" t="s">
        <v>5746</v>
      </c>
      <c r="C57" s="250"/>
      <c r="D57" s="241">
        <f t="shared" si="14"/>
        <v>26020</v>
      </c>
      <c r="E57" s="2002">
        <v>1</v>
      </c>
      <c r="F57" s="524">
        <v>1</v>
      </c>
      <c r="G57" s="242">
        <f t="shared" si="15"/>
        <v>1</v>
      </c>
      <c r="H57" s="241">
        <f t="shared" si="16"/>
        <v>26020</v>
      </c>
      <c r="I57" s="243">
        <f>SUMIF(建具の明細!B$5:B$48,建具!B57,建具の明細!K$5:K$48)</f>
        <v>0</v>
      </c>
      <c r="J57" s="244">
        <f t="shared" si="17"/>
        <v>0</v>
      </c>
      <c r="K57" s="245">
        <v>26023</v>
      </c>
      <c r="L57" s="2000"/>
      <c r="M57" s="2001"/>
      <c r="N57" s="2200"/>
      <c r="O57" s="226" t="b">
        <f t="shared" si="18"/>
        <v>0</v>
      </c>
      <c r="P57" s="1019"/>
      <c r="Q57" s="1019"/>
      <c r="R57" s="1021"/>
      <c r="T57" s="225"/>
      <c r="U57" s="225"/>
      <c r="V57" s="225"/>
      <c r="W57" s="149"/>
      <c r="Y57" s="149"/>
      <c r="AA57" s="225"/>
      <c r="AC57" s="149"/>
      <c r="AF57" s="225"/>
      <c r="AH57" s="149"/>
      <c r="AK57" s="225"/>
      <c r="AM57" s="149"/>
      <c r="AO57" s="225"/>
      <c r="AQ57" s="149"/>
      <c r="AS57" s="225"/>
      <c r="AU57" s="149"/>
      <c r="BB57" s="225"/>
      <c r="BD57" s="149"/>
      <c r="BF57" s="225"/>
      <c r="BH57" s="149"/>
      <c r="BK57" s="225"/>
      <c r="BM57" s="149"/>
      <c r="BN57" s="225"/>
      <c r="BO57" s="225"/>
      <c r="BQ57" s="149"/>
      <c r="BR57" s="149"/>
    </row>
    <row r="58" spans="2:70" ht="15" customHeight="1">
      <c r="B58" s="249" t="s">
        <v>5747</v>
      </c>
      <c r="C58" s="250"/>
      <c r="D58" s="241">
        <f t="shared" si="14"/>
        <v>24970</v>
      </c>
      <c r="E58" s="2002">
        <v>1</v>
      </c>
      <c r="F58" s="524">
        <v>1</v>
      </c>
      <c r="G58" s="242">
        <f t="shared" si="15"/>
        <v>1</v>
      </c>
      <c r="H58" s="241">
        <f t="shared" si="16"/>
        <v>24970</v>
      </c>
      <c r="I58" s="243">
        <f>SUMIF(建具の明細!B$5:B$48,建具!B58,建具の明細!K$5:K$48)</f>
        <v>0</v>
      </c>
      <c r="J58" s="244">
        <f t="shared" si="17"/>
        <v>0</v>
      </c>
      <c r="K58" s="245">
        <v>24977</v>
      </c>
      <c r="L58" s="2000"/>
      <c r="M58" s="2001"/>
      <c r="N58" s="2200"/>
      <c r="O58" s="226" t="b">
        <f t="shared" si="18"/>
        <v>0</v>
      </c>
      <c r="P58" s="1019"/>
      <c r="Q58" s="1019"/>
      <c r="R58" s="1021"/>
      <c r="T58" s="225"/>
      <c r="U58" s="225"/>
      <c r="V58" s="225"/>
      <c r="W58" s="149"/>
      <c r="Y58" s="149"/>
      <c r="AA58" s="225"/>
      <c r="AC58" s="149"/>
      <c r="AF58" s="225"/>
      <c r="AH58" s="149"/>
      <c r="AK58" s="225"/>
      <c r="AM58" s="149"/>
      <c r="AO58" s="225"/>
      <c r="AQ58" s="149"/>
      <c r="AS58" s="225"/>
      <c r="AU58" s="149"/>
      <c r="BB58" s="225"/>
      <c r="BD58" s="149"/>
      <c r="BF58" s="225"/>
      <c r="BH58" s="149"/>
      <c r="BK58" s="225"/>
      <c r="BM58" s="149"/>
      <c r="BN58" s="225"/>
      <c r="BO58" s="225"/>
      <c r="BQ58" s="149"/>
      <c r="BR58" s="149"/>
    </row>
    <row r="59" spans="2:70" ht="15" customHeight="1">
      <c r="B59" s="249" t="s">
        <v>5748</v>
      </c>
      <c r="C59" s="250"/>
      <c r="D59" s="241">
        <f t="shared" ref="D59:D63" si="19">ROUNDDOWN(K59,-1)</f>
        <v>14510</v>
      </c>
      <c r="E59" s="2002">
        <v>1</v>
      </c>
      <c r="F59" s="524">
        <v>1.2</v>
      </c>
      <c r="G59" s="242">
        <f t="shared" ref="G59:G63" si="20">+ROUNDDOWN(E59*F59,2)</f>
        <v>1.2</v>
      </c>
      <c r="H59" s="241">
        <f t="shared" ref="H59:H63" si="21">INT(D59*G59)</f>
        <v>17412</v>
      </c>
      <c r="I59" s="243">
        <f>SUMIF(建具の明細!B$5:B$48,建具!B59,建具の明細!K$5:K$48)</f>
        <v>0</v>
      </c>
      <c r="J59" s="244">
        <f t="shared" ref="J59:J63" si="22">INT(I59*H59)</f>
        <v>0</v>
      </c>
      <c r="K59" s="245">
        <v>14512</v>
      </c>
      <c r="L59" s="2000"/>
      <c r="M59" s="2001"/>
      <c r="N59" s="2200"/>
      <c r="O59" s="226" t="b">
        <f t="shared" ref="O59:O63" si="23">I59&lt;&gt;0</f>
        <v>0</v>
      </c>
      <c r="P59" s="1019"/>
      <c r="Q59" s="1019"/>
      <c r="R59" s="1021"/>
      <c r="T59" s="225"/>
      <c r="U59" s="225"/>
      <c r="V59" s="225"/>
      <c r="W59" s="149"/>
      <c r="Y59" s="149"/>
      <c r="AA59" s="225"/>
      <c r="AC59" s="149"/>
      <c r="AF59" s="225"/>
      <c r="AH59" s="149"/>
      <c r="AK59" s="225"/>
      <c r="AM59" s="149"/>
      <c r="AO59" s="225"/>
      <c r="AQ59" s="149"/>
      <c r="AS59" s="225"/>
      <c r="AU59" s="149"/>
      <c r="BB59" s="225"/>
      <c r="BD59" s="149"/>
      <c r="BF59" s="225"/>
      <c r="BH59" s="149"/>
      <c r="BK59" s="225"/>
      <c r="BM59" s="149"/>
      <c r="BN59" s="225"/>
      <c r="BO59" s="225"/>
      <c r="BQ59" s="149"/>
      <c r="BR59" s="149"/>
    </row>
    <row r="60" spans="2:70" ht="15" customHeight="1">
      <c r="B60" s="249" t="s">
        <v>5749</v>
      </c>
      <c r="C60" s="250"/>
      <c r="D60" s="241">
        <f t="shared" si="19"/>
        <v>28060</v>
      </c>
      <c r="E60" s="2002">
        <v>1</v>
      </c>
      <c r="F60" s="524">
        <v>1.2</v>
      </c>
      <c r="G60" s="242">
        <f t="shared" si="20"/>
        <v>1.2</v>
      </c>
      <c r="H60" s="241">
        <f t="shared" si="21"/>
        <v>33672</v>
      </c>
      <c r="I60" s="243">
        <f>SUMIF(建具の明細!B$5:B$48,建具!B60,建具の明細!K$5:K$48)</f>
        <v>0</v>
      </c>
      <c r="J60" s="244">
        <f t="shared" si="22"/>
        <v>0</v>
      </c>
      <c r="K60" s="245">
        <v>28064</v>
      </c>
      <c r="L60" s="2000"/>
      <c r="M60" s="2001"/>
      <c r="N60" s="2200"/>
      <c r="O60" s="226" t="b">
        <f t="shared" si="23"/>
        <v>0</v>
      </c>
      <c r="P60" s="1019"/>
      <c r="Q60" s="1019"/>
      <c r="R60" s="1021"/>
      <c r="T60" s="225"/>
      <c r="U60" s="225"/>
      <c r="V60" s="225"/>
      <c r="W60" s="149"/>
      <c r="Y60" s="149"/>
      <c r="AA60" s="225"/>
      <c r="AC60" s="149"/>
      <c r="AF60" s="225"/>
      <c r="AH60" s="149"/>
      <c r="AK60" s="225"/>
      <c r="AM60" s="149"/>
      <c r="AO60" s="225"/>
      <c r="AQ60" s="149"/>
      <c r="AS60" s="225"/>
      <c r="AU60" s="149"/>
      <c r="BB60" s="225"/>
      <c r="BD60" s="149"/>
      <c r="BF60" s="225"/>
      <c r="BH60" s="149"/>
      <c r="BK60" s="225"/>
      <c r="BM60" s="149"/>
      <c r="BN60" s="225"/>
      <c r="BO60" s="225"/>
      <c r="BQ60" s="149"/>
      <c r="BR60" s="149"/>
    </row>
    <row r="61" spans="2:70" ht="15" customHeight="1">
      <c r="B61" s="249" t="s">
        <v>5750</v>
      </c>
      <c r="C61" s="250"/>
      <c r="D61" s="241">
        <f t="shared" si="19"/>
        <v>19840</v>
      </c>
      <c r="E61" s="2002">
        <v>1</v>
      </c>
      <c r="F61" s="524">
        <v>1.2</v>
      </c>
      <c r="G61" s="242">
        <f t="shared" si="20"/>
        <v>1.2</v>
      </c>
      <c r="H61" s="241">
        <f t="shared" si="21"/>
        <v>23808</v>
      </c>
      <c r="I61" s="243">
        <f>SUMIF(建具の明細!B$5:B$48,建具!B61,建具の明細!K$5:K$48)</f>
        <v>0</v>
      </c>
      <c r="J61" s="244">
        <f t="shared" si="22"/>
        <v>0</v>
      </c>
      <c r="K61" s="245">
        <v>19842</v>
      </c>
      <c r="L61" s="2000"/>
      <c r="M61" s="2001"/>
      <c r="N61" s="2200"/>
      <c r="O61" s="226" t="b">
        <f t="shared" si="23"/>
        <v>0</v>
      </c>
      <c r="P61" s="1019"/>
      <c r="Q61" s="1019"/>
      <c r="R61" s="1021"/>
      <c r="T61" s="225"/>
      <c r="U61" s="225"/>
      <c r="V61" s="225"/>
      <c r="W61" s="149"/>
      <c r="Y61" s="149"/>
      <c r="AA61" s="225"/>
      <c r="AC61" s="149"/>
      <c r="AF61" s="225"/>
      <c r="AH61" s="149"/>
      <c r="AK61" s="225"/>
      <c r="AM61" s="149"/>
      <c r="AO61" s="225"/>
      <c r="AQ61" s="149"/>
      <c r="AS61" s="225"/>
      <c r="AU61" s="149"/>
      <c r="BB61" s="225"/>
      <c r="BD61" s="149"/>
      <c r="BF61" s="225"/>
      <c r="BH61" s="149"/>
      <c r="BK61" s="225"/>
      <c r="BM61" s="149"/>
      <c r="BN61" s="225"/>
      <c r="BO61" s="225"/>
      <c r="BQ61" s="149"/>
      <c r="BR61" s="149"/>
    </row>
    <row r="62" spans="2:70" ht="15" customHeight="1">
      <c r="B62" s="249" t="s">
        <v>5751</v>
      </c>
      <c r="C62" s="250"/>
      <c r="D62" s="241">
        <f t="shared" si="19"/>
        <v>26020</v>
      </c>
      <c r="E62" s="2002">
        <v>1</v>
      </c>
      <c r="F62" s="524">
        <v>1.2</v>
      </c>
      <c r="G62" s="242">
        <f t="shared" si="20"/>
        <v>1.2</v>
      </c>
      <c r="H62" s="241">
        <f t="shared" si="21"/>
        <v>31224</v>
      </c>
      <c r="I62" s="243">
        <f>SUMIF(建具の明細!B$5:B$48,建具!B62,建具の明細!K$5:K$48)</f>
        <v>0</v>
      </c>
      <c r="J62" s="244">
        <f t="shared" si="22"/>
        <v>0</v>
      </c>
      <c r="K62" s="245">
        <v>26023</v>
      </c>
      <c r="L62" s="2000"/>
      <c r="M62" s="2001"/>
      <c r="N62" s="2200"/>
      <c r="O62" s="226" t="b">
        <f t="shared" si="23"/>
        <v>0</v>
      </c>
      <c r="P62" s="1019"/>
      <c r="Q62" s="1019"/>
      <c r="R62" s="1021"/>
      <c r="T62" s="225"/>
      <c r="U62" s="225"/>
      <c r="V62" s="225"/>
      <c r="W62" s="149"/>
      <c r="Y62" s="149"/>
      <c r="AA62" s="225"/>
      <c r="AC62" s="149"/>
      <c r="AF62" s="225"/>
      <c r="AH62" s="149"/>
      <c r="AK62" s="225"/>
      <c r="AM62" s="149"/>
      <c r="AO62" s="225"/>
      <c r="AQ62" s="149"/>
      <c r="AS62" s="225"/>
      <c r="AU62" s="149"/>
      <c r="BB62" s="225"/>
      <c r="BD62" s="149"/>
      <c r="BF62" s="225"/>
      <c r="BH62" s="149"/>
      <c r="BK62" s="225"/>
      <c r="BM62" s="149"/>
      <c r="BN62" s="225"/>
      <c r="BO62" s="225"/>
      <c r="BQ62" s="149"/>
      <c r="BR62" s="149"/>
    </row>
    <row r="63" spans="2:70" ht="15" customHeight="1">
      <c r="B63" s="249" t="s">
        <v>5752</v>
      </c>
      <c r="C63" s="250"/>
      <c r="D63" s="241">
        <f t="shared" si="19"/>
        <v>24970</v>
      </c>
      <c r="E63" s="2002">
        <v>1</v>
      </c>
      <c r="F63" s="524">
        <v>1.2</v>
      </c>
      <c r="G63" s="242">
        <f t="shared" si="20"/>
        <v>1.2</v>
      </c>
      <c r="H63" s="241">
        <f t="shared" si="21"/>
        <v>29964</v>
      </c>
      <c r="I63" s="243">
        <f>SUMIF(建具の明細!B$5:B$48,建具!B63,建具の明細!K$5:K$48)</f>
        <v>0</v>
      </c>
      <c r="J63" s="244">
        <f t="shared" si="22"/>
        <v>0</v>
      </c>
      <c r="K63" s="245">
        <v>24977</v>
      </c>
      <c r="L63" s="2000"/>
      <c r="M63" s="2001"/>
      <c r="N63" s="2200"/>
      <c r="O63" s="226" t="b">
        <f t="shared" si="23"/>
        <v>0</v>
      </c>
      <c r="P63" s="1019"/>
      <c r="Q63" s="1019"/>
      <c r="R63" s="1021"/>
      <c r="T63" s="225"/>
      <c r="U63" s="225"/>
      <c r="V63" s="225"/>
      <c r="W63" s="149"/>
      <c r="Y63" s="149"/>
      <c r="AA63" s="225"/>
      <c r="AC63" s="149"/>
      <c r="AF63" s="225"/>
      <c r="AH63" s="149"/>
      <c r="AK63" s="225"/>
      <c r="AM63" s="149"/>
      <c r="AO63" s="225"/>
      <c r="AQ63" s="149"/>
      <c r="AS63" s="225"/>
      <c r="AU63" s="149"/>
      <c r="BB63" s="225"/>
      <c r="BD63" s="149"/>
      <c r="BF63" s="225"/>
      <c r="BH63" s="149"/>
      <c r="BK63" s="225"/>
      <c r="BM63" s="149"/>
      <c r="BN63" s="225"/>
      <c r="BO63" s="225"/>
      <c r="BQ63" s="149"/>
      <c r="BR63" s="149"/>
    </row>
    <row r="64" spans="2:70" ht="15" customHeight="1">
      <c r="B64" s="249" t="s">
        <v>5753</v>
      </c>
      <c r="C64" s="250"/>
      <c r="D64" s="241">
        <f t="shared" ref="D64:D68" si="24">ROUNDDOWN(K64,-1)</f>
        <v>14510</v>
      </c>
      <c r="E64" s="2002">
        <v>1</v>
      </c>
      <c r="F64" s="524">
        <v>1.7</v>
      </c>
      <c r="G64" s="242">
        <f t="shared" ref="G64:G68" si="25">+ROUNDDOWN(E64*F64,2)</f>
        <v>1.7</v>
      </c>
      <c r="H64" s="241">
        <f t="shared" ref="H64:H68" si="26">INT(D64*G64)</f>
        <v>24667</v>
      </c>
      <c r="I64" s="243">
        <f>SUMIF(建具の明細!B$5:B$48,建具!B64,建具の明細!K$5:K$48)</f>
        <v>0</v>
      </c>
      <c r="J64" s="244">
        <f t="shared" ref="J64:J68" si="27">INT(I64*H64)</f>
        <v>0</v>
      </c>
      <c r="K64" s="245">
        <v>14512</v>
      </c>
      <c r="L64" s="2000"/>
      <c r="M64" s="2001"/>
      <c r="N64" s="2200"/>
      <c r="O64" s="226" t="b">
        <f t="shared" ref="O64:O68" si="28">I64&lt;&gt;0</f>
        <v>0</v>
      </c>
      <c r="P64" s="1019"/>
      <c r="Q64" s="1019"/>
      <c r="R64" s="1021"/>
      <c r="T64" s="225"/>
      <c r="U64" s="225"/>
      <c r="V64" s="225"/>
      <c r="W64" s="149"/>
      <c r="Y64" s="149"/>
      <c r="AA64" s="225"/>
      <c r="AC64" s="149"/>
      <c r="AF64" s="225"/>
      <c r="AH64" s="149"/>
      <c r="AK64" s="225"/>
      <c r="AM64" s="149"/>
      <c r="AO64" s="225"/>
      <c r="AQ64" s="149"/>
      <c r="AS64" s="225"/>
      <c r="AU64" s="149"/>
      <c r="BB64" s="225"/>
      <c r="BD64" s="149"/>
      <c r="BF64" s="225"/>
      <c r="BH64" s="149"/>
      <c r="BK64" s="225"/>
      <c r="BM64" s="149"/>
      <c r="BN64" s="225"/>
      <c r="BO64" s="225"/>
      <c r="BQ64" s="149"/>
      <c r="BR64" s="149"/>
    </row>
    <row r="65" spans="2:70" ht="15" customHeight="1">
      <c r="B65" s="249" t="s">
        <v>5754</v>
      </c>
      <c r="C65" s="250"/>
      <c r="D65" s="241">
        <f t="shared" si="24"/>
        <v>28060</v>
      </c>
      <c r="E65" s="2002">
        <v>1</v>
      </c>
      <c r="F65" s="524">
        <v>1.7</v>
      </c>
      <c r="G65" s="242">
        <f t="shared" si="25"/>
        <v>1.7</v>
      </c>
      <c r="H65" s="241">
        <f t="shared" si="26"/>
        <v>47702</v>
      </c>
      <c r="I65" s="243">
        <f>SUMIF(建具の明細!B$5:B$48,建具!B65,建具の明細!K$5:K$48)</f>
        <v>0</v>
      </c>
      <c r="J65" s="244">
        <f t="shared" si="27"/>
        <v>0</v>
      </c>
      <c r="K65" s="245">
        <v>28064</v>
      </c>
      <c r="L65" s="2000"/>
      <c r="M65" s="2001"/>
      <c r="N65" s="2200"/>
      <c r="O65" s="226" t="b">
        <f t="shared" si="28"/>
        <v>0</v>
      </c>
      <c r="P65" s="1019"/>
      <c r="Q65" s="1019"/>
      <c r="R65" s="1021"/>
      <c r="T65" s="225"/>
      <c r="U65" s="225"/>
      <c r="V65" s="225"/>
      <c r="W65" s="149"/>
      <c r="Y65" s="149"/>
      <c r="AA65" s="225"/>
      <c r="AC65" s="149"/>
      <c r="AF65" s="225"/>
      <c r="AH65" s="149"/>
      <c r="AK65" s="225"/>
      <c r="AM65" s="149"/>
      <c r="AO65" s="225"/>
      <c r="AQ65" s="149"/>
      <c r="AS65" s="225"/>
      <c r="AU65" s="149"/>
      <c r="BB65" s="225"/>
      <c r="BD65" s="149"/>
      <c r="BF65" s="225"/>
      <c r="BH65" s="149"/>
      <c r="BK65" s="225"/>
      <c r="BM65" s="149"/>
      <c r="BN65" s="225"/>
      <c r="BO65" s="225"/>
      <c r="BQ65" s="149"/>
      <c r="BR65" s="149"/>
    </row>
    <row r="66" spans="2:70" ht="15" customHeight="1">
      <c r="B66" s="249" t="s">
        <v>5755</v>
      </c>
      <c r="C66" s="250"/>
      <c r="D66" s="241">
        <f t="shared" si="24"/>
        <v>19840</v>
      </c>
      <c r="E66" s="2002">
        <v>1</v>
      </c>
      <c r="F66" s="524">
        <v>1.7</v>
      </c>
      <c r="G66" s="242">
        <f t="shared" si="25"/>
        <v>1.7</v>
      </c>
      <c r="H66" s="241">
        <f t="shared" si="26"/>
        <v>33728</v>
      </c>
      <c r="I66" s="243">
        <f>SUMIF(建具の明細!B$5:B$48,建具!B66,建具の明細!K$5:K$48)</f>
        <v>0</v>
      </c>
      <c r="J66" s="244">
        <f t="shared" si="27"/>
        <v>0</v>
      </c>
      <c r="K66" s="245">
        <v>19842</v>
      </c>
      <c r="L66" s="2000"/>
      <c r="M66" s="2001"/>
      <c r="N66" s="2200"/>
      <c r="O66" s="226" t="b">
        <f t="shared" si="28"/>
        <v>0</v>
      </c>
      <c r="P66" s="1019"/>
      <c r="Q66" s="1019"/>
      <c r="R66" s="1021"/>
      <c r="T66" s="225"/>
      <c r="U66" s="225"/>
      <c r="V66" s="225"/>
      <c r="W66" s="149"/>
      <c r="Y66" s="149"/>
      <c r="AA66" s="225"/>
      <c r="AC66" s="149"/>
      <c r="AF66" s="225"/>
      <c r="AH66" s="149"/>
      <c r="AK66" s="225"/>
      <c r="AM66" s="149"/>
      <c r="AO66" s="225"/>
      <c r="AQ66" s="149"/>
      <c r="AS66" s="225"/>
      <c r="AU66" s="149"/>
      <c r="BB66" s="225"/>
      <c r="BD66" s="149"/>
      <c r="BF66" s="225"/>
      <c r="BH66" s="149"/>
      <c r="BK66" s="225"/>
      <c r="BM66" s="149"/>
      <c r="BN66" s="225"/>
      <c r="BO66" s="225"/>
      <c r="BQ66" s="149"/>
      <c r="BR66" s="149"/>
    </row>
    <row r="67" spans="2:70" ht="15" customHeight="1">
      <c r="B67" s="249" t="s">
        <v>5756</v>
      </c>
      <c r="C67" s="250"/>
      <c r="D67" s="241">
        <f t="shared" si="24"/>
        <v>26020</v>
      </c>
      <c r="E67" s="2002">
        <v>1</v>
      </c>
      <c r="F67" s="524">
        <v>1.7</v>
      </c>
      <c r="G67" s="242">
        <f t="shared" si="25"/>
        <v>1.7</v>
      </c>
      <c r="H67" s="241">
        <f t="shared" si="26"/>
        <v>44234</v>
      </c>
      <c r="I67" s="243">
        <f>SUMIF(建具の明細!B$5:B$48,建具!B67,建具の明細!K$5:K$48)</f>
        <v>0</v>
      </c>
      <c r="J67" s="244">
        <f t="shared" si="27"/>
        <v>0</v>
      </c>
      <c r="K67" s="245">
        <v>26023</v>
      </c>
      <c r="L67" s="2000"/>
      <c r="M67" s="2001"/>
      <c r="N67" s="2200"/>
      <c r="O67" s="226" t="b">
        <f t="shared" si="28"/>
        <v>0</v>
      </c>
      <c r="P67" s="1019"/>
      <c r="Q67" s="1019"/>
      <c r="R67" s="1021"/>
      <c r="T67" s="225"/>
      <c r="U67" s="225"/>
      <c r="V67" s="225"/>
      <c r="W67" s="149"/>
      <c r="Y67" s="149"/>
      <c r="AA67" s="225"/>
      <c r="AC67" s="149"/>
      <c r="AF67" s="225"/>
      <c r="AH67" s="149"/>
      <c r="AK67" s="225"/>
      <c r="AM67" s="149"/>
      <c r="AO67" s="225"/>
      <c r="AQ67" s="149"/>
      <c r="AS67" s="225"/>
      <c r="AU67" s="149"/>
      <c r="BB67" s="225"/>
      <c r="BD67" s="149"/>
      <c r="BF67" s="225"/>
      <c r="BH67" s="149"/>
      <c r="BK67" s="225"/>
      <c r="BM67" s="149"/>
      <c r="BN67" s="225"/>
      <c r="BO67" s="225"/>
      <c r="BQ67" s="149"/>
      <c r="BR67" s="149"/>
    </row>
    <row r="68" spans="2:70" ht="15" customHeight="1">
      <c r="B68" s="249" t="s">
        <v>5757</v>
      </c>
      <c r="C68" s="250"/>
      <c r="D68" s="241">
        <f t="shared" si="24"/>
        <v>24970</v>
      </c>
      <c r="E68" s="2002">
        <v>1</v>
      </c>
      <c r="F68" s="524">
        <v>1.7</v>
      </c>
      <c r="G68" s="242">
        <f t="shared" si="25"/>
        <v>1.7</v>
      </c>
      <c r="H68" s="241">
        <f t="shared" si="26"/>
        <v>42449</v>
      </c>
      <c r="I68" s="243">
        <f>SUMIF(建具の明細!B$5:B$48,建具!B68,建具の明細!K$5:K$48)</f>
        <v>0</v>
      </c>
      <c r="J68" s="244">
        <f t="shared" si="27"/>
        <v>0</v>
      </c>
      <c r="K68" s="245">
        <v>24977</v>
      </c>
      <c r="L68" s="2000"/>
      <c r="M68" s="2001"/>
      <c r="N68" s="2200"/>
      <c r="O68" s="226" t="b">
        <f t="shared" si="28"/>
        <v>0</v>
      </c>
      <c r="P68" s="1019"/>
      <c r="Q68" s="1019"/>
      <c r="R68" s="1021"/>
      <c r="T68" s="225"/>
      <c r="U68" s="225"/>
      <c r="V68" s="225"/>
      <c r="W68" s="149"/>
      <c r="Y68" s="149"/>
      <c r="AA68" s="225"/>
      <c r="AC68" s="149"/>
      <c r="AF68" s="225"/>
      <c r="AH68" s="149"/>
      <c r="AK68" s="225"/>
      <c r="AM68" s="149"/>
      <c r="AO68" s="225"/>
      <c r="AQ68" s="149"/>
      <c r="AS68" s="225"/>
      <c r="AU68" s="149"/>
      <c r="BB68" s="225"/>
      <c r="BD68" s="149"/>
      <c r="BF68" s="225"/>
      <c r="BH68" s="149"/>
      <c r="BK68" s="225"/>
      <c r="BM68" s="149"/>
      <c r="BN68" s="225"/>
      <c r="BO68" s="225"/>
      <c r="BQ68" s="149"/>
      <c r="BR68" s="149"/>
    </row>
    <row r="69" spans="2:70" ht="15" customHeight="1">
      <c r="B69" s="249" t="s">
        <v>1084</v>
      </c>
      <c r="C69" s="250"/>
      <c r="D69" s="241">
        <f t="shared" si="14"/>
        <v>19830</v>
      </c>
      <c r="E69" s="2002">
        <v>1</v>
      </c>
      <c r="F69" s="524">
        <v>1</v>
      </c>
      <c r="G69" s="242">
        <f t="shared" si="15"/>
        <v>1</v>
      </c>
      <c r="H69" s="241">
        <f t="shared" si="16"/>
        <v>19830</v>
      </c>
      <c r="I69" s="243">
        <f>SUMIF(建具の明細!B$5:B$48,建具!B69,建具の明細!K$5:K$48)</f>
        <v>0</v>
      </c>
      <c r="J69" s="244">
        <f t="shared" si="17"/>
        <v>0</v>
      </c>
      <c r="K69" s="245">
        <v>19837</v>
      </c>
      <c r="L69" s="2000"/>
      <c r="M69" s="2001"/>
      <c r="N69" s="2200"/>
      <c r="O69" s="226" t="b">
        <f t="shared" si="18"/>
        <v>0</v>
      </c>
      <c r="P69" s="1019"/>
      <c r="Q69" s="1019"/>
      <c r="R69" s="1021"/>
      <c r="T69" s="225"/>
      <c r="U69" s="225"/>
      <c r="V69" s="225"/>
      <c r="W69" s="149"/>
      <c r="Y69" s="149"/>
      <c r="AA69" s="225"/>
      <c r="AC69" s="149"/>
      <c r="AF69" s="225"/>
      <c r="AH69" s="149"/>
      <c r="AK69" s="225"/>
      <c r="AM69" s="149"/>
      <c r="AO69" s="225"/>
      <c r="AQ69" s="149"/>
      <c r="AS69" s="225"/>
      <c r="AU69" s="149"/>
      <c r="BB69" s="225"/>
      <c r="BD69" s="149"/>
      <c r="BF69" s="225"/>
      <c r="BH69" s="149"/>
      <c r="BK69" s="225"/>
      <c r="BM69" s="149"/>
      <c r="BN69" s="225"/>
      <c r="BO69" s="225"/>
      <c r="BQ69" s="149"/>
      <c r="BR69" s="149"/>
    </row>
    <row r="70" spans="2:70" ht="15" customHeight="1">
      <c r="B70" s="249" t="s">
        <v>1085</v>
      </c>
      <c r="C70" s="250"/>
      <c r="D70" s="241">
        <f t="shared" si="14"/>
        <v>93860</v>
      </c>
      <c r="E70" s="2002">
        <v>1</v>
      </c>
      <c r="F70" s="524">
        <v>1</v>
      </c>
      <c r="G70" s="242">
        <f t="shared" si="15"/>
        <v>1</v>
      </c>
      <c r="H70" s="241">
        <f t="shared" si="16"/>
        <v>93860</v>
      </c>
      <c r="I70" s="243">
        <f>SUMIF(建具の明細!B$5:B$48,建具!B70,建具の明細!K$5:K$48)</f>
        <v>0</v>
      </c>
      <c r="J70" s="244">
        <f t="shared" si="17"/>
        <v>0</v>
      </c>
      <c r="K70" s="245">
        <v>93863</v>
      </c>
      <c r="L70" s="2000"/>
      <c r="M70" s="2001"/>
      <c r="N70" s="2200"/>
      <c r="O70" s="226" t="b">
        <f t="shared" si="18"/>
        <v>0</v>
      </c>
      <c r="P70" s="1019"/>
      <c r="Q70" s="1019"/>
      <c r="R70" s="1021"/>
      <c r="T70" s="225"/>
      <c r="U70" s="225"/>
      <c r="V70" s="225"/>
      <c r="W70" s="149"/>
      <c r="Y70" s="149"/>
      <c r="AA70" s="225"/>
      <c r="AC70" s="149"/>
      <c r="AF70" s="225"/>
      <c r="AH70" s="149"/>
      <c r="AK70" s="225"/>
      <c r="AM70" s="149"/>
      <c r="AO70" s="225"/>
      <c r="AQ70" s="149"/>
      <c r="AS70" s="225"/>
      <c r="AU70" s="149"/>
      <c r="BB70" s="225"/>
      <c r="BD70" s="149"/>
      <c r="BF70" s="225"/>
      <c r="BH70" s="149"/>
      <c r="BK70" s="225"/>
      <c r="BM70" s="149"/>
      <c r="BN70" s="225"/>
      <c r="BO70" s="225"/>
      <c r="BQ70" s="149"/>
      <c r="BR70" s="149"/>
    </row>
    <row r="71" spans="2:70" ht="15" customHeight="1">
      <c r="B71" s="249" t="s">
        <v>1097</v>
      </c>
      <c r="C71" s="250"/>
      <c r="D71" s="241"/>
      <c r="E71" s="524"/>
      <c r="F71" s="524"/>
      <c r="G71" s="242"/>
      <c r="H71" s="241"/>
      <c r="I71" s="243"/>
      <c r="J71" s="244"/>
      <c r="K71" s="865"/>
      <c r="L71" s="2000"/>
      <c r="M71" s="2001"/>
      <c r="N71" s="2200"/>
      <c r="O71" s="226" t="b">
        <f>I71&lt;&gt;0</f>
        <v>0</v>
      </c>
      <c r="P71" s="1019"/>
      <c r="Q71" s="1019"/>
      <c r="T71" s="225"/>
      <c r="U71" s="225"/>
      <c r="V71" s="225"/>
      <c r="W71" s="149"/>
      <c r="Y71" s="149"/>
      <c r="AA71" s="225"/>
      <c r="AC71" s="149"/>
      <c r="AF71" s="225"/>
      <c r="AH71" s="149"/>
      <c r="AK71" s="225"/>
      <c r="AM71" s="149"/>
      <c r="AO71" s="225"/>
      <c r="AQ71" s="149"/>
      <c r="AS71" s="225"/>
      <c r="AU71" s="149"/>
      <c r="BB71" s="225"/>
      <c r="BD71" s="149"/>
      <c r="BF71" s="225"/>
      <c r="BH71" s="149"/>
      <c r="BK71" s="225"/>
      <c r="BM71" s="149"/>
      <c r="BN71" s="225"/>
      <c r="BO71" s="225"/>
      <c r="BQ71" s="149"/>
      <c r="BR71" s="149"/>
    </row>
    <row r="72" spans="2:70" ht="15" customHeight="1">
      <c r="B72" s="249" t="s">
        <v>1086</v>
      </c>
      <c r="C72" s="250"/>
      <c r="D72" s="241">
        <f t="shared" si="14"/>
        <v>169850</v>
      </c>
      <c r="E72" s="2002">
        <v>1</v>
      </c>
      <c r="F72" s="524">
        <v>1</v>
      </c>
      <c r="G72" s="242">
        <f t="shared" si="15"/>
        <v>1</v>
      </c>
      <c r="H72" s="241">
        <f t="shared" si="16"/>
        <v>169850</v>
      </c>
      <c r="I72" s="243">
        <f>SUMIF(建具の明細!B$5:B$48,建具!B72,建具の明細!K$5:K$48)</f>
        <v>0</v>
      </c>
      <c r="J72" s="244">
        <f t="shared" si="17"/>
        <v>0</v>
      </c>
      <c r="K72" s="245">
        <v>169857</v>
      </c>
      <c r="L72" s="2000"/>
      <c r="M72" s="2001"/>
      <c r="N72" s="2200"/>
      <c r="O72" s="226" t="b">
        <f t="shared" si="18"/>
        <v>0</v>
      </c>
      <c r="P72" s="1019"/>
      <c r="Q72" s="1019"/>
      <c r="T72" s="225"/>
      <c r="U72" s="225"/>
      <c r="V72" s="225"/>
      <c r="W72" s="149"/>
      <c r="Y72" s="149"/>
      <c r="AA72" s="225"/>
      <c r="AC72" s="149"/>
      <c r="AF72" s="225"/>
      <c r="AH72" s="149"/>
      <c r="AK72" s="225"/>
      <c r="AM72" s="149"/>
      <c r="AO72" s="225"/>
      <c r="AQ72" s="149"/>
      <c r="AS72" s="225"/>
      <c r="AU72" s="149"/>
      <c r="BB72" s="225"/>
      <c r="BD72" s="149"/>
      <c r="BF72" s="225"/>
      <c r="BH72" s="149"/>
      <c r="BK72" s="225"/>
      <c r="BM72" s="149"/>
      <c r="BN72" s="225"/>
      <c r="BO72" s="225"/>
      <c r="BQ72" s="149"/>
      <c r="BR72" s="149"/>
    </row>
    <row r="73" spans="2:70" ht="15" customHeight="1">
      <c r="B73" s="249" t="s">
        <v>1087</v>
      </c>
      <c r="C73" s="250"/>
      <c r="D73" s="241">
        <f t="shared" si="14"/>
        <v>61310</v>
      </c>
      <c r="E73" s="2002">
        <v>1</v>
      </c>
      <c r="F73" s="524">
        <v>1</v>
      </c>
      <c r="G73" s="242">
        <f t="shared" si="15"/>
        <v>1</v>
      </c>
      <c r="H73" s="241">
        <f t="shared" si="16"/>
        <v>61310</v>
      </c>
      <c r="I73" s="243">
        <f>SUMIF(建具の明細!B$5:B$48,建具!B73,建具の明細!K$5:K$48)</f>
        <v>0</v>
      </c>
      <c r="J73" s="244">
        <f t="shared" si="17"/>
        <v>0</v>
      </c>
      <c r="K73" s="245">
        <v>61319</v>
      </c>
      <c r="L73" s="2000"/>
      <c r="M73" s="2001"/>
      <c r="N73" s="2200"/>
      <c r="O73" s="226" t="b">
        <f t="shared" si="18"/>
        <v>0</v>
      </c>
      <c r="P73" s="1019"/>
      <c r="Q73" s="1019"/>
      <c r="T73" s="225"/>
      <c r="U73" s="225"/>
      <c r="V73" s="225"/>
      <c r="W73" s="149"/>
      <c r="Y73" s="149"/>
      <c r="AA73" s="225"/>
      <c r="AC73" s="149"/>
      <c r="AF73" s="225"/>
      <c r="AH73" s="149"/>
      <c r="AK73" s="225"/>
      <c r="AM73" s="149"/>
      <c r="AO73" s="225"/>
      <c r="AQ73" s="149"/>
      <c r="AS73" s="225"/>
      <c r="AU73" s="149"/>
      <c r="BB73" s="225"/>
      <c r="BD73" s="149"/>
      <c r="BF73" s="225"/>
      <c r="BH73" s="149"/>
      <c r="BK73" s="225"/>
      <c r="BM73" s="149"/>
      <c r="BN73" s="225"/>
      <c r="BO73" s="225"/>
      <c r="BQ73" s="149"/>
      <c r="BR73" s="149"/>
    </row>
    <row r="74" spans="2:70" ht="15" customHeight="1">
      <c r="B74" s="249" t="s">
        <v>1088</v>
      </c>
      <c r="C74" s="250"/>
      <c r="D74" s="241">
        <f t="shared" si="14"/>
        <v>38220</v>
      </c>
      <c r="E74" s="2002">
        <v>1</v>
      </c>
      <c r="F74" s="524">
        <v>1</v>
      </c>
      <c r="G74" s="242">
        <f t="shared" si="15"/>
        <v>1</v>
      </c>
      <c r="H74" s="241">
        <f t="shared" si="16"/>
        <v>38220</v>
      </c>
      <c r="I74" s="243">
        <f>SUMIF(建具の明細!B$5:B$48,建具!B74,建具の明細!K$5:K$48)</f>
        <v>0</v>
      </c>
      <c r="J74" s="244">
        <f t="shared" si="17"/>
        <v>0</v>
      </c>
      <c r="K74" s="245">
        <v>38225</v>
      </c>
      <c r="L74" s="2000"/>
      <c r="M74" s="2001"/>
      <c r="N74" s="2200"/>
      <c r="O74" s="226" t="b">
        <f t="shared" si="18"/>
        <v>0</v>
      </c>
      <c r="P74" s="1019"/>
      <c r="Q74" s="1019"/>
      <c r="T74" s="225"/>
      <c r="U74" s="225"/>
      <c r="V74" s="225"/>
      <c r="W74" s="149"/>
      <c r="Y74" s="149"/>
      <c r="AA74" s="225"/>
      <c r="AC74" s="149"/>
      <c r="AF74" s="225"/>
      <c r="AH74" s="149"/>
      <c r="AK74" s="225"/>
      <c r="AM74" s="149"/>
      <c r="AO74" s="225"/>
      <c r="AQ74" s="149"/>
      <c r="AS74" s="225"/>
      <c r="AU74" s="149"/>
      <c r="BB74" s="225"/>
      <c r="BD74" s="149"/>
      <c r="BF74" s="225"/>
      <c r="BH74" s="149"/>
      <c r="BK74" s="225"/>
      <c r="BM74" s="149"/>
      <c r="BN74" s="225"/>
      <c r="BO74" s="225"/>
      <c r="BQ74" s="149"/>
      <c r="BR74" s="149"/>
    </row>
    <row r="75" spans="2:70" ht="15" customHeight="1">
      <c r="B75" s="249" t="s">
        <v>1089</v>
      </c>
      <c r="C75" s="250"/>
      <c r="D75" s="241">
        <f t="shared" si="14"/>
        <v>12750</v>
      </c>
      <c r="E75" s="2002">
        <v>1</v>
      </c>
      <c r="F75" s="524">
        <v>1</v>
      </c>
      <c r="G75" s="242">
        <f t="shared" si="15"/>
        <v>1</v>
      </c>
      <c r="H75" s="241">
        <f t="shared" si="16"/>
        <v>12750</v>
      </c>
      <c r="I75" s="243">
        <f>SUMIF(建具の明細!B$5:B$48,建具!B75,建具の明細!K$5:K$48)</f>
        <v>0</v>
      </c>
      <c r="J75" s="244">
        <f t="shared" si="17"/>
        <v>0</v>
      </c>
      <c r="K75" s="245">
        <v>12750</v>
      </c>
      <c r="L75" s="2000"/>
      <c r="M75" s="2001"/>
      <c r="N75" s="2200"/>
      <c r="O75" s="226" t="b">
        <f t="shared" si="18"/>
        <v>0</v>
      </c>
      <c r="P75" s="1019"/>
      <c r="Q75" s="1019"/>
      <c r="T75" s="225"/>
      <c r="U75" s="225"/>
      <c r="V75" s="225"/>
      <c r="W75" s="149"/>
      <c r="Y75" s="149"/>
      <c r="AA75" s="225"/>
      <c r="AC75" s="149"/>
      <c r="AF75" s="225"/>
      <c r="AH75" s="149"/>
      <c r="AK75" s="225"/>
      <c r="AM75" s="149"/>
      <c r="AO75" s="225"/>
      <c r="AQ75" s="149"/>
      <c r="AS75" s="225"/>
      <c r="AU75" s="149"/>
      <c r="BB75" s="225"/>
      <c r="BD75" s="149"/>
      <c r="BF75" s="225"/>
      <c r="BH75" s="149"/>
      <c r="BK75" s="225"/>
      <c r="BM75" s="149"/>
      <c r="BN75" s="225"/>
      <c r="BO75" s="225"/>
      <c r="BQ75" s="149"/>
      <c r="BR75" s="149"/>
    </row>
    <row r="76" spans="2:70" ht="15" customHeight="1">
      <c r="B76" s="249" t="s">
        <v>1066</v>
      </c>
      <c r="C76" s="250"/>
      <c r="D76" s="241">
        <f t="shared" si="9"/>
        <v>30180</v>
      </c>
      <c r="E76" s="2002">
        <v>1</v>
      </c>
      <c r="F76" s="524">
        <v>1</v>
      </c>
      <c r="G76" s="242">
        <f t="shared" si="10"/>
        <v>1</v>
      </c>
      <c r="H76" s="241">
        <f t="shared" si="11"/>
        <v>30180</v>
      </c>
      <c r="I76" s="243">
        <f>SUMIF(建具の明細!B$5:B$48,建具!B76,建具の明細!K$5:K$48)</f>
        <v>0</v>
      </c>
      <c r="J76" s="244">
        <f t="shared" si="12"/>
        <v>0</v>
      </c>
      <c r="K76" s="245">
        <v>30183</v>
      </c>
      <c r="L76" s="2000"/>
      <c r="M76" s="2001"/>
      <c r="N76" s="2200"/>
      <c r="O76" s="226" t="b">
        <f t="shared" si="13"/>
        <v>0</v>
      </c>
      <c r="P76" s="1019"/>
      <c r="Q76" s="1019"/>
      <c r="T76" s="225"/>
      <c r="U76" s="225"/>
      <c r="V76" s="225"/>
      <c r="W76" s="149"/>
      <c r="Y76" s="149"/>
      <c r="AA76" s="225"/>
      <c r="AC76" s="149"/>
      <c r="AF76" s="225"/>
      <c r="AH76" s="149"/>
      <c r="AK76" s="225"/>
      <c r="AM76" s="149"/>
      <c r="AO76" s="225"/>
      <c r="AQ76" s="149"/>
      <c r="AS76" s="225"/>
      <c r="AU76" s="149"/>
      <c r="BB76" s="225"/>
      <c r="BD76" s="149"/>
      <c r="BF76" s="225"/>
      <c r="BH76" s="149"/>
      <c r="BK76" s="225"/>
      <c r="BM76" s="149"/>
      <c r="BN76" s="225"/>
      <c r="BO76" s="225"/>
      <c r="BQ76" s="149"/>
      <c r="BR76" s="149"/>
    </row>
    <row r="77" spans="2:70" ht="15" customHeight="1">
      <c r="B77" s="249" t="s">
        <v>1067</v>
      </c>
      <c r="C77" s="250"/>
      <c r="D77" s="241">
        <f t="shared" si="9"/>
        <v>15270</v>
      </c>
      <c r="E77" s="2002">
        <v>1</v>
      </c>
      <c r="F77" s="524">
        <v>1</v>
      </c>
      <c r="G77" s="242">
        <f t="shared" si="10"/>
        <v>1</v>
      </c>
      <c r="H77" s="241">
        <f t="shared" si="11"/>
        <v>15270</v>
      </c>
      <c r="I77" s="243">
        <f>SUMIF(建具の明細!B$5:B$48,建具!B77,建具の明細!K$5:K$48)</f>
        <v>0</v>
      </c>
      <c r="J77" s="244">
        <f t="shared" si="12"/>
        <v>0</v>
      </c>
      <c r="K77" s="245">
        <v>15278</v>
      </c>
      <c r="L77" s="2000"/>
      <c r="M77" s="2001"/>
      <c r="N77" s="2200"/>
      <c r="O77" s="226" t="b">
        <f t="shared" si="13"/>
        <v>0</v>
      </c>
      <c r="P77" s="1019"/>
      <c r="Q77" s="1019"/>
      <c r="T77" s="225"/>
      <c r="U77" s="225"/>
      <c r="V77" s="225"/>
      <c r="W77" s="149"/>
      <c r="Y77" s="149"/>
      <c r="AA77" s="225"/>
      <c r="AC77" s="149"/>
      <c r="AF77" s="225"/>
      <c r="AH77" s="149"/>
      <c r="AK77" s="225"/>
      <c r="AM77" s="149"/>
      <c r="AO77" s="225"/>
      <c r="AQ77" s="149"/>
      <c r="AS77" s="225"/>
      <c r="AU77" s="149"/>
      <c r="BB77" s="225"/>
      <c r="BD77" s="149"/>
      <c r="BF77" s="225"/>
      <c r="BH77" s="149"/>
      <c r="BK77" s="225"/>
      <c r="BM77" s="149"/>
      <c r="BN77" s="225"/>
      <c r="BO77" s="225"/>
      <c r="BQ77" s="149"/>
      <c r="BR77" s="149"/>
    </row>
    <row r="78" spans="2:70" ht="15" customHeight="1">
      <c r="B78" s="249" t="s">
        <v>1068</v>
      </c>
      <c r="C78" s="250"/>
      <c r="D78" s="241">
        <f t="shared" si="9"/>
        <v>39860</v>
      </c>
      <c r="E78" s="2002">
        <v>1</v>
      </c>
      <c r="F78" s="524">
        <v>1</v>
      </c>
      <c r="G78" s="242">
        <f t="shared" si="10"/>
        <v>1</v>
      </c>
      <c r="H78" s="241">
        <f t="shared" si="11"/>
        <v>39860</v>
      </c>
      <c r="I78" s="243">
        <f>SUMIF(建具の明細!B$5:B$48,建具!B78,建具の明細!K$5:K$48)</f>
        <v>0</v>
      </c>
      <c r="J78" s="244">
        <f t="shared" si="12"/>
        <v>0</v>
      </c>
      <c r="K78" s="245">
        <v>39867</v>
      </c>
      <c r="L78" s="2000"/>
      <c r="M78" s="2001"/>
      <c r="N78" s="2200"/>
      <c r="O78" s="226" t="b">
        <f t="shared" si="13"/>
        <v>0</v>
      </c>
      <c r="P78" s="1019"/>
      <c r="Q78" s="1019"/>
      <c r="T78" s="225"/>
      <c r="U78" s="225"/>
      <c r="V78" s="225"/>
      <c r="W78" s="149"/>
      <c r="Y78" s="149"/>
      <c r="AA78" s="225"/>
      <c r="AC78" s="149"/>
      <c r="AF78" s="225"/>
      <c r="AH78" s="149"/>
      <c r="AK78" s="225"/>
      <c r="AM78" s="149"/>
      <c r="AO78" s="225"/>
      <c r="AQ78" s="149"/>
      <c r="AS78" s="225"/>
      <c r="AU78" s="149"/>
      <c r="BB78" s="225"/>
      <c r="BD78" s="149"/>
      <c r="BF78" s="225"/>
      <c r="BH78" s="149"/>
      <c r="BK78" s="225"/>
      <c r="BM78" s="149"/>
      <c r="BN78" s="225"/>
      <c r="BO78" s="225"/>
      <c r="BQ78" s="149"/>
      <c r="BR78" s="149"/>
    </row>
    <row r="79" spans="2:70" ht="15" customHeight="1">
      <c r="B79" s="249" t="s">
        <v>1069</v>
      </c>
      <c r="C79" s="250"/>
      <c r="D79" s="241">
        <f t="shared" si="9"/>
        <v>17200</v>
      </c>
      <c r="E79" s="2002">
        <v>1</v>
      </c>
      <c r="F79" s="524">
        <v>1</v>
      </c>
      <c r="G79" s="242">
        <f t="shared" si="10"/>
        <v>1</v>
      </c>
      <c r="H79" s="241">
        <f t="shared" si="11"/>
        <v>17200</v>
      </c>
      <c r="I79" s="243">
        <f>SUMIF(建具の明細!B$5:B$48,建具!B79,建具の明細!K$5:K$48)</f>
        <v>0</v>
      </c>
      <c r="J79" s="244">
        <f t="shared" si="12"/>
        <v>0</v>
      </c>
      <c r="K79" s="245">
        <v>17207</v>
      </c>
      <c r="L79" s="2000"/>
      <c r="M79" s="2001"/>
      <c r="N79" s="2200"/>
      <c r="O79" s="226" t="b">
        <f t="shared" si="13"/>
        <v>0</v>
      </c>
      <c r="P79" s="1019"/>
      <c r="Q79" s="1019"/>
      <c r="T79" s="225"/>
      <c r="U79" s="225"/>
      <c r="V79" s="225"/>
      <c r="W79" s="149"/>
      <c r="Y79" s="149"/>
      <c r="AA79" s="225"/>
      <c r="AC79" s="149"/>
      <c r="AF79" s="225"/>
      <c r="AH79" s="149"/>
      <c r="AK79" s="225"/>
      <c r="AM79" s="149"/>
      <c r="AO79" s="225"/>
      <c r="AQ79" s="149"/>
      <c r="AS79" s="225"/>
      <c r="AU79" s="149"/>
      <c r="BB79" s="225"/>
      <c r="BD79" s="149"/>
      <c r="BF79" s="225"/>
      <c r="BH79" s="149"/>
      <c r="BK79" s="225"/>
      <c r="BM79" s="149"/>
      <c r="BN79" s="225"/>
      <c r="BO79" s="225"/>
      <c r="BQ79" s="149"/>
      <c r="BR79" s="149"/>
    </row>
    <row r="80" spans="2:70" ht="15" customHeight="1">
      <c r="B80" s="249" t="s">
        <v>1098</v>
      </c>
      <c r="C80" s="250"/>
      <c r="D80" s="241">
        <f t="shared" si="9"/>
        <v>37970</v>
      </c>
      <c r="E80" s="2002">
        <v>1</v>
      </c>
      <c r="F80" s="524">
        <v>1</v>
      </c>
      <c r="G80" s="242">
        <f t="shared" si="10"/>
        <v>1</v>
      </c>
      <c r="H80" s="241">
        <f t="shared" si="11"/>
        <v>37970</v>
      </c>
      <c r="I80" s="243">
        <f>SUMIF(建具の明細!B$5:B$48,建具!B80,建具の明細!K$5:K$48)</f>
        <v>0</v>
      </c>
      <c r="J80" s="244">
        <f t="shared" si="12"/>
        <v>0</v>
      </c>
      <c r="K80" s="245">
        <v>37979</v>
      </c>
      <c r="L80" s="2000"/>
      <c r="M80" s="2001"/>
      <c r="N80" s="2200"/>
      <c r="O80" s="226" t="b">
        <f t="shared" si="13"/>
        <v>0</v>
      </c>
      <c r="P80" s="1019"/>
      <c r="Q80" s="1019"/>
      <c r="T80" s="225"/>
      <c r="U80" s="225"/>
      <c r="V80" s="225"/>
      <c r="W80" s="149"/>
      <c r="Y80" s="149"/>
      <c r="AA80" s="225"/>
      <c r="AC80" s="149"/>
      <c r="AF80" s="225"/>
      <c r="AH80" s="149"/>
      <c r="AK80" s="225"/>
      <c r="AM80" s="149"/>
      <c r="AO80" s="225"/>
      <c r="AQ80" s="149"/>
      <c r="AS80" s="225"/>
      <c r="AU80" s="149"/>
      <c r="BB80" s="225"/>
      <c r="BD80" s="149"/>
      <c r="BF80" s="225"/>
      <c r="BH80" s="149"/>
      <c r="BK80" s="225"/>
      <c r="BM80" s="149"/>
      <c r="BN80" s="225"/>
      <c r="BO80" s="225"/>
      <c r="BQ80" s="149"/>
      <c r="BR80" s="149"/>
    </row>
    <row r="81" spans="2:70" ht="15" customHeight="1">
      <c r="B81" s="249" t="s">
        <v>1070</v>
      </c>
      <c r="C81" s="250"/>
      <c r="D81" s="241">
        <f t="shared" si="9"/>
        <v>27210</v>
      </c>
      <c r="E81" s="2002">
        <v>1</v>
      </c>
      <c r="F81" s="524">
        <v>1</v>
      </c>
      <c r="G81" s="242">
        <f t="shared" si="10"/>
        <v>1</v>
      </c>
      <c r="H81" s="241">
        <f t="shared" si="11"/>
        <v>27210</v>
      </c>
      <c r="I81" s="243">
        <f>SUMIF(建具の明細!B$5:B$48,建具!B81,建具の明細!K$5:K$48)</f>
        <v>0</v>
      </c>
      <c r="J81" s="244">
        <f t="shared" si="12"/>
        <v>0</v>
      </c>
      <c r="K81" s="245">
        <v>27217</v>
      </c>
      <c r="L81" s="2000"/>
      <c r="M81" s="2001"/>
      <c r="N81" s="2200"/>
      <c r="O81" s="226" t="b">
        <f t="shared" si="13"/>
        <v>0</v>
      </c>
      <c r="P81" s="1019"/>
      <c r="Q81" s="1019"/>
      <c r="T81" s="225"/>
      <c r="U81" s="225"/>
      <c r="V81" s="225"/>
      <c r="W81" s="149"/>
      <c r="Y81" s="149"/>
      <c r="AA81" s="225"/>
      <c r="AC81" s="149"/>
      <c r="AF81" s="225"/>
      <c r="AH81" s="149"/>
      <c r="AK81" s="225"/>
      <c r="AM81" s="149"/>
      <c r="AO81" s="225"/>
      <c r="AQ81" s="149"/>
      <c r="AS81" s="225"/>
      <c r="AU81" s="149"/>
      <c r="BB81" s="225"/>
      <c r="BD81" s="149"/>
      <c r="BF81" s="225"/>
      <c r="BH81" s="149"/>
      <c r="BK81" s="225"/>
      <c r="BM81" s="149"/>
      <c r="BN81" s="225"/>
      <c r="BO81" s="225"/>
      <c r="BQ81" s="149"/>
      <c r="BR81" s="149"/>
    </row>
    <row r="82" spans="2:70" ht="15" customHeight="1">
      <c r="B82" s="249" t="s">
        <v>1071</v>
      </c>
      <c r="C82" s="250"/>
      <c r="D82" s="241">
        <f t="shared" si="9"/>
        <v>10570</v>
      </c>
      <c r="E82" s="2002">
        <v>1</v>
      </c>
      <c r="F82" s="524">
        <v>1</v>
      </c>
      <c r="G82" s="242">
        <f t="shared" si="10"/>
        <v>1</v>
      </c>
      <c r="H82" s="241">
        <f t="shared" si="11"/>
        <v>10570</v>
      </c>
      <c r="I82" s="243">
        <f>SUMIF(建具の明細!B$5:B$48,建具!B82,建具の明細!K$5:K$48)</f>
        <v>0</v>
      </c>
      <c r="J82" s="244">
        <f t="shared" si="12"/>
        <v>0</v>
      </c>
      <c r="K82" s="245">
        <v>10578</v>
      </c>
      <c r="L82" s="2000"/>
      <c r="M82" s="2001"/>
      <c r="N82" s="2200"/>
      <c r="O82" s="226" t="b">
        <f t="shared" si="13"/>
        <v>0</v>
      </c>
      <c r="P82" s="1019"/>
      <c r="Q82" s="1019"/>
      <c r="T82" s="225"/>
      <c r="U82" s="225"/>
      <c r="V82" s="225"/>
      <c r="W82" s="149"/>
      <c r="Y82" s="149"/>
      <c r="AA82" s="225"/>
      <c r="AC82" s="149"/>
      <c r="AF82" s="225"/>
      <c r="AH82" s="149"/>
      <c r="AK82" s="225"/>
      <c r="AM82" s="149"/>
      <c r="AO82" s="225"/>
      <c r="AQ82" s="149"/>
      <c r="AS82" s="225"/>
      <c r="AU82" s="149"/>
      <c r="BB82" s="225"/>
      <c r="BD82" s="149"/>
      <c r="BF82" s="225"/>
      <c r="BH82" s="149"/>
      <c r="BK82" s="225"/>
      <c r="BM82" s="149"/>
      <c r="BN82" s="225"/>
      <c r="BO82" s="225"/>
      <c r="BQ82" s="149"/>
      <c r="BR82" s="149"/>
    </row>
    <row r="83" spans="2:70" ht="15" customHeight="1">
      <c r="B83" s="249" t="s">
        <v>1072</v>
      </c>
      <c r="C83" s="250"/>
      <c r="D83" s="241">
        <f t="shared" si="9"/>
        <v>29670</v>
      </c>
      <c r="E83" s="2002">
        <v>1</v>
      </c>
      <c r="F83" s="524">
        <v>1.4</v>
      </c>
      <c r="G83" s="242">
        <f t="shared" si="10"/>
        <v>1.4</v>
      </c>
      <c r="H83" s="241">
        <f t="shared" si="11"/>
        <v>41538</v>
      </c>
      <c r="I83" s="243">
        <f>SUMIF(建具の明細!B$5:B$48,建具!B83,建具の明細!K$5:K$48)</f>
        <v>0</v>
      </c>
      <c r="J83" s="244">
        <f t="shared" si="12"/>
        <v>0</v>
      </c>
      <c r="K83" s="245">
        <v>29677</v>
      </c>
      <c r="L83" s="2000"/>
      <c r="M83" s="2001"/>
      <c r="N83" s="2200"/>
      <c r="O83" s="226" t="b">
        <f t="shared" si="13"/>
        <v>0</v>
      </c>
      <c r="P83" s="1019"/>
      <c r="Q83" s="1019"/>
      <c r="T83" s="225"/>
      <c r="U83" s="225"/>
      <c r="V83" s="225"/>
      <c r="W83" s="149"/>
      <c r="Y83" s="149"/>
      <c r="AA83" s="225"/>
      <c r="AC83" s="149"/>
      <c r="AF83" s="225"/>
      <c r="AH83" s="149"/>
      <c r="AK83" s="225"/>
      <c r="AM83" s="149"/>
      <c r="AO83" s="225"/>
      <c r="AQ83" s="149"/>
      <c r="AS83" s="225"/>
      <c r="AU83" s="149"/>
      <c r="BB83" s="225"/>
      <c r="BD83" s="149"/>
      <c r="BF83" s="225"/>
      <c r="BH83" s="149"/>
      <c r="BK83" s="225"/>
      <c r="BM83" s="149"/>
      <c r="BN83" s="225"/>
      <c r="BO83" s="225"/>
      <c r="BQ83" s="149"/>
      <c r="BR83" s="149"/>
    </row>
    <row r="84" spans="2:70" ht="15" customHeight="1">
      <c r="B84" s="249" t="s">
        <v>1073</v>
      </c>
      <c r="C84" s="250"/>
      <c r="D84" s="241">
        <f t="shared" si="9"/>
        <v>26010</v>
      </c>
      <c r="E84" s="2002">
        <v>1</v>
      </c>
      <c r="F84" s="524">
        <v>1.4</v>
      </c>
      <c r="G84" s="242">
        <f t="shared" si="10"/>
        <v>1.4</v>
      </c>
      <c r="H84" s="241">
        <f t="shared" si="11"/>
        <v>36414</v>
      </c>
      <c r="I84" s="243">
        <f>SUMIF(建具の明細!B$5:B$48,建具!B84,建具の明細!K$5:K$48)</f>
        <v>0</v>
      </c>
      <c r="J84" s="244">
        <f t="shared" si="12"/>
        <v>0</v>
      </c>
      <c r="K84" s="245">
        <v>26016</v>
      </c>
      <c r="L84" s="2000"/>
      <c r="M84" s="2001"/>
      <c r="N84" s="2200"/>
      <c r="O84" s="226" t="b">
        <f t="shared" si="13"/>
        <v>0</v>
      </c>
      <c r="P84" s="1019"/>
      <c r="Q84" s="1019"/>
      <c r="T84" s="225"/>
      <c r="U84" s="225"/>
      <c r="V84" s="225"/>
      <c r="W84" s="149"/>
      <c r="Y84" s="149"/>
      <c r="AA84" s="225"/>
      <c r="AC84" s="149"/>
      <c r="AF84" s="225"/>
      <c r="AH84" s="149"/>
      <c r="AK84" s="225"/>
      <c r="AM84" s="149"/>
      <c r="AO84" s="225"/>
      <c r="AQ84" s="149"/>
      <c r="AS84" s="225"/>
      <c r="AU84" s="149"/>
      <c r="BB84" s="225"/>
      <c r="BD84" s="149"/>
      <c r="BF84" s="225"/>
      <c r="BH84" s="149"/>
      <c r="BK84" s="225"/>
      <c r="BM84" s="149"/>
      <c r="BN84" s="225"/>
      <c r="BO84" s="225"/>
      <c r="BQ84" s="149"/>
      <c r="BR84" s="149"/>
    </row>
    <row r="85" spans="2:70" ht="15" customHeight="1">
      <c r="B85" s="249" t="s">
        <v>1074</v>
      </c>
      <c r="C85" s="250"/>
      <c r="D85" s="241">
        <f t="shared" si="9"/>
        <v>18380</v>
      </c>
      <c r="E85" s="2002">
        <v>1</v>
      </c>
      <c r="F85" s="524">
        <v>1.4</v>
      </c>
      <c r="G85" s="242">
        <f t="shared" si="10"/>
        <v>1.4</v>
      </c>
      <c r="H85" s="241">
        <f t="shared" si="11"/>
        <v>25732</v>
      </c>
      <c r="I85" s="243">
        <f>SUMIF(建具の明細!B$5:B$48,建具!B85,建具の明細!K$5:K$48)</f>
        <v>0</v>
      </c>
      <c r="J85" s="244">
        <f t="shared" si="12"/>
        <v>0</v>
      </c>
      <c r="K85" s="245">
        <v>18383</v>
      </c>
      <c r="L85" s="2000"/>
      <c r="M85" s="2001"/>
      <c r="N85" s="2200"/>
      <c r="O85" s="226" t="b">
        <f t="shared" si="13"/>
        <v>0</v>
      </c>
      <c r="P85" s="1019"/>
      <c r="Q85" s="1019"/>
      <c r="T85" s="225"/>
      <c r="U85" s="225"/>
      <c r="V85" s="225"/>
      <c r="W85" s="149"/>
      <c r="Y85" s="149"/>
      <c r="AA85" s="225"/>
      <c r="AC85" s="149"/>
      <c r="AF85" s="225"/>
      <c r="AH85" s="149"/>
      <c r="AK85" s="225"/>
      <c r="AM85" s="149"/>
      <c r="AO85" s="225"/>
      <c r="AQ85" s="149"/>
      <c r="AS85" s="225"/>
      <c r="AU85" s="149"/>
      <c r="BB85" s="225"/>
      <c r="BD85" s="149"/>
      <c r="BF85" s="225"/>
      <c r="BH85" s="149"/>
      <c r="BK85" s="225"/>
      <c r="BM85" s="149"/>
      <c r="BN85" s="225"/>
      <c r="BO85" s="225"/>
      <c r="BQ85" s="149"/>
      <c r="BR85" s="149"/>
    </row>
    <row r="86" spans="2:70" ht="15" customHeight="1">
      <c r="B86" s="249" t="s">
        <v>1075</v>
      </c>
      <c r="C86" s="250"/>
      <c r="D86" s="241">
        <f t="shared" si="9"/>
        <v>8680</v>
      </c>
      <c r="E86" s="2002">
        <v>1</v>
      </c>
      <c r="F86" s="524">
        <v>1.4</v>
      </c>
      <c r="G86" s="242">
        <f t="shared" si="10"/>
        <v>1.4</v>
      </c>
      <c r="H86" s="241">
        <f t="shared" si="11"/>
        <v>12152</v>
      </c>
      <c r="I86" s="243">
        <f>SUMIF(建具の明細!B$5:B$48,建具!B86,建具の明細!K$5:K$48)</f>
        <v>0</v>
      </c>
      <c r="J86" s="244">
        <f t="shared" si="12"/>
        <v>0</v>
      </c>
      <c r="K86" s="245">
        <v>8686</v>
      </c>
      <c r="L86" s="2000"/>
      <c r="M86" s="2001"/>
      <c r="N86" s="2200"/>
      <c r="O86" s="226" t="b">
        <f t="shared" si="13"/>
        <v>0</v>
      </c>
      <c r="P86" s="1019"/>
      <c r="Q86" s="1019"/>
      <c r="T86" s="225"/>
      <c r="U86" s="225"/>
      <c r="V86" s="225"/>
      <c r="W86" s="149"/>
      <c r="Y86" s="149"/>
      <c r="AA86" s="225"/>
      <c r="AC86" s="149"/>
      <c r="AF86" s="225"/>
      <c r="AH86" s="149"/>
      <c r="AK86" s="225"/>
      <c r="AM86" s="149"/>
      <c r="AO86" s="225"/>
      <c r="AQ86" s="149"/>
      <c r="AS86" s="225"/>
      <c r="AU86" s="149"/>
      <c r="BB86" s="225"/>
      <c r="BD86" s="149"/>
      <c r="BF86" s="225"/>
      <c r="BH86" s="149"/>
      <c r="BK86" s="225"/>
      <c r="BM86" s="149"/>
      <c r="BN86" s="225"/>
      <c r="BO86" s="225"/>
      <c r="BQ86" s="149"/>
      <c r="BR86" s="149"/>
    </row>
    <row r="87" spans="2:70" ht="15" customHeight="1">
      <c r="B87" s="249" t="s">
        <v>1076</v>
      </c>
      <c r="C87" s="250"/>
      <c r="D87" s="241">
        <f t="shared" si="9"/>
        <v>29670</v>
      </c>
      <c r="E87" s="2002">
        <v>1</v>
      </c>
      <c r="F87" s="524">
        <v>1</v>
      </c>
      <c r="G87" s="242">
        <f t="shared" si="10"/>
        <v>1</v>
      </c>
      <c r="H87" s="241">
        <f t="shared" si="11"/>
        <v>29670</v>
      </c>
      <c r="I87" s="243">
        <f>SUMIF(建具の明細!B$5:B$48,建具!B87,建具の明細!K$5:K$48)</f>
        <v>0</v>
      </c>
      <c r="J87" s="244">
        <f t="shared" si="12"/>
        <v>0</v>
      </c>
      <c r="K87" s="245">
        <v>29677</v>
      </c>
      <c r="L87" s="2000"/>
      <c r="M87" s="2001"/>
      <c r="N87" s="2200"/>
      <c r="O87" s="226" t="b">
        <f t="shared" si="13"/>
        <v>0</v>
      </c>
      <c r="P87" s="1019"/>
      <c r="Q87" s="1019"/>
      <c r="T87" s="225"/>
      <c r="U87" s="225"/>
      <c r="V87" s="225"/>
      <c r="W87" s="149"/>
      <c r="Y87" s="149"/>
      <c r="AA87" s="225"/>
      <c r="AC87" s="149"/>
      <c r="AF87" s="225"/>
      <c r="AH87" s="149"/>
      <c r="AK87" s="225"/>
      <c r="AM87" s="149"/>
      <c r="AO87" s="225"/>
      <c r="AQ87" s="149"/>
      <c r="AS87" s="225"/>
      <c r="AU87" s="149"/>
      <c r="BB87" s="225"/>
      <c r="BD87" s="149"/>
      <c r="BF87" s="225"/>
      <c r="BH87" s="149"/>
      <c r="BK87" s="225"/>
      <c r="BM87" s="149"/>
      <c r="BN87" s="225"/>
      <c r="BO87" s="225"/>
      <c r="BQ87" s="149"/>
      <c r="BR87" s="149"/>
    </row>
    <row r="88" spans="2:70" ht="15" customHeight="1">
      <c r="B88" s="249" t="s">
        <v>1077</v>
      </c>
      <c r="C88" s="250"/>
      <c r="D88" s="241">
        <f t="shared" si="9"/>
        <v>26010</v>
      </c>
      <c r="E88" s="2002">
        <v>1</v>
      </c>
      <c r="F88" s="524">
        <v>1</v>
      </c>
      <c r="G88" s="242">
        <f t="shared" si="10"/>
        <v>1</v>
      </c>
      <c r="H88" s="241">
        <f t="shared" si="11"/>
        <v>26010</v>
      </c>
      <c r="I88" s="243">
        <f>SUMIF(建具の明細!B$5:B$48,建具!B88,建具の明細!K$5:K$48)</f>
        <v>0</v>
      </c>
      <c r="J88" s="244">
        <f t="shared" si="12"/>
        <v>0</v>
      </c>
      <c r="K88" s="245">
        <v>26016</v>
      </c>
      <c r="L88" s="2000"/>
      <c r="M88" s="2001"/>
      <c r="N88" s="2200"/>
      <c r="O88" s="226" t="b">
        <f t="shared" si="13"/>
        <v>0</v>
      </c>
      <c r="P88" s="1019"/>
      <c r="Q88" s="1019"/>
      <c r="T88" s="225"/>
      <c r="U88" s="225"/>
      <c r="V88" s="225"/>
      <c r="W88" s="149"/>
      <c r="Y88" s="149"/>
      <c r="AA88" s="225"/>
      <c r="AC88" s="149"/>
      <c r="AF88" s="225"/>
      <c r="AH88" s="149"/>
      <c r="AK88" s="225"/>
      <c r="AM88" s="149"/>
      <c r="AO88" s="225"/>
      <c r="AQ88" s="149"/>
      <c r="AS88" s="225"/>
      <c r="AU88" s="149"/>
      <c r="BB88" s="225"/>
      <c r="BD88" s="149"/>
      <c r="BF88" s="225"/>
      <c r="BH88" s="149"/>
      <c r="BK88" s="225"/>
      <c r="BM88" s="149"/>
      <c r="BN88" s="225"/>
      <c r="BO88" s="225"/>
      <c r="BQ88" s="149"/>
      <c r="BR88" s="149"/>
    </row>
    <row r="89" spans="2:70" ht="15" customHeight="1">
      <c r="B89" s="249" t="s">
        <v>1078</v>
      </c>
      <c r="C89" s="250"/>
      <c r="D89" s="241">
        <f t="shared" si="9"/>
        <v>18380</v>
      </c>
      <c r="E89" s="2002">
        <v>1</v>
      </c>
      <c r="F89" s="524">
        <v>1</v>
      </c>
      <c r="G89" s="242">
        <f t="shared" si="10"/>
        <v>1</v>
      </c>
      <c r="H89" s="241">
        <f t="shared" si="11"/>
        <v>18380</v>
      </c>
      <c r="I89" s="243">
        <f>SUMIF(建具の明細!B$5:B$48,建具!B89,建具の明細!K$5:K$48)</f>
        <v>0</v>
      </c>
      <c r="J89" s="244">
        <f t="shared" si="12"/>
        <v>0</v>
      </c>
      <c r="K89" s="245">
        <v>18383</v>
      </c>
      <c r="L89" s="2000"/>
      <c r="M89" s="2001"/>
      <c r="N89" s="2200"/>
      <c r="O89" s="226" t="b">
        <f t="shared" si="13"/>
        <v>0</v>
      </c>
      <c r="P89" s="1019"/>
      <c r="Q89" s="1019"/>
      <c r="T89" s="225"/>
      <c r="U89" s="225"/>
      <c r="V89" s="225"/>
      <c r="W89" s="149"/>
      <c r="Y89" s="149"/>
      <c r="AA89" s="225"/>
      <c r="AC89" s="149"/>
      <c r="AF89" s="225"/>
      <c r="AH89" s="149"/>
      <c r="AK89" s="225"/>
      <c r="AM89" s="149"/>
      <c r="AO89" s="225"/>
      <c r="AQ89" s="149"/>
      <c r="AS89" s="225"/>
      <c r="AU89" s="149"/>
      <c r="BB89" s="225"/>
      <c r="BD89" s="149"/>
      <c r="BF89" s="225"/>
      <c r="BH89" s="149"/>
      <c r="BK89" s="225"/>
      <c r="BM89" s="149"/>
      <c r="BN89" s="225"/>
      <c r="BO89" s="225"/>
      <c r="BQ89" s="149"/>
      <c r="BR89" s="149"/>
    </row>
    <row r="90" spans="2:70" ht="15" customHeight="1">
      <c r="B90" s="249" t="s">
        <v>1079</v>
      </c>
      <c r="C90" s="250"/>
      <c r="D90" s="241">
        <f t="shared" si="9"/>
        <v>8680</v>
      </c>
      <c r="E90" s="2002">
        <v>1</v>
      </c>
      <c r="F90" s="524">
        <v>1</v>
      </c>
      <c r="G90" s="242">
        <f t="shared" si="10"/>
        <v>1</v>
      </c>
      <c r="H90" s="241">
        <f t="shared" si="11"/>
        <v>8680</v>
      </c>
      <c r="I90" s="243">
        <f>SUMIF(建具の明細!B$5:B$48,建具!B90,建具の明細!K$5:K$48)</f>
        <v>0</v>
      </c>
      <c r="J90" s="244">
        <f t="shared" si="12"/>
        <v>0</v>
      </c>
      <c r="K90" s="245">
        <v>8686</v>
      </c>
      <c r="L90" s="2000"/>
      <c r="M90" s="2001"/>
      <c r="N90" s="2200"/>
      <c r="O90" s="226" t="b">
        <f t="shared" si="13"/>
        <v>0</v>
      </c>
      <c r="P90" s="1019"/>
      <c r="Q90" s="1019"/>
      <c r="T90" s="225"/>
      <c r="U90" s="225"/>
      <c r="V90" s="225"/>
      <c r="W90" s="149"/>
      <c r="Y90" s="149"/>
      <c r="AA90" s="225"/>
      <c r="AC90" s="149"/>
      <c r="AF90" s="225"/>
      <c r="AH90" s="149"/>
      <c r="AK90" s="225"/>
      <c r="AM90" s="149"/>
      <c r="AO90" s="225"/>
      <c r="AQ90" s="149"/>
      <c r="AS90" s="225"/>
      <c r="AU90" s="149"/>
      <c r="BB90" s="225"/>
      <c r="BD90" s="149"/>
      <c r="BF90" s="225"/>
      <c r="BH90" s="149"/>
      <c r="BK90" s="225"/>
      <c r="BM90" s="149"/>
      <c r="BN90" s="225"/>
      <c r="BO90" s="225"/>
      <c r="BQ90" s="149"/>
      <c r="BR90" s="149"/>
    </row>
    <row r="91" spans="2:70" ht="15" customHeight="1">
      <c r="B91" s="249" t="s">
        <v>1080</v>
      </c>
      <c r="C91" s="250"/>
      <c r="D91" s="241">
        <f t="shared" si="9"/>
        <v>29670</v>
      </c>
      <c r="E91" s="2002">
        <v>1</v>
      </c>
      <c r="F91" s="524">
        <v>0.8</v>
      </c>
      <c r="G91" s="242">
        <f t="shared" si="10"/>
        <v>0.8</v>
      </c>
      <c r="H91" s="241">
        <f t="shared" si="11"/>
        <v>23736</v>
      </c>
      <c r="I91" s="243">
        <f>SUMIF(建具の明細!B$5:B$48,建具!B91,建具の明細!K$5:K$48)</f>
        <v>0</v>
      </c>
      <c r="J91" s="244">
        <f t="shared" si="12"/>
        <v>0</v>
      </c>
      <c r="K91" s="245">
        <v>29677</v>
      </c>
      <c r="L91" s="2000"/>
      <c r="M91" s="2001"/>
      <c r="N91" s="2200"/>
      <c r="O91" s="226" t="b">
        <f t="shared" si="13"/>
        <v>0</v>
      </c>
      <c r="P91" s="1019"/>
      <c r="Q91" s="1019"/>
      <c r="T91" s="225"/>
      <c r="U91" s="225"/>
      <c r="V91" s="225"/>
      <c r="W91" s="149"/>
      <c r="Y91" s="149"/>
      <c r="AA91" s="225"/>
      <c r="AC91" s="149"/>
      <c r="AF91" s="225"/>
      <c r="AH91" s="149"/>
      <c r="AK91" s="225"/>
      <c r="AM91" s="149"/>
      <c r="AO91" s="225"/>
      <c r="AQ91" s="149"/>
      <c r="AS91" s="225"/>
      <c r="AU91" s="149"/>
      <c r="BB91" s="225"/>
      <c r="BD91" s="149"/>
      <c r="BF91" s="225"/>
      <c r="BH91" s="149"/>
      <c r="BK91" s="225"/>
      <c r="BM91" s="149"/>
      <c r="BN91" s="225"/>
      <c r="BO91" s="225"/>
      <c r="BQ91" s="149"/>
      <c r="BR91" s="149"/>
    </row>
    <row r="92" spans="2:70" ht="15" customHeight="1">
      <c r="B92" s="249" t="s">
        <v>1081</v>
      </c>
      <c r="C92" s="250"/>
      <c r="D92" s="241">
        <f t="shared" si="9"/>
        <v>26010</v>
      </c>
      <c r="E92" s="2002">
        <v>1</v>
      </c>
      <c r="F92" s="524">
        <v>0.8</v>
      </c>
      <c r="G92" s="242">
        <f t="shared" si="10"/>
        <v>0.8</v>
      </c>
      <c r="H92" s="241">
        <f t="shared" si="11"/>
        <v>20808</v>
      </c>
      <c r="I92" s="243">
        <f>SUMIF(建具の明細!B$5:B$48,建具!B92,建具の明細!K$5:K$48)</f>
        <v>0</v>
      </c>
      <c r="J92" s="244">
        <f t="shared" si="12"/>
        <v>0</v>
      </c>
      <c r="K92" s="245">
        <v>26016</v>
      </c>
      <c r="L92" s="2000"/>
      <c r="M92" s="2001"/>
      <c r="N92" s="2200"/>
      <c r="O92" s="226" t="b">
        <f t="shared" si="13"/>
        <v>0</v>
      </c>
      <c r="P92" s="1019"/>
      <c r="Q92" s="1019"/>
      <c r="T92" s="225"/>
      <c r="U92" s="225"/>
      <c r="V92" s="225"/>
      <c r="W92" s="149"/>
      <c r="Y92" s="149"/>
      <c r="AA92" s="225"/>
      <c r="AC92" s="149"/>
      <c r="AF92" s="225"/>
      <c r="AH92" s="149"/>
      <c r="AK92" s="225"/>
      <c r="AM92" s="149"/>
      <c r="AO92" s="225"/>
      <c r="AQ92" s="149"/>
      <c r="AS92" s="225"/>
      <c r="AU92" s="149"/>
      <c r="BB92" s="225"/>
      <c r="BD92" s="149"/>
      <c r="BF92" s="225"/>
      <c r="BH92" s="149"/>
      <c r="BK92" s="225"/>
      <c r="BM92" s="149"/>
      <c r="BN92" s="225"/>
      <c r="BO92" s="225"/>
      <c r="BQ92" s="149"/>
      <c r="BR92" s="149"/>
    </row>
    <row r="93" spans="2:70" ht="15" customHeight="1">
      <c r="B93" s="249" t="s">
        <v>1082</v>
      </c>
      <c r="C93" s="250"/>
      <c r="D93" s="241">
        <f t="shared" si="9"/>
        <v>18380</v>
      </c>
      <c r="E93" s="2002">
        <v>1</v>
      </c>
      <c r="F93" s="524">
        <v>0.8</v>
      </c>
      <c r="G93" s="242">
        <f t="shared" si="10"/>
        <v>0.8</v>
      </c>
      <c r="H93" s="241">
        <f t="shared" si="11"/>
        <v>14704</v>
      </c>
      <c r="I93" s="243">
        <f>SUMIF(建具の明細!B$5:B$48,建具!B93,建具の明細!K$5:K$48)</f>
        <v>0</v>
      </c>
      <c r="J93" s="244">
        <f t="shared" si="12"/>
        <v>0</v>
      </c>
      <c r="K93" s="245">
        <v>18383</v>
      </c>
      <c r="L93" s="2000"/>
      <c r="M93" s="2001"/>
      <c r="N93" s="2200"/>
      <c r="O93" s="226" t="b">
        <f t="shared" si="13"/>
        <v>0</v>
      </c>
      <c r="P93" s="1019"/>
      <c r="Q93" s="1019"/>
      <c r="T93" s="225"/>
      <c r="U93" s="225"/>
      <c r="V93" s="225"/>
      <c r="W93" s="149"/>
      <c r="Y93" s="149"/>
      <c r="AA93" s="225"/>
      <c r="AC93" s="149"/>
      <c r="AF93" s="225"/>
      <c r="AH93" s="149"/>
      <c r="AK93" s="225"/>
      <c r="AM93" s="149"/>
      <c r="AO93" s="225"/>
      <c r="AQ93" s="149"/>
      <c r="AS93" s="225"/>
      <c r="AU93" s="149"/>
      <c r="BB93" s="225"/>
      <c r="BD93" s="149"/>
      <c r="BF93" s="225"/>
      <c r="BH93" s="149"/>
      <c r="BK93" s="225"/>
      <c r="BM93" s="149"/>
      <c r="BN93" s="225"/>
      <c r="BO93" s="225"/>
      <c r="BQ93" s="149"/>
      <c r="BR93" s="149"/>
    </row>
    <row r="94" spans="2:70" ht="15" customHeight="1">
      <c r="B94" s="249" t="s">
        <v>1083</v>
      </c>
      <c r="C94" s="250"/>
      <c r="D94" s="241">
        <f t="shared" ref="D94" si="29">ROUNDDOWN(K94,-1)</f>
        <v>8680</v>
      </c>
      <c r="E94" s="2002">
        <v>1</v>
      </c>
      <c r="F94" s="524">
        <v>0.8</v>
      </c>
      <c r="G94" s="242">
        <f t="shared" ref="G94" si="30">+ROUNDDOWN(E94*F94,2)</f>
        <v>0.8</v>
      </c>
      <c r="H94" s="241">
        <f t="shared" ref="H94" si="31">INT(D94*G94)</f>
        <v>6944</v>
      </c>
      <c r="I94" s="243">
        <f>SUMIF(建具の明細!B$5:B$48,建具!B94,建具の明細!K$5:K$48)</f>
        <v>0</v>
      </c>
      <c r="J94" s="244">
        <f t="shared" ref="J94" si="32">INT(I94*H94)</f>
        <v>0</v>
      </c>
      <c r="K94" s="245">
        <v>8686</v>
      </c>
      <c r="L94" s="2000"/>
      <c r="M94" s="2001"/>
      <c r="N94" s="2200"/>
      <c r="O94" s="226" t="b">
        <f t="shared" ref="O94" si="33">I94&lt;&gt;0</f>
        <v>0</v>
      </c>
      <c r="P94" s="1019"/>
      <c r="Q94" s="1019"/>
      <c r="T94" s="225"/>
      <c r="U94" s="225"/>
      <c r="V94" s="225"/>
      <c r="W94" s="149"/>
      <c r="Y94" s="149"/>
      <c r="AA94" s="225"/>
      <c r="AC94" s="149"/>
      <c r="AF94" s="225"/>
      <c r="AH94" s="149"/>
      <c r="AK94" s="225"/>
      <c r="AM94" s="149"/>
      <c r="AO94" s="225"/>
      <c r="AQ94" s="149"/>
      <c r="AS94" s="225"/>
      <c r="AU94" s="149"/>
      <c r="BB94" s="225"/>
      <c r="BD94" s="149"/>
      <c r="BF94" s="225"/>
      <c r="BH94" s="149"/>
      <c r="BK94" s="225"/>
      <c r="BM94" s="149"/>
      <c r="BN94" s="225"/>
      <c r="BO94" s="225"/>
      <c r="BQ94" s="149"/>
      <c r="BR94" s="149"/>
    </row>
    <row r="95" spans="2:70" ht="15" customHeight="1">
      <c r="B95" s="249" t="s">
        <v>1090</v>
      </c>
      <c r="C95" s="250"/>
      <c r="D95" s="241">
        <f t="shared" si="9"/>
        <v>60660</v>
      </c>
      <c r="E95" s="2002">
        <v>1</v>
      </c>
      <c r="F95" s="524">
        <v>1</v>
      </c>
      <c r="G95" s="242">
        <f t="shared" si="10"/>
        <v>1</v>
      </c>
      <c r="H95" s="241">
        <f t="shared" si="11"/>
        <v>60660</v>
      </c>
      <c r="I95" s="243">
        <f>SUMIF(建具の明細!B$5:B$48,建具!B95,建具の明細!K$5:K$48)</f>
        <v>0</v>
      </c>
      <c r="J95" s="244">
        <f t="shared" si="12"/>
        <v>0</v>
      </c>
      <c r="K95" s="245">
        <v>60662</v>
      </c>
      <c r="L95" s="2000"/>
      <c r="M95" s="2001"/>
      <c r="N95" s="2200"/>
      <c r="O95" s="226" t="b">
        <f t="shared" si="13"/>
        <v>0</v>
      </c>
      <c r="P95" s="1019"/>
      <c r="Q95" s="1019"/>
      <c r="T95" s="225"/>
      <c r="U95" s="225"/>
      <c r="V95" s="225"/>
      <c r="W95" s="149"/>
      <c r="Y95" s="149"/>
      <c r="AA95" s="225"/>
      <c r="AC95" s="149"/>
      <c r="AF95" s="225"/>
      <c r="AH95" s="149"/>
      <c r="AK95" s="225"/>
      <c r="AM95" s="149"/>
      <c r="AO95" s="225"/>
      <c r="AQ95" s="149"/>
      <c r="AS95" s="225"/>
      <c r="AU95" s="149"/>
      <c r="BB95" s="225"/>
      <c r="BD95" s="149"/>
      <c r="BF95" s="225"/>
      <c r="BH95" s="149"/>
      <c r="BK95" s="225"/>
      <c r="BM95" s="149"/>
      <c r="BN95" s="225"/>
      <c r="BO95" s="225"/>
      <c r="BQ95" s="149"/>
      <c r="BR95" s="149"/>
    </row>
    <row r="96" spans="2:70" ht="15" customHeight="1">
      <c r="B96" s="249" t="s">
        <v>1091</v>
      </c>
      <c r="C96" s="250"/>
      <c r="D96" s="241">
        <f t="shared" si="9"/>
        <v>47010</v>
      </c>
      <c r="E96" s="2002">
        <v>1</v>
      </c>
      <c r="F96" s="524">
        <v>1</v>
      </c>
      <c r="G96" s="242">
        <f t="shared" si="10"/>
        <v>1</v>
      </c>
      <c r="H96" s="241">
        <f t="shared" si="11"/>
        <v>47010</v>
      </c>
      <c r="I96" s="243">
        <f>SUMIF(建具の明細!B$5:B$48,建具!B96,建具の明細!K$5:K$48)</f>
        <v>0</v>
      </c>
      <c r="J96" s="244">
        <f t="shared" si="12"/>
        <v>0</v>
      </c>
      <c r="K96" s="245">
        <v>47010</v>
      </c>
      <c r="L96" s="2000"/>
      <c r="M96" s="2001"/>
      <c r="N96" s="2200"/>
      <c r="O96" s="226" t="b">
        <f t="shared" si="13"/>
        <v>0</v>
      </c>
      <c r="P96" s="1019"/>
      <c r="Q96" s="1019"/>
      <c r="T96" s="225"/>
      <c r="U96" s="225"/>
      <c r="V96" s="225"/>
      <c r="W96" s="149"/>
      <c r="Y96" s="149"/>
      <c r="AA96" s="225"/>
      <c r="AC96" s="149"/>
      <c r="AF96" s="225"/>
      <c r="AH96" s="149"/>
      <c r="AK96" s="225"/>
      <c r="AM96" s="149"/>
      <c r="AO96" s="225"/>
      <c r="AQ96" s="149"/>
      <c r="AS96" s="225"/>
      <c r="AU96" s="149"/>
      <c r="BB96" s="225"/>
      <c r="BD96" s="149"/>
      <c r="BF96" s="225"/>
      <c r="BH96" s="149"/>
      <c r="BK96" s="225"/>
      <c r="BM96" s="149"/>
      <c r="BN96" s="225"/>
      <c r="BO96" s="225"/>
      <c r="BQ96" s="149"/>
      <c r="BR96" s="149"/>
    </row>
    <row r="97" spans="2:70" ht="15" customHeight="1">
      <c r="B97" s="249" t="s">
        <v>1092</v>
      </c>
      <c r="C97" s="250"/>
      <c r="D97" s="241">
        <f t="shared" si="9"/>
        <v>38520</v>
      </c>
      <c r="E97" s="2002">
        <v>1</v>
      </c>
      <c r="F97" s="524">
        <v>1</v>
      </c>
      <c r="G97" s="242">
        <f t="shared" si="10"/>
        <v>1</v>
      </c>
      <c r="H97" s="241">
        <f t="shared" si="11"/>
        <v>38520</v>
      </c>
      <c r="I97" s="243">
        <f>SUMIF(建具の明細!B$5:B$48,建具!B97,建具の明細!K$5:K$48)</f>
        <v>0</v>
      </c>
      <c r="J97" s="244">
        <f t="shared" si="12"/>
        <v>0</v>
      </c>
      <c r="K97" s="245">
        <v>38520</v>
      </c>
      <c r="L97" s="2000"/>
      <c r="M97" s="2001"/>
      <c r="N97" s="2200"/>
      <c r="O97" s="226" t="b">
        <f t="shared" si="13"/>
        <v>0</v>
      </c>
      <c r="P97" s="1019"/>
      <c r="Q97" s="1019"/>
      <c r="T97" s="225"/>
      <c r="U97" s="225"/>
      <c r="V97" s="225"/>
      <c r="W97" s="149"/>
      <c r="Y97" s="149"/>
      <c r="AA97" s="225"/>
      <c r="AC97" s="149"/>
      <c r="AF97" s="225"/>
      <c r="AH97" s="149"/>
      <c r="AK97" s="225"/>
      <c r="AM97" s="149"/>
      <c r="AO97" s="225"/>
      <c r="AQ97" s="149"/>
      <c r="AS97" s="225"/>
      <c r="AU97" s="149"/>
      <c r="BB97" s="225"/>
      <c r="BD97" s="149"/>
      <c r="BF97" s="225"/>
      <c r="BH97" s="149"/>
      <c r="BK97" s="225"/>
      <c r="BM97" s="149"/>
      <c r="BN97" s="225"/>
      <c r="BO97" s="225"/>
      <c r="BQ97" s="149"/>
      <c r="BR97" s="149"/>
    </row>
    <row r="98" spans="2:70" ht="15" customHeight="1">
      <c r="B98" s="249" t="s">
        <v>1093</v>
      </c>
      <c r="C98" s="250"/>
      <c r="D98" s="241">
        <f t="shared" ref="D98" si="34">ROUNDDOWN(K98,-1)</f>
        <v>50790</v>
      </c>
      <c r="E98" s="2002">
        <v>1</v>
      </c>
      <c r="F98" s="524">
        <v>1</v>
      </c>
      <c r="G98" s="242">
        <f t="shared" ref="G98" si="35">+ROUNDDOWN(E98*F98,2)</f>
        <v>1</v>
      </c>
      <c r="H98" s="241">
        <f t="shared" ref="H98" si="36">INT(D98*G98)</f>
        <v>50790</v>
      </c>
      <c r="I98" s="243">
        <f>SUMIF(建具の明細!B$5:B$48,建具!B98,建具の明細!K$5:K$48)</f>
        <v>0</v>
      </c>
      <c r="J98" s="244">
        <f t="shared" ref="J98" si="37">INT(I98*H98)</f>
        <v>0</v>
      </c>
      <c r="K98" s="245">
        <v>50790</v>
      </c>
      <c r="L98" s="2000"/>
      <c r="M98" s="2001"/>
      <c r="N98" s="2200"/>
      <c r="O98" s="226" t="b">
        <f t="shared" ref="O98" si="38">I98&lt;&gt;0</f>
        <v>0</v>
      </c>
      <c r="P98" s="1019"/>
      <c r="Q98" s="1019"/>
      <c r="T98" s="225"/>
      <c r="U98" s="225"/>
      <c r="V98" s="225"/>
      <c r="W98" s="149"/>
      <c r="Y98" s="149"/>
      <c r="AA98" s="225"/>
      <c r="AC98" s="149"/>
      <c r="AF98" s="225"/>
      <c r="AH98" s="149"/>
      <c r="AK98" s="225"/>
      <c r="AM98" s="149"/>
      <c r="AO98" s="225"/>
      <c r="AQ98" s="149"/>
      <c r="AS98" s="225"/>
      <c r="AU98" s="149"/>
      <c r="BB98" s="225"/>
      <c r="BD98" s="149"/>
      <c r="BF98" s="225"/>
      <c r="BH98" s="149"/>
      <c r="BK98" s="225"/>
      <c r="BM98" s="149"/>
      <c r="BN98" s="225"/>
      <c r="BO98" s="225"/>
      <c r="BQ98" s="149"/>
      <c r="BR98" s="149"/>
    </row>
    <row r="99" spans="2:70" ht="15" customHeight="1">
      <c r="B99" s="249" t="s">
        <v>504</v>
      </c>
      <c r="C99" s="250"/>
      <c r="D99" s="241"/>
      <c r="E99" s="524"/>
      <c r="F99" s="524"/>
      <c r="G99" s="242"/>
      <c r="H99" s="241"/>
      <c r="I99" s="243"/>
      <c r="J99" s="244"/>
      <c r="K99" s="865"/>
      <c r="L99" s="262"/>
      <c r="M99" s="245"/>
      <c r="N99" s="2200"/>
      <c r="O99" s="226" t="b">
        <f t="shared" ref="O99" si="39">I99&lt;&gt;0</f>
        <v>0</v>
      </c>
      <c r="P99" s="1019"/>
      <c r="Q99" s="1019"/>
      <c r="T99" s="225"/>
      <c r="U99" s="533"/>
      <c r="V99" s="533"/>
      <c r="W99" s="149"/>
      <c r="Y99" s="149"/>
      <c r="AA99" s="225"/>
      <c r="AC99" s="149"/>
      <c r="AF99" s="225"/>
      <c r="AH99" s="149"/>
      <c r="AK99" s="225"/>
      <c r="AM99" s="149"/>
      <c r="AO99" s="225"/>
      <c r="AQ99" s="149"/>
      <c r="AS99" s="225"/>
      <c r="AU99" s="149"/>
      <c r="BB99" s="225"/>
      <c r="BD99" s="149"/>
      <c r="BF99" s="225"/>
      <c r="BH99" s="149"/>
      <c r="BK99" s="225"/>
      <c r="BM99" s="149"/>
      <c r="BN99" s="225"/>
      <c r="BO99" s="225"/>
      <c r="BQ99" s="149"/>
      <c r="BR99" s="149"/>
    </row>
    <row r="100" spans="2:70" ht="15" customHeight="1">
      <c r="B100" s="727" t="str">
        <f>M100&amp;" 二重ｻｯｼ 枠70(0.85補正)"</f>
        <v xml:space="preserve"> 二重ｻｯｼ 枠70(0.85補正)</v>
      </c>
      <c r="C100" s="250" t="str">
        <f t="shared" ref="C100:C101" si="40">IF(M100="","",VLOOKUP(M100,建具,2,0))</f>
        <v/>
      </c>
      <c r="D100" s="241">
        <f t="shared" ref="D100:D101" si="41">ROUNDDOWN(K100,-1)</f>
        <v>0</v>
      </c>
      <c r="E100" s="2002">
        <v>1</v>
      </c>
      <c r="F100" s="524">
        <f>IF(M100&lt;&gt;"",VLOOKUP(M100,建具,5,0),0)</f>
        <v>0</v>
      </c>
      <c r="G100" s="242">
        <f>+ROUNDDOWN(E100*IF(F100=0,1,F100)*0.85,2)</f>
        <v>0.85</v>
      </c>
      <c r="H100" s="241">
        <f t="shared" ref="H100:H101" si="42">INT(D100*G100)</f>
        <v>0</v>
      </c>
      <c r="I100" s="243">
        <f>SUMIF(建具の明細!B$5:B$48,建具!B100,建具の明細!K$5:K$48)</f>
        <v>0</v>
      </c>
      <c r="J100" s="244">
        <f t="shared" ref="J100:J101" si="43">INT(I100*H100)</f>
        <v>0</v>
      </c>
      <c r="K100" s="245">
        <f>IF(M100&lt;&gt;"",VLOOKUP(M100,建具,10,0),0)</f>
        <v>0</v>
      </c>
      <c r="L100" s="253" t="s">
        <v>974</v>
      </c>
      <c r="M100" s="252"/>
      <c r="N100" s="2200"/>
      <c r="O100" s="226" t="b">
        <f t="shared" ref="O100" si="44">I100&lt;&gt;0</f>
        <v>0</v>
      </c>
      <c r="P100" s="1019"/>
      <c r="Q100" s="1019"/>
    </row>
    <row r="101" spans="2:70" ht="15" customHeight="1">
      <c r="B101" s="727" t="str">
        <f>M101&amp;" 二重ｻｯｼ 枠100(0.9補正)"</f>
        <v xml:space="preserve"> 二重ｻｯｼ 枠100(0.9補正)</v>
      </c>
      <c r="C101" s="250" t="str">
        <f t="shared" si="40"/>
        <v/>
      </c>
      <c r="D101" s="241">
        <f t="shared" si="41"/>
        <v>0</v>
      </c>
      <c r="E101" s="2002">
        <v>1</v>
      </c>
      <c r="F101" s="524">
        <f>IF(M101&lt;&gt;"",VLOOKUP(M101,建具,5,0),0)</f>
        <v>0</v>
      </c>
      <c r="G101" s="242">
        <f>+ROUNDDOWN(E101*IF(F101=0,1,F101)*0.9,2)</f>
        <v>0.9</v>
      </c>
      <c r="H101" s="241">
        <f t="shared" si="42"/>
        <v>0</v>
      </c>
      <c r="I101" s="243">
        <f>SUMIF(建具の明細!B$5:B$48,建具!B101,建具の明細!K$5:K$48)</f>
        <v>0</v>
      </c>
      <c r="J101" s="244">
        <f t="shared" si="43"/>
        <v>0</v>
      </c>
      <c r="K101" s="245">
        <f>IF(M101&lt;&gt;"",VLOOKUP(M101,建具,10,0),0)</f>
        <v>0</v>
      </c>
      <c r="L101" s="253" t="s">
        <v>974</v>
      </c>
      <c r="M101" s="252"/>
      <c r="N101" s="2200"/>
      <c r="O101" s="226" t="b">
        <f t="shared" ref="O101:O117" si="45">I101&lt;&gt;0</f>
        <v>0</v>
      </c>
      <c r="P101" s="1019"/>
      <c r="Q101" s="1019"/>
    </row>
    <row r="102" spans="2:70" ht="15" customHeight="1">
      <c r="B102" s="249" t="s">
        <v>504</v>
      </c>
      <c r="C102" s="250"/>
      <c r="D102" s="241"/>
      <c r="E102" s="524"/>
      <c r="F102" s="524"/>
      <c r="G102" s="242"/>
      <c r="H102" s="241"/>
      <c r="I102" s="243"/>
      <c r="J102" s="244"/>
      <c r="K102" s="245"/>
      <c r="L102" s="262"/>
      <c r="M102" s="245"/>
      <c r="N102" s="2200"/>
      <c r="O102" s="226" t="b">
        <f t="shared" si="45"/>
        <v>0</v>
      </c>
      <c r="P102" s="1019"/>
      <c r="Q102" s="1019"/>
    </row>
    <row r="103" spans="2:70" ht="15" customHeight="1">
      <c r="B103" s="249" t="s">
        <v>5454</v>
      </c>
      <c r="C103" s="250"/>
      <c r="D103" s="241"/>
      <c r="E103" s="524"/>
      <c r="F103" s="524"/>
      <c r="G103" s="242"/>
      <c r="H103" s="241"/>
      <c r="I103" s="243"/>
      <c r="J103" s="244"/>
      <c r="K103" s="245"/>
      <c r="L103" s="262"/>
      <c r="M103" s="245"/>
      <c r="N103" s="2200"/>
      <c r="O103" s="226" t="b">
        <f t="shared" ref="O103:O109" si="46">I103&lt;&gt;0</f>
        <v>0</v>
      </c>
      <c r="P103" s="1019"/>
      <c r="Q103" s="1019"/>
    </row>
    <row r="104" spans="2:70" ht="15" customHeight="1">
      <c r="B104" s="249" t="s">
        <v>5805</v>
      </c>
      <c r="C104" s="250"/>
      <c r="D104" s="241"/>
      <c r="E104" s="524"/>
      <c r="F104" s="524"/>
      <c r="G104" s="242"/>
      <c r="H104" s="241" t="s">
        <v>5801</v>
      </c>
      <c r="I104" s="243">
        <f>SUMIF(建具の明細!B$5:B$48,建具!B104,建具の明細!K$5:K$48)</f>
        <v>0</v>
      </c>
      <c r="J104" s="244">
        <v>0</v>
      </c>
      <c r="K104" s="245"/>
      <c r="L104" s="262" t="s">
        <v>5455</v>
      </c>
      <c r="M104" s="245"/>
      <c r="N104" s="2200"/>
      <c r="O104" s="226" t="b">
        <f t="shared" ref="O104" si="47">I104&lt;&gt;0</f>
        <v>0</v>
      </c>
      <c r="P104" s="1019"/>
      <c r="Q104" s="1019"/>
    </row>
    <row r="105" spans="2:70" ht="15" customHeight="1">
      <c r="B105" s="249" t="s">
        <v>5806</v>
      </c>
      <c r="C105" s="250"/>
      <c r="D105" s="241"/>
      <c r="E105" s="524"/>
      <c r="F105" s="524"/>
      <c r="G105" s="242"/>
      <c r="H105" s="241" t="s">
        <v>5801</v>
      </c>
      <c r="I105" s="243">
        <f>SUMIF(建具の明細!B$5:B$48,建具!B105,建具の明細!K$5:K$48)</f>
        <v>0</v>
      </c>
      <c r="J105" s="244">
        <v>0</v>
      </c>
      <c r="K105" s="245"/>
      <c r="L105" s="262" t="s">
        <v>5455</v>
      </c>
      <c r="M105" s="245"/>
      <c r="N105" s="2200"/>
      <c r="O105" s="226" t="b">
        <f t="shared" si="46"/>
        <v>0</v>
      </c>
      <c r="P105" s="1019"/>
      <c r="Q105" s="1019"/>
    </row>
    <row r="106" spans="2:70" ht="15" customHeight="1">
      <c r="B106" s="249" t="s">
        <v>5807</v>
      </c>
      <c r="C106" s="250"/>
      <c r="D106" s="241"/>
      <c r="E106" s="524"/>
      <c r="F106" s="524"/>
      <c r="G106" s="242"/>
      <c r="H106" s="241" t="s">
        <v>5802</v>
      </c>
      <c r="I106" s="243">
        <f>SUMIF(建具の明細!B$5:B$48,建具!B106,建具の明細!K$5:K$48)*2</f>
        <v>0</v>
      </c>
      <c r="J106" s="244">
        <v>0</v>
      </c>
      <c r="K106" s="245"/>
      <c r="L106" s="262" t="s">
        <v>5455</v>
      </c>
      <c r="M106" s="245"/>
      <c r="N106" s="2200"/>
      <c r="O106" s="226" t="b">
        <f t="shared" si="46"/>
        <v>0</v>
      </c>
      <c r="P106" s="1019"/>
      <c r="Q106" s="1019"/>
    </row>
    <row r="107" spans="2:70" ht="15" customHeight="1">
      <c r="B107" s="249" t="s">
        <v>5808</v>
      </c>
      <c r="C107" s="250"/>
      <c r="D107" s="241"/>
      <c r="E107" s="524"/>
      <c r="F107" s="524"/>
      <c r="G107" s="242"/>
      <c r="H107" s="241" t="s">
        <v>5803</v>
      </c>
      <c r="I107" s="243">
        <f>SUMIF(建具の明細!B$5:B$48,建具!B107,建具の明細!K$5:K$48)*2.5</f>
        <v>0</v>
      </c>
      <c r="J107" s="244">
        <v>0</v>
      </c>
      <c r="K107" s="245"/>
      <c r="L107" s="262" t="s">
        <v>5455</v>
      </c>
      <c r="M107" s="245"/>
      <c r="N107" s="2200"/>
      <c r="O107" s="226" t="b">
        <f t="shared" si="46"/>
        <v>0</v>
      </c>
      <c r="P107" s="1019"/>
      <c r="Q107" s="1019"/>
    </row>
    <row r="108" spans="2:70" ht="15" customHeight="1">
      <c r="B108" s="249" t="s">
        <v>5809</v>
      </c>
      <c r="C108" s="250"/>
      <c r="D108" s="241"/>
      <c r="E108" s="524"/>
      <c r="F108" s="524"/>
      <c r="G108" s="242"/>
      <c r="H108" s="241" t="s">
        <v>5804</v>
      </c>
      <c r="I108" s="243">
        <f>SUMIF(建具の明細!B$5:B$48,建具!B108,建具の明細!K$5:K$48)*3</f>
        <v>0</v>
      </c>
      <c r="J108" s="244">
        <v>0</v>
      </c>
      <c r="K108" s="245"/>
      <c r="L108" s="262" t="s">
        <v>5455</v>
      </c>
      <c r="M108" s="245"/>
      <c r="N108" s="2200"/>
      <c r="O108" s="226" t="b">
        <f t="shared" si="46"/>
        <v>0</v>
      </c>
      <c r="P108" s="1019"/>
      <c r="Q108" s="1019"/>
    </row>
    <row r="109" spans="2:70" ht="15" customHeight="1">
      <c r="B109" s="249" t="s">
        <v>504</v>
      </c>
      <c r="C109" s="250"/>
      <c r="D109" s="241"/>
      <c r="E109" s="524"/>
      <c r="F109" s="524"/>
      <c r="G109" s="242"/>
      <c r="H109" s="241"/>
      <c r="I109" s="243"/>
      <c r="J109" s="244"/>
      <c r="K109" s="245"/>
      <c r="L109" s="262"/>
      <c r="M109" s="245"/>
      <c r="N109" s="2200"/>
      <c r="O109" s="226" t="b">
        <f t="shared" si="46"/>
        <v>0</v>
      </c>
      <c r="P109" s="1019"/>
      <c r="Q109" s="1019"/>
    </row>
    <row r="110" spans="2:70" ht="15" customHeight="1">
      <c r="B110" s="249" t="s">
        <v>975</v>
      </c>
      <c r="C110" s="250"/>
      <c r="D110" s="241"/>
      <c r="E110" s="524"/>
      <c r="F110" s="524"/>
      <c r="G110" s="242"/>
      <c r="H110" s="241"/>
      <c r="I110" s="243"/>
      <c r="J110" s="244"/>
      <c r="K110" s="245"/>
      <c r="L110" s="262"/>
      <c r="M110" s="245"/>
      <c r="N110" s="2200"/>
      <c r="O110" s="226" t="b">
        <f t="shared" si="45"/>
        <v>0</v>
      </c>
      <c r="P110" s="1019"/>
      <c r="Q110" s="1019"/>
    </row>
    <row r="111" spans="2:70" ht="15" customHeight="1">
      <c r="B111" s="2003" t="s">
        <v>976</v>
      </c>
      <c r="C111" s="2004"/>
      <c r="D111" s="241">
        <f t="shared" ref="D111:D115" si="48">ROUNDDOWN(K111,-1)</f>
        <v>0</v>
      </c>
      <c r="E111" s="2002">
        <v>1</v>
      </c>
      <c r="F111" s="524"/>
      <c r="G111" s="242">
        <f>+ROUNDDOWN(E111*IF(F111=0,1,F111),2)</f>
        <v>1</v>
      </c>
      <c r="H111" s="241">
        <f t="shared" ref="H111:H115" si="49">INT(D111*G111)</f>
        <v>0</v>
      </c>
      <c r="I111" s="243">
        <f>SUMIF(建具の明細!B$5:B$48,建具!B111,建具の明細!K$5:K$48)</f>
        <v>0</v>
      </c>
      <c r="J111" s="244">
        <f t="shared" ref="J111:J115" si="50">INT(I111*H111)</f>
        <v>0</v>
      </c>
      <c r="K111" s="2001"/>
      <c r="L111" s="2000"/>
      <c r="M111" s="2001"/>
      <c r="N111" s="2200"/>
      <c r="O111" s="226" t="b">
        <f t="shared" si="45"/>
        <v>0</v>
      </c>
      <c r="P111" s="1019"/>
      <c r="Q111" s="1019"/>
    </row>
    <row r="112" spans="2:70" ht="15" customHeight="1">
      <c r="B112" s="2003" t="s">
        <v>977</v>
      </c>
      <c r="C112" s="2004"/>
      <c r="D112" s="241">
        <f t="shared" si="48"/>
        <v>0</v>
      </c>
      <c r="E112" s="2002">
        <v>1</v>
      </c>
      <c r="F112" s="524"/>
      <c r="G112" s="242">
        <f t="shared" ref="G112:G115" si="51">+ROUNDDOWN(E112*IF(F112=0,1,F112),2)</f>
        <v>1</v>
      </c>
      <c r="H112" s="241">
        <f t="shared" si="49"/>
        <v>0</v>
      </c>
      <c r="I112" s="243">
        <f>SUMIF(建具の明細!B$5:B$48,建具!B112,建具の明細!K$5:K$48)</f>
        <v>0</v>
      </c>
      <c r="J112" s="244">
        <f t="shared" si="50"/>
        <v>0</v>
      </c>
      <c r="K112" s="2001"/>
      <c r="L112" s="2000"/>
      <c r="M112" s="2001"/>
      <c r="N112" s="2200"/>
      <c r="O112" s="226" t="b">
        <f t="shared" si="45"/>
        <v>0</v>
      </c>
      <c r="P112" s="1019"/>
      <c r="Q112" s="1019"/>
    </row>
    <row r="113" spans="2:70" ht="15" customHeight="1">
      <c r="B113" s="2003" t="s">
        <v>978</v>
      </c>
      <c r="C113" s="2004"/>
      <c r="D113" s="241">
        <f t="shared" si="48"/>
        <v>0</v>
      </c>
      <c r="E113" s="2002">
        <v>1</v>
      </c>
      <c r="F113" s="524"/>
      <c r="G113" s="242">
        <f t="shared" si="51"/>
        <v>1</v>
      </c>
      <c r="H113" s="241">
        <f t="shared" si="49"/>
        <v>0</v>
      </c>
      <c r="I113" s="243">
        <f>SUMIF(建具の明細!B$5:B$48,建具!B113,建具の明細!K$5:K$48)</f>
        <v>0</v>
      </c>
      <c r="J113" s="244">
        <f t="shared" si="50"/>
        <v>0</v>
      </c>
      <c r="K113" s="2001"/>
      <c r="L113" s="2000"/>
      <c r="M113" s="2001"/>
      <c r="N113" s="2200"/>
      <c r="O113" s="226" t="b">
        <f t="shared" si="45"/>
        <v>0</v>
      </c>
      <c r="P113" s="1019"/>
      <c r="Q113" s="1019"/>
    </row>
    <row r="114" spans="2:70" ht="15" customHeight="1">
      <c r="B114" s="2003" t="s">
        <v>979</v>
      </c>
      <c r="C114" s="2004"/>
      <c r="D114" s="241">
        <f t="shared" si="48"/>
        <v>0</v>
      </c>
      <c r="E114" s="2002">
        <v>1</v>
      </c>
      <c r="F114" s="524"/>
      <c r="G114" s="242">
        <f t="shared" si="51"/>
        <v>1</v>
      </c>
      <c r="H114" s="241">
        <f t="shared" si="49"/>
        <v>0</v>
      </c>
      <c r="I114" s="243">
        <f>SUMIF(建具の明細!B$5:B$48,建具!B114,建具の明細!K$5:K$48)</f>
        <v>0</v>
      </c>
      <c r="J114" s="244">
        <f t="shared" si="50"/>
        <v>0</v>
      </c>
      <c r="K114" s="2001"/>
      <c r="L114" s="2000"/>
      <c r="M114" s="2001"/>
      <c r="N114" s="2200"/>
      <c r="O114" s="226" t="b">
        <f t="shared" si="45"/>
        <v>0</v>
      </c>
      <c r="P114" s="1019"/>
      <c r="Q114" s="1019"/>
    </row>
    <row r="115" spans="2:70" ht="15" customHeight="1">
      <c r="B115" s="2005" t="s">
        <v>980</v>
      </c>
      <c r="C115" s="2006"/>
      <c r="D115" s="251">
        <f t="shared" si="48"/>
        <v>0</v>
      </c>
      <c r="E115" s="2010">
        <v>1</v>
      </c>
      <c r="F115" s="525"/>
      <c r="G115" s="689">
        <f t="shared" si="51"/>
        <v>1</v>
      </c>
      <c r="H115" s="251">
        <f t="shared" si="49"/>
        <v>0</v>
      </c>
      <c r="I115" s="254">
        <f>SUMIF(建具の明細!B$5:B$48,建具!B115,建具の明細!K$5:K$48)</f>
        <v>0</v>
      </c>
      <c r="J115" s="255">
        <f t="shared" si="50"/>
        <v>0</v>
      </c>
      <c r="K115" s="2007"/>
      <c r="L115" s="2008"/>
      <c r="M115" s="2009"/>
      <c r="N115" s="2200"/>
      <c r="O115" s="226" t="b">
        <f t="shared" si="45"/>
        <v>0</v>
      </c>
      <c r="P115" s="1019"/>
      <c r="Q115" s="1019"/>
    </row>
    <row r="116" spans="2:70" ht="15" customHeight="1">
      <c r="B116" s="258" t="s">
        <v>981</v>
      </c>
      <c r="C116" s="259"/>
      <c r="D116" s="233"/>
      <c r="E116" s="523"/>
      <c r="F116" s="523"/>
      <c r="G116" s="234"/>
      <c r="H116" s="233"/>
      <c r="I116" s="235"/>
      <c r="J116" s="236"/>
      <c r="K116" s="237"/>
      <c r="L116" s="238"/>
      <c r="M116" s="237"/>
      <c r="N116" s="2200"/>
      <c r="O116" s="226" t="b">
        <f t="shared" si="45"/>
        <v>0</v>
      </c>
      <c r="P116" s="1019"/>
      <c r="Q116" s="1019"/>
    </row>
    <row r="117" spans="2:70" ht="15" customHeight="1">
      <c r="B117" s="260" t="s">
        <v>504</v>
      </c>
      <c r="C117" s="261"/>
      <c r="D117" s="241"/>
      <c r="E117" s="524"/>
      <c r="F117" s="524"/>
      <c r="G117" s="242"/>
      <c r="H117" s="241"/>
      <c r="I117" s="243"/>
      <c r="J117" s="244"/>
      <c r="K117" s="245"/>
      <c r="L117" s="262"/>
      <c r="M117" s="245"/>
      <c r="N117" s="2200"/>
      <c r="O117" s="226" t="b">
        <f t="shared" si="45"/>
        <v>0</v>
      </c>
      <c r="P117" s="1019"/>
      <c r="Q117" s="1019"/>
    </row>
    <row r="118" spans="2:70" ht="15" customHeight="1">
      <c r="B118" s="1772" t="s">
        <v>1148</v>
      </c>
      <c r="C118" s="1773" t="s">
        <v>124</v>
      </c>
      <c r="D118" s="1774"/>
      <c r="E118" s="1775"/>
      <c r="F118" s="1775"/>
      <c r="G118" s="1776"/>
      <c r="H118" s="1774"/>
      <c r="I118" s="1777">
        <f>SUMIF(建具の明細!D$5:D$48,建具!B118,建具の明細!L$5:L$48)</f>
        <v>0</v>
      </c>
      <c r="J118" s="1778"/>
      <c r="K118" s="1779"/>
      <c r="L118" s="1780"/>
      <c r="M118" s="1779"/>
      <c r="N118" s="2200"/>
      <c r="O118" s="226" t="b">
        <f>+FALSE</f>
        <v>0</v>
      </c>
      <c r="P118" s="1019"/>
      <c r="Q118" s="1019"/>
    </row>
    <row r="119" spans="2:70" ht="15" customHeight="1">
      <c r="B119" s="1772" t="s">
        <v>1149</v>
      </c>
      <c r="C119" s="1773" t="s">
        <v>124</v>
      </c>
      <c r="D119" s="1774"/>
      <c r="E119" s="1775"/>
      <c r="F119" s="1775"/>
      <c r="G119" s="1776"/>
      <c r="H119" s="1774"/>
      <c r="I119" s="1777">
        <f>SUMIF(建具の明細!D$5:D$48,建具!B119,建具の明細!L$5:L$48)</f>
        <v>0</v>
      </c>
      <c r="J119" s="1778"/>
      <c r="K119" s="1779"/>
      <c r="L119" s="1781" t="s">
        <v>1062</v>
      </c>
      <c r="M119" s="1782"/>
      <c r="N119" s="2200"/>
      <c r="O119" s="226" t="b">
        <f>+FALSE</f>
        <v>0</v>
      </c>
      <c r="P119" s="1019"/>
      <c r="Q119" s="1019"/>
    </row>
    <row r="120" spans="2:70" ht="15" customHeight="1">
      <c r="B120" s="1772" t="s">
        <v>1150</v>
      </c>
      <c r="C120" s="1773" t="s">
        <v>124</v>
      </c>
      <c r="D120" s="1774"/>
      <c r="E120" s="1775"/>
      <c r="F120" s="1775"/>
      <c r="G120" s="1776"/>
      <c r="H120" s="1774"/>
      <c r="I120" s="1777">
        <f>SUMIF(建具の明細!D$5:D$48,建具!B120,建具の明細!L$5:L$48)</f>
        <v>0</v>
      </c>
      <c r="J120" s="1778"/>
      <c r="K120" s="1779"/>
      <c r="L120" s="1780"/>
      <c r="M120" s="1779"/>
      <c r="N120" s="2200"/>
      <c r="O120" s="226" t="b">
        <f>+FALSE</f>
        <v>0</v>
      </c>
      <c r="P120" s="1019"/>
      <c r="Q120" s="1019"/>
    </row>
    <row r="121" spans="2:70" ht="15" customHeight="1">
      <c r="B121" s="1772" t="s">
        <v>1151</v>
      </c>
      <c r="C121" s="1773" t="s">
        <v>124</v>
      </c>
      <c r="D121" s="1774"/>
      <c r="E121" s="1775"/>
      <c r="F121" s="1775"/>
      <c r="G121" s="1776"/>
      <c r="H121" s="1774"/>
      <c r="I121" s="1777">
        <f>SUMIF(建具の明細!D$5:D$48,建具!B121,建具の明細!L$5:L$48)</f>
        <v>0</v>
      </c>
      <c r="J121" s="1778"/>
      <c r="K121" s="1783"/>
      <c r="L121" s="1781" t="s">
        <v>1062</v>
      </c>
      <c r="M121" s="1782"/>
      <c r="N121" s="2200"/>
      <c r="O121" s="226" t="b">
        <f>+FALSE</f>
        <v>0</v>
      </c>
      <c r="P121" s="1019"/>
      <c r="Q121" s="1019"/>
    </row>
    <row r="122" spans="2:70" ht="15" customHeight="1">
      <c r="B122" s="249" t="s">
        <v>1146</v>
      </c>
      <c r="C122" s="250" t="s">
        <v>53</v>
      </c>
      <c r="D122" s="241">
        <f t="shared" ref="D122:D130" si="52">ROUNDDOWN(K122,-1)</f>
        <v>4830</v>
      </c>
      <c r="E122" s="2002">
        <v>1</v>
      </c>
      <c r="F122" s="524"/>
      <c r="G122" s="242">
        <f t="shared" ref="G122:G123" si="53">+ROUNDDOWN(E122*IF(F122=0,1,F122),2)</f>
        <v>1</v>
      </c>
      <c r="H122" s="241">
        <f t="shared" ref="H122:H130" si="54">INT(D122*G122)</f>
        <v>4830</v>
      </c>
      <c r="I122" s="243">
        <f>+SUM(I118:I119)</f>
        <v>0</v>
      </c>
      <c r="J122" s="244">
        <f t="shared" ref="J122:J130" si="55">INT(I122*H122)</f>
        <v>0</v>
      </c>
      <c r="K122" s="245">
        <v>4833</v>
      </c>
      <c r="L122" s="2000"/>
      <c r="M122" s="2001"/>
      <c r="N122" s="2200"/>
      <c r="O122" s="226" t="b">
        <f t="shared" ref="O122:O149" si="56">I122&lt;&gt;0</f>
        <v>0</v>
      </c>
      <c r="P122" s="1019"/>
      <c r="Q122" s="1019"/>
      <c r="T122" s="225"/>
      <c r="U122" s="225"/>
      <c r="V122" s="225"/>
      <c r="W122" s="149"/>
      <c r="Y122" s="149"/>
      <c r="AA122" s="225"/>
      <c r="AC122" s="149"/>
      <c r="AF122" s="225"/>
      <c r="AH122" s="149"/>
      <c r="AK122" s="225"/>
      <c r="AM122" s="149"/>
      <c r="AO122" s="225"/>
      <c r="AQ122" s="149"/>
      <c r="AS122" s="225"/>
      <c r="AU122" s="149"/>
      <c r="BB122" s="225"/>
      <c r="BD122" s="149"/>
      <c r="BF122" s="225"/>
      <c r="BH122" s="149"/>
      <c r="BK122" s="225"/>
      <c r="BM122" s="149"/>
      <c r="BN122" s="225"/>
      <c r="BO122" s="225"/>
      <c r="BQ122" s="149"/>
      <c r="BR122" s="149"/>
    </row>
    <row r="123" spans="2:70" ht="15" customHeight="1">
      <c r="B123" s="595" t="s">
        <v>1147</v>
      </c>
      <c r="C123" s="499" t="s">
        <v>53</v>
      </c>
      <c r="D123" s="251">
        <f t="shared" si="52"/>
        <v>3780</v>
      </c>
      <c r="E123" s="2010">
        <v>1</v>
      </c>
      <c r="F123" s="525"/>
      <c r="G123" s="689">
        <f t="shared" si="53"/>
        <v>1</v>
      </c>
      <c r="H123" s="251">
        <f t="shared" si="54"/>
        <v>3780</v>
      </c>
      <c r="I123" s="254">
        <f>+SUM(I120:I121)</f>
        <v>0</v>
      </c>
      <c r="J123" s="255">
        <f t="shared" si="55"/>
        <v>0</v>
      </c>
      <c r="K123" s="1436">
        <v>3781</v>
      </c>
      <c r="L123" s="2011"/>
      <c r="M123" s="2007"/>
      <c r="N123" s="2200"/>
      <c r="O123" s="226" t="b">
        <f t="shared" si="56"/>
        <v>0</v>
      </c>
      <c r="P123" s="1019"/>
      <c r="Q123" s="1019"/>
      <c r="T123" s="225"/>
      <c r="U123" s="225"/>
      <c r="V123" s="225"/>
      <c r="W123" s="149"/>
      <c r="Y123" s="149"/>
      <c r="AA123" s="225"/>
      <c r="AC123" s="149"/>
      <c r="AF123" s="225"/>
      <c r="AH123" s="149"/>
      <c r="AK123" s="225"/>
      <c r="AM123" s="149"/>
      <c r="AO123" s="225"/>
      <c r="AQ123" s="149"/>
      <c r="AS123" s="225"/>
      <c r="AU123" s="149"/>
      <c r="BB123" s="225"/>
      <c r="BD123" s="149"/>
      <c r="BF123" s="225"/>
      <c r="BH123" s="149"/>
      <c r="BK123" s="225"/>
      <c r="BM123" s="149"/>
      <c r="BN123" s="225"/>
      <c r="BO123" s="225"/>
      <c r="BQ123" s="149"/>
      <c r="BR123" s="149"/>
    </row>
    <row r="124" spans="2:70" ht="15" customHeight="1">
      <c r="B124" s="258" t="s">
        <v>1004</v>
      </c>
      <c r="C124" s="232"/>
      <c r="D124" s="233"/>
      <c r="E124" s="523"/>
      <c r="F124" s="523"/>
      <c r="G124" s="234"/>
      <c r="H124" s="233"/>
      <c r="I124" s="235"/>
      <c r="J124" s="236"/>
      <c r="K124" s="237"/>
      <c r="L124" s="238"/>
      <c r="M124" s="237"/>
      <c r="N124" s="2200"/>
      <c r="O124" s="226" t="b">
        <f t="shared" si="56"/>
        <v>0</v>
      </c>
      <c r="P124" s="1019"/>
      <c r="Q124" s="1019"/>
      <c r="T124" s="225"/>
      <c r="U124" s="225"/>
      <c r="V124" s="225"/>
      <c r="Y124" s="149"/>
      <c r="AA124" s="225"/>
      <c r="AC124" s="149"/>
      <c r="AF124" s="225"/>
      <c r="AH124" s="149"/>
      <c r="AK124" s="225"/>
      <c r="AM124" s="149"/>
      <c r="AO124" s="225"/>
      <c r="AQ124" s="149"/>
      <c r="AS124" s="225"/>
      <c r="AU124" s="149"/>
      <c r="BB124" s="225"/>
      <c r="BD124" s="149"/>
      <c r="BF124" s="225"/>
      <c r="BH124" s="149"/>
      <c r="BK124" s="225"/>
      <c r="BM124" s="149"/>
      <c r="BN124" s="225"/>
      <c r="BO124" s="225"/>
      <c r="BQ124" s="149"/>
      <c r="BR124" s="149"/>
    </row>
    <row r="125" spans="2:70" ht="15" customHeight="1">
      <c r="B125" s="260" t="s">
        <v>504</v>
      </c>
      <c r="C125" s="261"/>
      <c r="D125" s="241"/>
      <c r="E125" s="524"/>
      <c r="F125" s="524"/>
      <c r="G125" s="242"/>
      <c r="H125" s="241"/>
      <c r="I125" s="243"/>
      <c r="J125" s="244"/>
      <c r="K125" s="245"/>
      <c r="L125" s="262"/>
      <c r="M125" s="245"/>
      <c r="N125" s="2200"/>
      <c r="O125" s="226" t="b">
        <f t="shared" ref="O125" si="57">I125&lt;&gt;0</f>
        <v>0</v>
      </c>
      <c r="P125" s="1019"/>
      <c r="Q125" s="1019"/>
    </row>
    <row r="126" spans="2:70" ht="15" customHeight="1">
      <c r="B126" s="260" t="s">
        <v>1048</v>
      </c>
      <c r="C126" s="250"/>
      <c r="D126" s="241">
        <f t="shared" si="52"/>
        <v>381700</v>
      </c>
      <c r="E126" s="2002">
        <v>1</v>
      </c>
      <c r="F126" s="524"/>
      <c r="G126" s="242">
        <f t="shared" ref="G126:G132" si="58">+ROUNDDOWN(E126*IF(F126=0,1,F126),2)</f>
        <v>1</v>
      </c>
      <c r="H126" s="241">
        <f t="shared" si="54"/>
        <v>381700</v>
      </c>
      <c r="I126" s="492">
        <f>SUMIF(建具の明細!E$5:E$48,建具!B126,建具の明細!J$5:J$48)</f>
        <v>0</v>
      </c>
      <c r="J126" s="244">
        <f t="shared" si="55"/>
        <v>0</v>
      </c>
      <c r="K126" s="245">
        <v>381700</v>
      </c>
      <c r="L126" s="2000"/>
      <c r="M126" s="2001"/>
      <c r="N126" s="2200"/>
      <c r="O126" s="226" t="b">
        <f t="shared" si="56"/>
        <v>0</v>
      </c>
      <c r="P126" s="1019"/>
      <c r="Q126" s="1019"/>
      <c r="R126" s="996"/>
      <c r="T126" s="225"/>
      <c r="U126"/>
      <c r="V126"/>
      <c r="W126" s="501"/>
      <c r="Y126" s="149"/>
      <c r="AA126" s="225"/>
      <c r="AC126" s="149"/>
      <c r="AF126" s="225"/>
      <c r="AH126" s="149"/>
      <c r="AK126" s="225"/>
      <c r="AM126" s="149"/>
      <c r="AO126" s="225"/>
      <c r="AQ126" s="149"/>
      <c r="AS126" s="225"/>
      <c r="AU126" s="149"/>
      <c r="BB126" s="225"/>
      <c r="BD126" s="149"/>
      <c r="BF126" s="225"/>
      <c r="BH126" s="149"/>
      <c r="BK126" s="225"/>
      <c r="BM126" s="149"/>
      <c r="BN126" s="225"/>
      <c r="BO126" s="225"/>
      <c r="BQ126" s="149"/>
      <c r="BR126" s="149"/>
    </row>
    <row r="127" spans="2:70" ht="15" customHeight="1">
      <c r="B127" s="260" t="s">
        <v>1049</v>
      </c>
      <c r="C127" s="250"/>
      <c r="D127" s="241">
        <f t="shared" si="52"/>
        <v>325700</v>
      </c>
      <c r="E127" s="2002">
        <v>1</v>
      </c>
      <c r="F127" s="524"/>
      <c r="G127" s="242">
        <f t="shared" si="58"/>
        <v>1</v>
      </c>
      <c r="H127" s="241">
        <f t="shared" si="54"/>
        <v>325700</v>
      </c>
      <c r="I127" s="492">
        <f>SUMIF(建具の明細!E$5:E$48,建具!B127,建具の明細!J$5:J$48)</f>
        <v>0</v>
      </c>
      <c r="J127" s="244">
        <f t="shared" si="55"/>
        <v>0</v>
      </c>
      <c r="K127" s="245">
        <v>325700</v>
      </c>
      <c r="L127" s="2000"/>
      <c r="M127" s="2001"/>
      <c r="N127" s="2200"/>
      <c r="O127" s="226" t="b">
        <f t="shared" si="56"/>
        <v>0</v>
      </c>
      <c r="P127" s="1019"/>
      <c r="Q127" s="1019"/>
      <c r="R127" s="996"/>
      <c r="T127" s="225"/>
      <c r="U127"/>
      <c r="V127"/>
      <c r="W127" s="501"/>
      <c r="Y127" s="149"/>
      <c r="AA127" s="225"/>
      <c r="AC127" s="149"/>
      <c r="AF127" s="225"/>
      <c r="AH127" s="149"/>
      <c r="AK127" s="225"/>
      <c r="AM127" s="149"/>
      <c r="AO127" s="225"/>
      <c r="AQ127" s="149"/>
      <c r="AS127" s="225"/>
      <c r="AU127" s="149"/>
      <c r="BB127" s="225"/>
      <c r="BD127" s="149"/>
      <c r="BF127" s="225"/>
      <c r="BH127" s="149"/>
      <c r="BK127" s="225"/>
      <c r="BM127" s="149"/>
      <c r="BN127" s="225"/>
      <c r="BO127" s="225"/>
      <c r="BQ127" s="149"/>
      <c r="BR127" s="149"/>
    </row>
    <row r="128" spans="2:70" ht="15" customHeight="1">
      <c r="B128" s="260" t="s">
        <v>1104</v>
      </c>
      <c r="C128" s="250"/>
      <c r="D128" s="241">
        <f t="shared" si="52"/>
        <v>85000</v>
      </c>
      <c r="E128" s="2002">
        <v>1</v>
      </c>
      <c r="F128" s="524"/>
      <c r="G128" s="242">
        <f t="shared" si="58"/>
        <v>1</v>
      </c>
      <c r="H128" s="241">
        <f t="shared" si="54"/>
        <v>85000</v>
      </c>
      <c r="I128" s="492">
        <f>SUMIF(建具の明細!E$5:E$48,建具!B128,建具の明細!J$5:J$48)</f>
        <v>0</v>
      </c>
      <c r="J128" s="244">
        <f t="shared" si="55"/>
        <v>0</v>
      </c>
      <c r="K128" s="245">
        <v>85008</v>
      </c>
      <c r="L128" s="2000"/>
      <c r="M128" s="2001"/>
      <c r="N128" s="2200"/>
      <c r="O128" s="226" t="b">
        <f t="shared" si="56"/>
        <v>0</v>
      </c>
      <c r="P128" s="1019"/>
      <c r="Q128" s="1019"/>
      <c r="R128" s="996"/>
      <c r="T128" s="225"/>
      <c r="U128"/>
      <c r="V128"/>
      <c r="W128" s="501"/>
      <c r="Y128" s="149"/>
      <c r="AA128" s="225"/>
      <c r="AC128" s="149"/>
      <c r="AF128" s="225"/>
      <c r="AH128" s="149"/>
      <c r="AK128" s="225"/>
      <c r="AM128" s="149"/>
      <c r="AO128" s="225"/>
      <c r="AQ128" s="149"/>
      <c r="AS128" s="225"/>
      <c r="AU128" s="149"/>
      <c r="BB128" s="225"/>
      <c r="BD128" s="149"/>
      <c r="BF128" s="225"/>
      <c r="BH128" s="149"/>
      <c r="BK128" s="225"/>
      <c r="BM128" s="149"/>
      <c r="BN128" s="225"/>
      <c r="BO128" s="225"/>
      <c r="BQ128" s="149"/>
      <c r="BR128" s="149"/>
    </row>
    <row r="129" spans="2:70" ht="15" customHeight="1">
      <c r="B129" s="260" t="s">
        <v>1105</v>
      </c>
      <c r="C129" s="250"/>
      <c r="D129" s="241">
        <f t="shared" si="52"/>
        <v>178570</v>
      </c>
      <c r="E129" s="2002">
        <v>1</v>
      </c>
      <c r="F129" s="524"/>
      <c r="G129" s="242">
        <f t="shared" si="58"/>
        <v>1</v>
      </c>
      <c r="H129" s="241">
        <f t="shared" si="54"/>
        <v>178570</v>
      </c>
      <c r="I129" s="492">
        <f>SUMIF(建具の明細!E$5:E$48,建具!B129,建具の明細!J$5:J$48)</f>
        <v>0</v>
      </c>
      <c r="J129" s="244">
        <f t="shared" si="55"/>
        <v>0</v>
      </c>
      <c r="K129" s="245">
        <v>178577</v>
      </c>
      <c r="L129" s="2000"/>
      <c r="M129" s="2001"/>
      <c r="N129" s="2200"/>
      <c r="O129" s="226" t="b">
        <f t="shared" si="56"/>
        <v>0</v>
      </c>
      <c r="P129" s="1019"/>
      <c r="Q129" s="1019"/>
      <c r="R129" s="996"/>
      <c r="T129" s="225"/>
      <c r="U129"/>
      <c r="V129"/>
      <c r="W129" s="501"/>
      <c r="Y129" s="149"/>
      <c r="AA129" s="225"/>
      <c r="AC129" s="149"/>
      <c r="AF129" s="225"/>
      <c r="AH129" s="149"/>
      <c r="AK129" s="225"/>
      <c r="AM129" s="149"/>
      <c r="AO129" s="225"/>
      <c r="AQ129" s="149"/>
      <c r="AS129" s="225"/>
      <c r="AU129" s="149"/>
      <c r="BB129" s="225"/>
      <c r="BD129" s="149"/>
      <c r="BF129" s="225"/>
      <c r="BH129" s="149"/>
      <c r="BK129" s="225"/>
      <c r="BM129" s="149"/>
      <c r="BN129" s="225"/>
      <c r="BO129" s="225"/>
      <c r="BQ129" s="149"/>
      <c r="BR129" s="149"/>
    </row>
    <row r="130" spans="2:70" ht="15" customHeight="1">
      <c r="B130" s="260" t="s">
        <v>1106</v>
      </c>
      <c r="C130" s="250"/>
      <c r="D130" s="241">
        <f t="shared" si="52"/>
        <v>214190</v>
      </c>
      <c r="E130" s="2002">
        <v>1</v>
      </c>
      <c r="F130" s="524"/>
      <c r="G130" s="242">
        <f t="shared" si="58"/>
        <v>1</v>
      </c>
      <c r="H130" s="241">
        <f t="shared" si="54"/>
        <v>214190</v>
      </c>
      <c r="I130" s="492">
        <f>SUMIF(建具の明細!E$5:E$48,建具!B130,建具の明細!J$5:J$48)</f>
        <v>0</v>
      </c>
      <c r="J130" s="244">
        <f t="shared" si="55"/>
        <v>0</v>
      </c>
      <c r="K130" s="245">
        <v>214193</v>
      </c>
      <c r="L130" s="2000"/>
      <c r="M130" s="2001"/>
      <c r="N130" s="2200"/>
      <c r="O130" s="226" t="b">
        <f t="shared" si="56"/>
        <v>0</v>
      </c>
      <c r="P130" s="1019"/>
      <c r="Q130" s="1019"/>
      <c r="R130" s="996"/>
      <c r="T130" s="225"/>
      <c r="U130"/>
      <c r="V130"/>
      <c r="W130" s="501"/>
      <c r="Y130" s="149"/>
      <c r="AA130" s="225"/>
      <c r="AC130" s="149"/>
      <c r="AF130" s="225"/>
      <c r="AH130" s="149"/>
      <c r="AK130" s="225"/>
      <c r="AM130" s="149"/>
      <c r="AO130" s="225"/>
      <c r="AQ130" s="149"/>
      <c r="AS130" s="225"/>
      <c r="AU130" s="149"/>
      <c r="BB130" s="225"/>
      <c r="BD130" s="149"/>
      <c r="BF130" s="225"/>
      <c r="BH130" s="149"/>
      <c r="BK130" s="225"/>
      <c r="BM130" s="149"/>
      <c r="BN130" s="225"/>
      <c r="BO130" s="225"/>
      <c r="BQ130" s="149"/>
      <c r="BR130" s="149"/>
    </row>
    <row r="131" spans="2:70" ht="15" customHeight="1">
      <c r="B131" s="2012" t="s">
        <v>1005</v>
      </c>
      <c r="C131" s="250"/>
      <c r="D131" s="241">
        <f t="shared" ref="D131:D132" si="59">ROUNDDOWN(K131,-1)</f>
        <v>0</v>
      </c>
      <c r="E131" s="2002">
        <v>1</v>
      </c>
      <c r="F131" s="524"/>
      <c r="G131" s="242">
        <f t="shared" si="58"/>
        <v>1</v>
      </c>
      <c r="H131" s="241">
        <f t="shared" ref="H131:H132" si="60">INT(D131*G131)</f>
        <v>0</v>
      </c>
      <c r="I131" s="492">
        <f>SUMIF(建具の明細!E$5:E$48,建具!B131,建具の明細!J$5:J$48)</f>
        <v>0</v>
      </c>
      <c r="J131" s="244">
        <f t="shared" ref="J131:J132" si="61">INT(I131*H131)</f>
        <v>0</v>
      </c>
      <c r="K131" s="2001"/>
      <c r="L131" s="2000"/>
      <c r="M131" s="2001"/>
      <c r="N131" s="2200"/>
      <c r="O131" s="226" t="b">
        <f t="shared" ref="O131:O132" si="62">I131&lt;&gt;0</f>
        <v>0</v>
      </c>
      <c r="P131" s="1019"/>
      <c r="Q131" s="1019"/>
      <c r="R131" s="996"/>
      <c r="T131" s="225"/>
      <c r="U131"/>
      <c r="V131"/>
      <c r="W131" s="501"/>
      <c r="Y131" s="149"/>
      <c r="AA131" s="225"/>
      <c r="AC131" s="149"/>
      <c r="AF131" s="225"/>
      <c r="AH131" s="149"/>
      <c r="AK131" s="225"/>
      <c r="AM131" s="149"/>
      <c r="AO131" s="225"/>
      <c r="AQ131" s="149"/>
      <c r="AS131" s="225"/>
      <c r="AU131" s="149"/>
      <c r="BB131" s="225"/>
      <c r="BD131" s="149"/>
      <c r="BF131" s="225"/>
      <c r="BH131" s="149"/>
      <c r="BK131" s="225"/>
      <c r="BM131" s="149"/>
      <c r="BN131" s="225"/>
      <c r="BO131" s="225"/>
      <c r="BQ131" s="149"/>
      <c r="BR131" s="149"/>
    </row>
    <row r="132" spans="2:70" ht="15" customHeight="1">
      <c r="B132" s="2013" t="s">
        <v>1006</v>
      </c>
      <c r="C132" s="500"/>
      <c r="D132" s="256">
        <f t="shared" si="59"/>
        <v>0</v>
      </c>
      <c r="E132" s="2014">
        <v>1</v>
      </c>
      <c r="F132" s="526"/>
      <c r="G132" s="690">
        <f t="shared" si="58"/>
        <v>1</v>
      </c>
      <c r="H132" s="256">
        <f t="shared" si="60"/>
        <v>0</v>
      </c>
      <c r="I132" s="532">
        <f>SUMIF(建具の明細!E$5:E$48,建具!B132,建具の明細!J$5:J$48)</f>
        <v>0</v>
      </c>
      <c r="J132" s="257">
        <f t="shared" si="61"/>
        <v>0</v>
      </c>
      <c r="K132" s="2009"/>
      <c r="L132" s="2008"/>
      <c r="M132" s="2009"/>
      <c r="N132" s="2200"/>
      <c r="O132" s="226" t="b">
        <f t="shared" si="62"/>
        <v>0</v>
      </c>
      <c r="P132" s="1019"/>
      <c r="Q132" s="1019"/>
      <c r="R132" s="996"/>
      <c r="T132" s="225"/>
      <c r="U132"/>
      <c r="V132"/>
      <c r="W132" s="501"/>
      <c r="Y132" s="149"/>
      <c r="AA132" s="225"/>
      <c r="AC132" s="149"/>
      <c r="AF132" s="225"/>
      <c r="AH132" s="149"/>
      <c r="AK132" s="225"/>
      <c r="AM132" s="149"/>
      <c r="AO132" s="225"/>
      <c r="AQ132" s="149"/>
      <c r="AS132" s="225"/>
      <c r="AU132" s="149"/>
      <c r="BB132" s="225"/>
      <c r="BD132" s="149"/>
      <c r="BF132" s="225"/>
      <c r="BH132" s="149"/>
      <c r="BK132" s="225"/>
      <c r="BM132" s="149"/>
      <c r="BN132" s="225"/>
      <c r="BO132" s="225"/>
      <c r="BQ132" s="149"/>
      <c r="BR132" s="149"/>
    </row>
    <row r="133" spans="2:70" ht="15" customHeight="1">
      <c r="B133" s="258" t="s">
        <v>54</v>
      </c>
      <c r="C133" s="259"/>
      <c r="D133" s="233"/>
      <c r="E133" s="523"/>
      <c r="F133" s="523"/>
      <c r="G133" s="234"/>
      <c r="H133" s="233"/>
      <c r="I133" s="235"/>
      <c r="J133" s="236"/>
      <c r="K133" s="237"/>
      <c r="L133" s="238"/>
      <c r="M133" s="237"/>
      <c r="N133" s="2200"/>
      <c r="O133" s="226" t="b">
        <f t="shared" si="56"/>
        <v>0</v>
      </c>
      <c r="P133" s="1019"/>
      <c r="Q133" s="1019"/>
    </row>
    <row r="134" spans="2:70" ht="15" customHeight="1">
      <c r="B134" s="263" t="s">
        <v>504</v>
      </c>
      <c r="C134" s="261"/>
      <c r="D134" s="264"/>
      <c r="E134" s="527"/>
      <c r="F134" s="527"/>
      <c r="G134" s="242"/>
      <c r="H134" s="241"/>
      <c r="I134" s="243"/>
      <c r="J134" s="244"/>
      <c r="K134" s="265"/>
      <c r="L134" s="262"/>
      <c r="M134" s="245"/>
      <c r="N134" s="2200"/>
      <c r="O134" s="226" t="b">
        <f t="shared" si="56"/>
        <v>0</v>
      </c>
      <c r="P134" s="1019"/>
      <c r="Q134" s="1019"/>
    </row>
    <row r="135" spans="2:70" ht="15" customHeight="1">
      <c r="B135" s="249" t="s">
        <v>5319</v>
      </c>
      <c r="C135" s="250" t="s">
        <v>55</v>
      </c>
      <c r="D135" s="241">
        <f t="shared" ref="D135:D149" si="63">ROUNDDOWN(K135,-1)</f>
        <v>15200</v>
      </c>
      <c r="E135" s="2002">
        <v>1</v>
      </c>
      <c r="F135" s="691" t="s">
        <v>1052</v>
      </c>
      <c r="G135" s="242">
        <f>+E135</f>
        <v>1</v>
      </c>
      <c r="H135" s="241">
        <f t="shared" ref="H135:H149" si="64">INT(D135*G135)</f>
        <v>15200</v>
      </c>
      <c r="I135" s="243">
        <f>SUMIF(建具の明細!C$5:C$48,建具!B135,建具の明細!K$5:K$48)</f>
        <v>0</v>
      </c>
      <c r="J135" s="244">
        <f t="shared" ref="J135:J149" si="65">INT(I135*H135)</f>
        <v>0</v>
      </c>
      <c r="K135" s="245">
        <v>15200</v>
      </c>
      <c r="L135" s="2000"/>
      <c r="M135" s="2001"/>
      <c r="N135" s="2200"/>
      <c r="O135" s="226" t="b">
        <f t="shared" si="56"/>
        <v>0</v>
      </c>
      <c r="P135" s="1019"/>
      <c r="Q135" s="1019"/>
    </row>
    <row r="136" spans="2:70" ht="15" customHeight="1">
      <c r="B136" s="249" t="s">
        <v>5320</v>
      </c>
      <c r="C136" s="250" t="s">
        <v>55</v>
      </c>
      <c r="D136" s="241">
        <f t="shared" si="63"/>
        <v>10300</v>
      </c>
      <c r="E136" s="2002">
        <v>1</v>
      </c>
      <c r="F136" s="691" t="s">
        <v>1051</v>
      </c>
      <c r="G136" s="242">
        <f t="shared" ref="G136:G149" si="66">+E136</f>
        <v>1</v>
      </c>
      <c r="H136" s="241">
        <f t="shared" si="64"/>
        <v>10300</v>
      </c>
      <c r="I136" s="243">
        <f>SUMIF(建具の明細!C$5:C$48,建具!B136,建具の明細!K$5:K$48)</f>
        <v>0</v>
      </c>
      <c r="J136" s="244">
        <f t="shared" si="65"/>
        <v>0</v>
      </c>
      <c r="K136" s="245">
        <v>10300</v>
      </c>
      <c r="L136" s="2000"/>
      <c r="M136" s="2001"/>
      <c r="N136" s="2200"/>
      <c r="O136" s="226" t="b">
        <f t="shared" si="56"/>
        <v>0</v>
      </c>
      <c r="P136" s="1019"/>
      <c r="Q136" s="1019"/>
    </row>
    <row r="137" spans="2:70" ht="15" customHeight="1">
      <c r="B137" s="249" t="s">
        <v>5321</v>
      </c>
      <c r="C137" s="250" t="s">
        <v>55</v>
      </c>
      <c r="D137" s="241">
        <f t="shared" si="63"/>
        <v>5150</v>
      </c>
      <c r="E137" s="2002">
        <v>1</v>
      </c>
      <c r="F137" s="691" t="s">
        <v>1051</v>
      </c>
      <c r="G137" s="242">
        <f t="shared" si="66"/>
        <v>1</v>
      </c>
      <c r="H137" s="241">
        <f t="shared" si="64"/>
        <v>5150</v>
      </c>
      <c r="I137" s="243">
        <f>SUMIF(建具の明細!C$5:C$48,建具!B137,建具の明細!K$5:K$48)</f>
        <v>0</v>
      </c>
      <c r="J137" s="244">
        <f t="shared" si="65"/>
        <v>0</v>
      </c>
      <c r="K137" s="245">
        <v>5150</v>
      </c>
      <c r="L137" s="2000"/>
      <c r="M137" s="2001"/>
      <c r="N137" s="2200"/>
      <c r="O137" s="226" t="b">
        <f t="shared" si="56"/>
        <v>0</v>
      </c>
      <c r="P137" s="1019"/>
      <c r="Q137" s="1019"/>
    </row>
    <row r="138" spans="2:70" ht="15" customHeight="1">
      <c r="B138" s="249" t="s">
        <v>5322</v>
      </c>
      <c r="C138" s="250" t="s">
        <v>124</v>
      </c>
      <c r="D138" s="241">
        <f t="shared" si="63"/>
        <v>4150</v>
      </c>
      <c r="E138" s="2002">
        <v>1</v>
      </c>
      <c r="F138" s="691" t="s">
        <v>1051</v>
      </c>
      <c r="G138" s="242">
        <f t="shared" si="66"/>
        <v>1</v>
      </c>
      <c r="H138" s="241">
        <f t="shared" si="64"/>
        <v>4150</v>
      </c>
      <c r="I138" s="243">
        <f>SUMIF(建具の明細!C$5:C$48,建具!B138,建具の明細!K$5:K$48)</f>
        <v>0</v>
      </c>
      <c r="J138" s="244">
        <f t="shared" si="65"/>
        <v>0</v>
      </c>
      <c r="K138" s="245">
        <v>4150</v>
      </c>
      <c r="L138" s="2000"/>
      <c r="M138" s="2001"/>
      <c r="N138" s="2200"/>
      <c r="O138" s="226" t="b">
        <f t="shared" si="56"/>
        <v>0</v>
      </c>
      <c r="P138" s="1019"/>
      <c r="Q138" s="1019"/>
    </row>
    <row r="139" spans="2:70" ht="15" customHeight="1">
      <c r="B139" s="249" t="s">
        <v>5323</v>
      </c>
      <c r="C139" s="250" t="s">
        <v>740</v>
      </c>
      <c r="D139" s="241">
        <f t="shared" si="63"/>
        <v>2130</v>
      </c>
      <c r="E139" s="2002">
        <v>1</v>
      </c>
      <c r="F139" s="691" t="s">
        <v>1051</v>
      </c>
      <c r="G139" s="242">
        <f t="shared" si="66"/>
        <v>1</v>
      </c>
      <c r="H139" s="241">
        <f t="shared" si="64"/>
        <v>2130</v>
      </c>
      <c r="I139" s="243">
        <f>SUMIF(建具の明細!C$5:C$48,建具!B139,建具の明細!K$5:K$48)</f>
        <v>0</v>
      </c>
      <c r="J139" s="244">
        <f t="shared" si="65"/>
        <v>0</v>
      </c>
      <c r="K139" s="245">
        <v>2130</v>
      </c>
      <c r="L139" s="2000"/>
      <c r="M139" s="2001"/>
      <c r="N139" s="2200"/>
      <c r="O139" s="226" t="b">
        <f t="shared" si="56"/>
        <v>0</v>
      </c>
      <c r="P139" s="1019"/>
      <c r="Q139" s="1019"/>
    </row>
    <row r="140" spans="2:70" ht="15" customHeight="1">
      <c r="B140" s="249" t="s">
        <v>1057</v>
      </c>
      <c r="C140" s="250" t="s">
        <v>56</v>
      </c>
      <c r="D140" s="241">
        <f t="shared" si="63"/>
        <v>147330</v>
      </c>
      <c r="E140" s="2002">
        <v>1</v>
      </c>
      <c r="F140" s="691" t="s">
        <v>1051</v>
      </c>
      <c r="G140" s="242">
        <f t="shared" si="66"/>
        <v>1</v>
      </c>
      <c r="H140" s="241">
        <f t="shared" si="64"/>
        <v>147330</v>
      </c>
      <c r="I140" s="243">
        <f>SUMIF(建具の明細!C$5:C$48,建具!B140,建具の明細!K$5:K$48)</f>
        <v>0</v>
      </c>
      <c r="J140" s="244">
        <f t="shared" si="65"/>
        <v>0</v>
      </c>
      <c r="K140" s="245">
        <v>147334</v>
      </c>
      <c r="L140" s="2000"/>
      <c r="M140" s="2001"/>
      <c r="N140" s="2200"/>
      <c r="O140" s="226" t="b">
        <f t="shared" si="56"/>
        <v>0</v>
      </c>
      <c r="P140" s="1019"/>
      <c r="Q140" s="1019"/>
    </row>
    <row r="141" spans="2:70" ht="15" customHeight="1">
      <c r="B141" s="249" t="s">
        <v>1058</v>
      </c>
      <c r="C141" s="250" t="s">
        <v>56</v>
      </c>
      <c r="D141" s="241">
        <f t="shared" si="63"/>
        <v>930950</v>
      </c>
      <c r="E141" s="2002">
        <v>1</v>
      </c>
      <c r="F141" s="691" t="s">
        <v>1051</v>
      </c>
      <c r="G141" s="242">
        <f t="shared" si="66"/>
        <v>1</v>
      </c>
      <c r="H141" s="241">
        <f t="shared" si="64"/>
        <v>930950</v>
      </c>
      <c r="I141" s="243">
        <f>SUMIF(建具の明細!C$5:C$48,建具!B141,建具の明細!K$5:K$48)</f>
        <v>0</v>
      </c>
      <c r="J141" s="244">
        <f t="shared" si="65"/>
        <v>0</v>
      </c>
      <c r="K141" s="245">
        <v>930953</v>
      </c>
      <c r="L141" s="2000"/>
      <c r="M141" s="2001"/>
      <c r="N141" s="2200"/>
      <c r="O141" s="226" t="b">
        <f t="shared" si="56"/>
        <v>0</v>
      </c>
      <c r="P141" s="1019"/>
      <c r="Q141" s="1019"/>
    </row>
    <row r="142" spans="2:70" ht="15" customHeight="1">
      <c r="B142" s="249" t="s">
        <v>1059</v>
      </c>
      <c r="C142" s="250" t="s">
        <v>56</v>
      </c>
      <c r="D142" s="241">
        <f t="shared" si="63"/>
        <v>630970</v>
      </c>
      <c r="E142" s="2002">
        <v>1</v>
      </c>
      <c r="F142" s="691" t="s">
        <v>1051</v>
      </c>
      <c r="G142" s="242">
        <f t="shared" si="66"/>
        <v>1</v>
      </c>
      <c r="H142" s="241">
        <f t="shared" si="64"/>
        <v>630970</v>
      </c>
      <c r="I142" s="243">
        <f>SUMIF(建具の明細!C$5:C$48,建具!B142,建具の明細!K$5:K$48)</f>
        <v>0</v>
      </c>
      <c r="J142" s="244">
        <f t="shared" si="65"/>
        <v>0</v>
      </c>
      <c r="K142" s="245">
        <v>630975</v>
      </c>
      <c r="L142" s="2000"/>
      <c r="M142" s="2001"/>
      <c r="N142" s="2200"/>
      <c r="O142" s="226" t="b">
        <f t="shared" si="56"/>
        <v>0</v>
      </c>
      <c r="P142" s="1019"/>
      <c r="Q142" s="1019"/>
    </row>
    <row r="143" spans="2:70" ht="15" customHeight="1">
      <c r="B143" s="249" t="s">
        <v>1060</v>
      </c>
      <c r="C143" s="250" t="s">
        <v>56</v>
      </c>
      <c r="D143" s="241">
        <f t="shared" si="63"/>
        <v>464870</v>
      </c>
      <c r="E143" s="2002">
        <v>1</v>
      </c>
      <c r="F143" s="691" t="s">
        <v>1051</v>
      </c>
      <c r="G143" s="242">
        <f t="shared" si="66"/>
        <v>1</v>
      </c>
      <c r="H143" s="241">
        <f t="shared" si="64"/>
        <v>464870</v>
      </c>
      <c r="I143" s="243">
        <f>SUMIF(建具の明細!C$5:C$48,建具!B143,建具の明細!K$5:K$48)</f>
        <v>0</v>
      </c>
      <c r="J143" s="244">
        <f t="shared" si="65"/>
        <v>0</v>
      </c>
      <c r="K143" s="245">
        <v>464875</v>
      </c>
      <c r="L143" s="2000"/>
      <c r="M143" s="2001"/>
      <c r="N143" s="2200"/>
      <c r="O143" s="226" t="b">
        <f t="shared" si="56"/>
        <v>0</v>
      </c>
      <c r="P143" s="1019"/>
      <c r="Q143" s="1019"/>
    </row>
    <row r="144" spans="2:70" ht="15" customHeight="1">
      <c r="B144" s="2003" t="s">
        <v>57</v>
      </c>
      <c r="C144" s="250" t="s">
        <v>35</v>
      </c>
      <c r="D144" s="241">
        <f t="shared" ref="D144" si="67">ROUNDDOWN(K144,-1)</f>
        <v>0</v>
      </c>
      <c r="E144" s="2002">
        <v>1</v>
      </c>
      <c r="F144" s="691" t="s">
        <v>1051</v>
      </c>
      <c r="G144" s="242">
        <f t="shared" si="66"/>
        <v>1</v>
      </c>
      <c r="H144" s="241">
        <f t="shared" ref="H144" si="68">INT(D144*G144)</f>
        <v>0</v>
      </c>
      <c r="I144" s="243">
        <f>SUMIF(建具の明細!C$5:C$48,建具!B144,建具の明細!K$5:K$48)</f>
        <v>0</v>
      </c>
      <c r="J144" s="244">
        <f t="shared" ref="J144" si="69">INT(I144*H144)</f>
        <v>0</v>
      </c>
      <c r="K144" s="2001"/>
      <c r="L144" s="2000"/>
      <c r="M144" s="2001"/>
      <c r="N144" s="2200"/>
      <c r="O144" s="226" t="b">
        <f t="shared" ref="O144" si="70">I144&lt;&gt;0</f>
        <v>0</v>
      </c>
      <c r="P144" s="1019"/>
      <c r="Q144" s="1019"/>
    </row>
    <row r="145" spans="2:17" ht="15" customHeight="1">
      <c r="B145" s="2003" t="s">
        <v>58</v>
      </c>
      <c r="C145" s="250" t="s">
        <v>35</v>
      </c>
      <c r="D145" s="241">
        <f t="shared" ref="D145:D147" si="71">ROUNDDOWN(K145,-1)</f>
        <v>0</v>
      </c>
      <c r="E145" s="2002">
        <v>1</v>
      </c>
      <c r="F145" s="691" t="s">
        <v>1051</v>
      </c>
      <c r="G145" s="242">
        <f t="shared" si="66"/>
        <v>1</v>
      </c>
      <c r="H145" s="241">
        <f t="shared" ref="H145:H147" si="72">INT(D145*G145)</f>
        <v>0</v>
      </c>
      <c r="I145" s="243">
        <f>SUMIF(建具の明細!C$5:C$48,建具!B145,建具の明細!K$5:K$48)</f>
        <v>0</v>
      </c>
      <c r="J145" s="244">
        <f t="shared" ref="J145:J147" si="73">INT(I145*H145)</f>
        <v>0</v>
      </c>
      <c r="K145" s="2001"/>
      <c r="L145" s="2000"/>
      <c r="M145" s="2001"/>
      <c r="N145" s="2200"/>
      <c r="O145" s="226" t="b">
        <f t="shared" ref="O145:O147" si="74">I145&lt;&gt;0</f>
        <v>0</v>
      </c>
      <c r="P145" s="1019"/>
      <c r="Q145" s="1019"/>
    </row>
    <row r="146" spans="2:17" ht="15" customHeight="1">
      <c r="B146" s="2003" t="s">
        <v>1056</v>
      </c>
      <c r="C146" s="250" t="s">
        <v>35</v>
      </c>
      <c r="D146" s="241">
        <f t="shared" si="71"/>
        <v>0</v>
      </c>
      <c r="E146" s="2002">
        <v>1</v>
      </c>
      <c r="F146" s="691" t="s">
        <v>1051</v>
      </c>
      <c r="G146" s="242">
        <f t="shared" si="66"/>
        <v>1</v>
      </c>
      <c r="H146" s="241">
        <f t="shared" si="72"/>
        <v>0</v>
      </c>
      <c r="I146" s="243">
        <f>SUMIF(建具の明細!C$5:C$48,建具!B146,建具の明細!K$5:K$48)</f>
        <v>0</v>
      </c>
      <c r="J146" s="244">
        <f t="shared" si="73"/>
        <v>0</v>
      </c>
      <c r="K146" s="2001"/>
      <c r="L146" s="2000"/>
      <c r="M146" s="2001"/>
      <c r="N146" s="2200"/>
      <c r="O146" s="226" t="b">
        <f t="shared" si="74"/>
        <v>0</v>
      </c>
      <c r="P146" s="1019"/>
      <c r="Q146" s="1019"/>
    </row>
    <row r="147" spans="2:17" ht="15" customHeight="1">
      <c r="B147" s="2003" t="s">
        <v>1055</v>
      </c>
      <c r="C147" s="250" t="s">
        <v>35</v>
      </c>
      <c r="D147" s="241">
        <f t="shared" si="71"/>
        <v>0</v>
      </c>
      <c r="E147" s="2002">
        <v>1</v>
      </c>
      <c r="F147" s="691" t="s">
        <v>1051</v>
      </c>
      <c r="G147" s="242">
        <f t="shared" si="66"/>
        <v>1</v>
      </c>
      <c r="H147" s="241">
        <f t="shared" si="72"/>
        <v>0</v>
      </c>
      <c r="I147" s="243">
        <f>SUMIF(建具の明細!C$5:C$48,建具!B147,建具の明細!K$5:K$48)</f>
        <v>0</v>
      </c>
      <c r="J147" s="244">
        <f t="shared" si="73"/>
        <v>0</v>
      </c>
      <c r="K147" s="2001"/>
      <c r="L147" s="2000"/>
      <c r="M147" s="2001"/>
      <c r="N147" s="2200"/>
      <c r="O147" s="226" t="b">
        <f t="shared" si="74"/>
        <v>0</v>
      </c>
      <c r="P147" s="1019"/>
      <c r="Q147" s="1019"/>
    </row>
    <row r="148" spans="2:17" ht="15" customHeight="1">
      <c r="B148" s="2003" t="s">
        <v>1054</v>
      </c>
      <c r="C148" s="250" t="s">
        <v>129</v>
      </c>
      <c r="D148" s="241">
        <f t="shared" si="63"/>
        <v>0</v>
      </c>
      <c r="E148" s="2002">
        <v>1</v>
      </c>
      <c r="F148" s="691" t="s">
        <v>1051</v>
      </c>
      <c r="G148" s="242">
        <f t="shared" si="66"/>
        <v>1</v>
      </c>
      <c r="H148" s="241">
        <f t="shared" si="64"/>
        <v>0</v>
      </c>
      <c r="I148" s="243">
        <f>SUMIF(建具の明細!C$5:C$48,建具!B148,建具の明細!K$5:K$48)</f>
        <v>0</v>
      </c>
      <c r="J148" s="244">
        <f t="shared" si="65"/>
        <v>0</v>
      </c>
      <c r="K148" s="2001"/>
      <c r="L148" s="2000"/>
      <c r="M148" s="2001"/>
      <c r="N148" s="2200"/>
      <c r="O148" s="226" t="b">
        <f t="shared" si="56"/>
        <v>0</v>
      </c>
      <c r="P148" s="1019"/>
      <c r="Q148" s="1019"/>
    </row>
    <row r="149" spans="2:17" ht="15" customHeight="1">
      <c r="B149" s="2003" t="s">
        <v>1053</v>
      </c>
      <c r="C149" s="250" t="s">
        <v>129</v>
      </c>
      <c r="D149" s="241">
        <f t="shared" si="63"/>
        <v>0</v>
      </c>
      <c r="E149" s="2002">
        <v>1</v>
      </c>
      <c r="F149" s="691" t="s">
        <v>1051</v>
      </c>
      <c r="G149" s="242">
        <f t="shared" si="66"/>
        <v>1</v>
      </c>
      <c r="H149" s="241">
        <f t="shared" si="64"/>
        <v>0</v>
      </c>
      <c r="I149" s="243">
        <f>SUMIF(建具の明細!C$5:C$48,建具!B149,建具の明細!K$5:K$48)</f>
        <v>0</v>
      </c>
      <c r="J149" s="244">
        <f t="shared" si="65"/>
        <v>0</v>
      </c>
      <c r="K149" s="2001"/>
      <c r="L149" s="2000"/>
      <c r="M149" s="2001"/>
      <c r="N149" s="2200"/>
      <c r="O149" s="226" t="b">
        <f t="shared" si="56"/>
        <v>0</v>
      </c>
      <c r="P149" s="1019"/>
      <c r="Q149" s="1019"/>
    </row>
    <row r="150" spans="2:17" ht="15" customHeight="1" thickBot="1">
      <c r="B150" s="3172" t="s">
        <v>1102</v>
      </c>
      <c r="C150" s="3173"/>
      <c r="D150" s="3173"/>
      <c r="E150" s="3173"/>
      <c r="F150" s="3173"/>
      <c r="G150" s="3173"/>
      <c r="H150" s="3173"/>
      <c r="I150" s="3174"/>
      <c r="J150" s="1784">
        <f>SUM(J6:J149,M155)</f>
        <v>0</v>
      </c>
      <c r="K150" s="1785"/>
      <c r="L150" s="1786"/>
      <c r="M150" s="1785"/>
      <c r="N150" s="2200"/>
      <c r="O150" s="226" t="b">
        <v>1</v>
      </c>
      <c r="P150" s="1019"/>
      <c r="Q150" s="1019"/>
    </row>
    <row r="151" spans="2:17" ht="15" customHeight="1">
      <c r="H151" s="226" t="s">
        <v>1100</v>
      </c>
      <c r="I151" s="534">
        <f>SUM(I8:I149)-SUM(I118:I121,I126:I132)</f>
        <v>0</v>
      </c>
      <c r="N151" s="2200"/>
      <c r="O151" s="226" t="b">
        <f>J187&lt;&gt;0</f>
        <v>0</v>
      </c>
      <c r="P151" s="1019"/>
      <c r="Q151" s="1019"/>
    </row>
    <row r="152" spans="2:17" ht="15" customHeight="1">
      <c r="I152" s="534"/>
      <c r="N152" s="2200"/>
      <c r="O152" s="226" t="b">
        <f>O154</f>
        <v>0</v>
      </c>
      <c r="P152" s="1019"/>
      <c r="Q152" s="1019"/>
    </row>
    <row r="153" spans="2:17" ht="15" customHeight="1">
      <c r="B153" s="229" t="s">
        <v>5453</v>
      </c>
      <c r="C153" s="868"/>
      <c r="D153" s="869"/>
      <c r="E153" s="869"/>
      <c r="F153" s="869"/>
      <c r="G153" s="870"/>
      <c r="H153" s="870"/>
      <c r="I153" s="871"/>
      <c r="J153" s="869"/>
      <c r="K153" s="869"/>
      <c r="L153" s="869"/>
      <c r="M153" s="869"/>
      <c r="N153" s="2200"/>
      <c r="O153" s="226" t="b">
        <f>O155</f>
        <v>0</v>
      </c>
      <c r="P153" s="1019"/>
      <c r="Q153" s="1019"/>
    </row>
    <row r="154" spans="2:17" ht="15" customHeight="1">
      <c r="B154" s="1787" t="s">
        <v>5452</v>
      </c>
      <c r="C154" s="3150" t="s">
        <v>5449</v>
      </c>
      <c r="D154" s="3151"/>
      <c r="E154" s="3152" t="s">
        <v>5447</v>
      </c>
      <c r="F154" s="3153"/>
      <c r="G154" s="3153"/>
      <c r="H154" s="3153"/>
      <c r="I154" s="3153"/>
      <c r="J154" s="3153"/>
      <c r="K154" s="3152" t="s">
        <v>5450</v>
      </c>
      <c r="L154" s="3153"/>
      <c r="M154" s="1788" t="s">
        <v>5451</v>
      </c>
      <c r="N154" s="2200"/>
      <c r="O154" s="887" t="b">
        <f>M155&lt;&gt;0</f>
        <v>0</v>
      </c>
      <c r="P154" s="1019"/>
      <c r="Q154" s="1019"/>
    </row>
    <row r="155" spans="2:17" ht="15" customHeight="1">
      <c r="B155" s="3199"/>
      <c r="C155" s="3154" t="str">
        <f>IF(B155="","－",VLOOKUP($B$155,住宅建具総合,2))</f>
        <v>－</v>
      </c>
      <c r="D155" s="3154"/>
      <c r="E155" s="3196" t="s">
        <v>5441</v>
      </c>
      <c r="F155" s="894"/>
      <c r="G155" s="895" t="e">
        <f>VLOOKUP($B$155,住宅建具総合,15)</f>
        <v>#N/A</v>
      </c>
      <c r="H155" s="896" t="e">
        <f>VLOOKUP($B$155,住宅建具総合,18)</f>
        <v>#N/A</v>
      </c>
      <c r="I155" s="896" t="e">
        <f>VLOOKUP($B$155,住宅建具総合,21)</f>
        <v>#N/A</v>
      </c>
      <c r="J155" s="897" t="s">
        <v>5442</v>
      </c>
      <c r="K155" s="3159">
        <f>調書!I12</f>
        <v>0</v>
      </c>
      <c r="L155" s="3200" t="s">
        <v>5448</v>
      </c>
      <c r="M155" s="3147">
        <f>IF(C155="－",0,INT(ROUNDDOWN(C155*J162,0)*K155))</f>
        <v>0</v>
      </c>
      <c r="N155" s="2200"/>
      <c r="O155" s="887" t="b">
        <f>O$154</f>
        <v>0</v>
      </c>
      <c r="P155" s="1019"/>
      <c r="Q155" s="1019"/>
    </row>
    <row r="156" spans="2:17" ht="15" customHeight="1">
      <c r="B156" s="3199"/>
      <c r="C156" s="3154"/>
      <c r="D156" s="3154"/>
      <c r="E156" s="3197"/>
      <c r="F156" s="898" t="e">
        <f>HLOOKUP(F155,G155:J157,2,0)</f>
        <v>#N/A</v>
      </c>
      <c r="G156" s="899" t="e">
        <f>VLOOKUP($B$155,住宅建具総合,16)</f>
        <v>#N/A</v>
      </c>
      <c r="H156" s="900" t="e">
        <f>VLOOKUP($B$155,住宅建具総合,19)</f>
        <v>#N/A</v>
      </c>
      <c r="I156" s="900" t="e">
        <f>VLOOKUP($B$155,住宅建具総合,22)</f>
        <v>#N/A</v>
      </c>
      <c r="J156" s="901" t="e">
        <f>ROUNDDOWN(E163/調書!I12,2)</f>
        <v>#DIV/0!</v>
      </c>
      <c r="K156" s="3160"/>
      <c r="L156" s="3201"/>
      <c r="M156" s="3148"/>
      <c r="N156" s="2200"/>
      <c r="O156" s="887" t="b">
        <f t="shared" ref="O156:O163" si="75">O$154</f>
        <v>0</v>
      </c>
      <c r="P156" s="1019"/>
      <c r="Q156" s="1019"/>
    </row>
    <row r="157" spans="2:17" ht="15" customHeight="1">
      <c r="B157" s="3199"/>
      <c r="C157" s="3154"/>
      <c r="D157" s="3154"/>
      <c r="E157" s="3197"/>
      <c r="F157" s="902" t="e">
        <f>HLOOKUP(F155,G155:J157,3,0)</f>
        <v>#N/A</v>
      </c>
      <c r="G157" s="903" t="e">
        <f>VLOOKUP($B$155,住宅建具総合,17)</f>
        <v>#N/A</v>
      </c>
      <c r="H157" s="904" t="e">
        <f>VLOOKUP($B$155,住宅建具総合,20)</f>
        <v>#N/A</v>
      </c>
      <c r="I157" s="904" t="e">
        <f>VLOOKUP($B$155,住宅建具総合,23)</f>
        <v>#N/A</v>
      </c>
      <c r="J157" s="905" t="str">
        <f>IF(E163,ROUNDDOWN(1+(J156-H156)*IF(J156&gt;H156,(G157-H157)/(G156-H156),(H157-I157)/(H156-I156)),2),"-")</f>
        <v>-</v>
      </c>
      <c r="K157" s="3160"/>
      <c r="L157" s="3201"/>
      <c r="M157" s="3148"/>
      <c r="N157" s="2200"/>
      <c r="O157" s="887" t="b">
        <f t="shared" si="75"/>
        <v>0</v>
      </c>
      <c r="P157" s="1019"/>
      <c r="Q157" s="1019"/>
    </row>
    <row r="158" spans="2:17" ht="15" customHeight="1">
      <c r="B158" s="3199"/>
      <c r="C158" s="3154"/>
      <c r="D158" s="3154"/>
      <c r="E158" s="3198" t="s">
        <v>5443</v>
      </c>
      <c r="F158" s="906"/>
      <c r="G158" s="907" t="e">
        <f>VLOOKUP($B$155,住宅建具総合,3)</f>
        <v>#N/A</v>
      </c>
      <c r="H158" s="908" t="e">
        <f>VLOOKUP($B$155,住宅建具総合,5)</f>
        <v>#N/A</v>
      </c>
      <c r="I158" s="909" t="e">
        <f>VLOOKUP($B$155,住宅建具総合,7)</f>
        <v>#N/A</v>
      </c>
      <c r="J158" s="910"/>
      <c r="K158" s="3160"/>
      <c r="L158" s="3201"/>
      <c r="M158" s="3148"/>
      <c r="N158" s="2200"/>
      <c r="O158" s="887" t="b">
        <f t="shared" si="75"/>
        <v>0</v>
      </c>
      <c r="P158" s="1019"/>
      <c r="Q158" s="1019"/>
    </row>
    <row r="159" spans="2:17" ht="15" customHeight="1">
      <c r="B159" s="3199"/>
      <c r="C159" s="3154"/>
      <c r="D159" s="3154"/>
      <c r="E159" s="3197"/>
      <c r="F159" s="911" t="e">
        <f>HLOOKUP(F158,G158:I159,2,0)</f>
        <v>#N/A</v>
      </c>
      <c r="G159" s="912" t="e">
        <f>VLOOKUP($B$155,住宅建具総合,4)</f>
        <v>#N/A</v>
      </c>
      <c r="H159" s="912" t="e">
        <f>VLOOKUP($B$155,住宅建具総合,6)</f>
        <v>#N/A</v>
      </c>
      <c r="I159" s="913" t="e">
        <f>VLOOKUP($B$155,住宅建具総合,8)</f>
        <v>#N/A</v>
      </c>
      <c r="J159" s="914"/>
      <c r="K159" s="3160"/>
      <c r="L159" s="3201"/>
      <c r="M159" s="3148"/>
      <c r="N159" s="2200"/>
      <c r="O159" s="887" t="b">
        <f t="shared" si="75"/>
        <v>0</v>
      </c>
      <c r="P159" s="1019"/>
      <c r="Q159" s="1019"/>
    </row>
    <row r="160" spans="2:17" ht="15" customHeight="1">
      <c r="B160" s="3199"/>
      <c r="C160" s="3154"/>
      <c r="D160" s="3154"/>
      <c r="E160" s="3161" t="s">
        <v>5446</v>
      </c>
      <c r="F160" s="915"/>
      <c r="G160" s="916" t="e">
        <f>VLOOKUP($B$155,住宅建具総合,9)</f>
        <v>#N/A</v>
      </c>
      <c r="H160" s="916" t="e">
        <f>VLOOKUP($B$155,住宅建具総合,11)</f>
        <v>#N/A</v>
      </c>
      <c r="I160" s="916" t="e">
        <f>VLOOKUP($B$155,住宅建具総合,13)</f>
        <v>#N/A</v>
      </c>
      <c r="J160" s="917" t="s">
        <v>5442</v>
      </c>
      <c r="K160" s="3160"/>
      <c r="L160" s="3201"/>
      <c r="M160" s="3148"/>
      <c r="N160" s="2200"/>
      <c r="O160" s="887" t="b">
        <f t="shared" si="75"/>
        <v>0</v>
      </c>
      <c r="P160" s="1019"/>
      <c r="Q160" s="1019"/>
    </row>
    <row r="161" spans="2:17" ht="15" customHeight="1">
      <c r="B161" s="3199"/>
      <c r="C161" s="3154"/>
      <c r="D161" s="3154"/>
      <c r="E161" s="3162"/>
      <c r="F161" s="911">
        <f>IF(B155="集合形式　中",HLOOKUP(F160,G160:J161,2,0),0)</f>
        <v>0</v>
      </c>
      <c r="G161" s="918" t="e">
        <f>VLOOKUP($B$155,住宅建具総合,10)</f>
        <v>#N/A</v>
      </c>
      <c r="H161" s="918" t="e">
        <f>VLOOKUP($B$155,住宅建具総合,12)</f>
        <v>#N/A</v>
      </c>
      <c r="I161" s="918" t="e">
        <f>VLOOKUP($B$155,住宅建具総合,14)</f>
        <v>#N/A</v>
      </c>
      <c r="J161" s="919" t="str">
        <f>IF(B155=DB!B549,ROUNDDOWN(IF(G163&gt;G160,1-(G163-G160)*(G161-H161)/(H160-G160),1-(G160-G163)*(G161-I161)/(G160-I160)),2),"－")</f>
        <v>－</v>
      </c>
      <c r="K161" s="3160"/>
      <c r="L161" s="3201"/>
      <c r="M161" s="3148"/>
      <c r="N161" s="2200"/>
      <c r="O161" s="887" t="b">
        <f t="shared" si="75"/>
        <v>0</v>
      </c>
      <c r="P161" s="1019"/>
      <c r="Q161" s="1019"/>
    </row>
    <row r="162" spans="2:17" ht="15" customHeight="1">
      <c r="B162" s="3199"/>
      <c r="C162" s="3154"/>
      <c r="D162" s="3154"/>
      <c r="E162" s="3163" t="s">
        <v>5445</v>
      </c>
      <c r="F162" s="3164"/>
      <c r="G162" s="3165" t="s">
        <v>5444</v>
      </c>
      <c r="H162" s="3166"/>
      <c r="I162" s="3155" t="s">
        <v>5447</v>
      </c>
      <c r="J162" s="3157" t="e">
        <f>IF(F161&lt;&gt;0,ROUNDDOWN(F157*F159*F161,2),ROUNDDOWN(F157*F159,2))</f>
        <v>#N/A</v>
      </c>
      <c r="K162" s="3160"/>
      <c r="L162" s="3201"/>
      <c r="M162" s="3148"/>
      <c r="N162" s="2200"/>
      <c r="O162" s="887" t="b">
        <f t="shared" si="75"/>
        <v>0</v>
      </c>
      <c r="P162" s="1019"/>
      <c r="Q162" s="1019"/>
    </row>
    <row r="163" spans="2:17" ht="15" customHeight="1">
      <c r="B163" s="3199"/>
      <c r="C163" s="3154"/>
      <c r="D163" s="3154"/>
      <c r="E163" s="3167">
        <f>SUM(I104:I108)</f>
        <v>0</v>
      </c>
      <c r="F163" s="3168"/>
      <c r="G163" s="3169"/>
      <c r="H163" s="3170"/>
      <c r="I163" s="3156"/>
      <c r="J163" s="3158"/>
      <c r="K163" s="3157"/>
      <c r="L163" s="3202"/>
      <c r="M163" s="3149"/>
      <c r="N163" s="2200"/>
      <c r="O163" s="887" t="b">
        <f t="shared" si="75"/>
        <v>0</v>
      </c>
      <c r="P163" s="1019"/>
      <c r="Q163" s="1019"/>
    </row>
    <row r="164" spans="2:17" ht="15" customHeight="1">
      <c r="I164" s="534"/>
      <c r="N164" s="2200"/>
      <c r="O164" s="887" t="b">
        <f>J187&lt;&gt;0</f>
        <v>0</v>
      </c>
      <c r="P164" s="1019"/>
      <c r="Q164" s="1019"/>
    </row>
    <row r="165" spans="2:17" ht="15" customHeight="1">
      <c r="N165" s="2200"/>
      <c r="O165" s="226" t="b">
        <f>J187&lt;&gt;0</f>
        <v>0</v>
      </c>
      <c r="P165" s="1019"/>
      <c r="Q165" s="1019"/>
    </row>
    <row r="166" spans="2:17" ht="15" customHeight="1" thickBot="1">
      <c r="B166" s="229" t="s">
        <v>59</v>
      </c>
      <c r="C166" s="230"/>
      <c r="N166" s="2200"/>
      <c r="O166" s="226" t="b">
        <f>J187&lt;&gt;0</f>
        <v>0</v>
      </c>
      <c r="P166" s="1019"/>
      <c r="Q166" s="1019"/>
    </row>
    <row r="167" spans="2:17" ht="15" customHeight="1">
      <c r="B167" s="1790" t="s">
        <v>60</v>
      </c>
      <c r="C167" s="1791" t="s">
        <v>502</v>
      </c>
      <c r="D167" s="1792" t="s">
        <v>982</v>
      </c>
      <c r="E167" s="1793"/>
      <c r="F167" s="1794"/>
      <c r="G167" s="1792" t="s">
        <v>669</v>
      </c>
      <c r="H167" s="1795" t="s">
        <v>983</v>
      </c>
      <c r="I167" s="1796" t="s">
        <v>991</v>
      </c>
      <c r="J167" s="1797" t="s">
        <v>684</v>
      </c>
      <c r="K167" s="1789" t="s">
        <v>666</v>
      </c>
      <c r="L167" s="1798" t="s">
        <v>984</v>
      </c>
      <c r="M167" s="1799"/>
      <c r="N167" s="2200"/>
      <c r="O167" s="226" t="b">
        <f>J187&lt;&gt;0</f>
        <v>0</v>
      </c>
      <c r="P167" s="1019"/>
      <c r="Q167" s="1019"/>
    </row>
    <row r="168" spans="2:17" ht="15" customHeight="1">
      <c r="B168" s="266" t="s">
        <v>61</v>
      </c>
      <c r="C168" s="267"/>
      <c r="D168" s="688" t="s">
        <v>1248</v>
      </c>
      <c r="E168" s="238"/>
      <c r="F168" s="237"/>
      <c r="G168" s="638"/>
      <c r="H168" s="233"/>
      <c r="I168" s="235"/>
      <c r="J168" s="236"/>
      <c r="K168" s="237"/>
      <c r="L168" s="238"/>
      <c r="M168" s="237"/>
      <c r="N168" s="2200"/>
      <c r="O168" s="226" t="b">
        <f t="shared" ref="O168:O186" si="76">I168&lt;&gt;0</f>
        <v>0</v>
      </c>
      <c r="P168" s="1019"/>
      <c r="Q168" s="1019"/>
    </row>
    <row r="169" spans="2:17" ht="15" customHeight="1">
      <c r="B169" s="268" t="s">
        <v>62</v>
      </c>
      <c r="C169" s="269"/>
      <c r="D169" s="241"/>
      <c r="E169" s="262"/>
      <c r="F169" s="245"/>
      <c r="G169" s="242"/>
      <c r="H169" s="241"/>
      <c r="I169" s="243"/>
      <c r="J169" s="244"/>
      <c r="K169" s="245"/>
      <c r="L169" s="262"/>
      <c r="M169" s="245"/>
      <c r="N169" s="2200"/>
      <c r="O169" s="226" t="b">
        <f t="shared" si="76"/>
        <v>0</v>
      </c>
      <c r="P169" s="1019"/>
      <c r="Q169" s="1019"/>
    </row>
    <row r="170" spans="2:17" ht="15" customHeight="1">
      <c r="B170" s="241" t="s">
        <v>63</v>
      </c>
      <c r="C170" s="270" t="s">
        <v>64</v>
      </c>
      <c r="D170" s="493">
        <f t="shared" ref="D170:D186" si="77">ROUNDDOWN(K170,-1)</f>
        <v>8600</v>
      </c>
      <c r="E170" s="528"/>
      <c r="F170" s="496"/>
      <c r="G170" s="2024">
        <v>1</v>
      </c>
      <c r="H170" s="487">
        <f t="shared" ref="H170:H186" si="78">INT(D170*G170)</f>
        <v>8600</v>
      </c>
      <c r="I170" s="490">
        <f>SUMIF(建具の明細!C$60:C$66,建具!B170,建具の明細!K$60:K$66)</f>
        <v>0</v>
      </c>
      <c r="J170" s="497">
        <f t="shared" ref="J170:J186" si="79">INT(I170*H170)</f>
        <v>0</v>
      </c>
      <c r="K170" s="496">
        <v>8603</v>
      </c>
      <c r="L170" s="2000"/>
      <c r="M170" s="2001"/>
      <c r="N170" s="2200"/>
      <c r="O170" s="226" t="b">
        <f t="shared" si="76"/>
        <v>0</v>
      </c>
      <c r="P170" s="1019"/>
      <c r="Q170" s="1019"/>
    </row>
    <row r="171" spans="2:17" ht="15" customHeight="1">
      <c r="B171" s="241" t="s">
        <v>992</v>
      </c>
      <c r="C171" s="270" t="s">
        <v>65</v>
      </c>
      <c r="D171" s="493">
        <f t="shared" si="77"/>
        <v>10290</v>
      </c>
      <c r="E171" s="528"/>
      <c r="F171" s="496"/>
      <c r="G171" s="2024">
        <v>1</v>
      </c>
      <c r="H171" s="487">
        <f t="shared" si="78"/>
        <v>10290</v>
      </c>
      <c r="I171" s="490">
        <f>SUMIF(建具の明細!C$60:C$66,建具!B171,建具の明細!K$60:K$66)</f>
        <v>0</v>
      </c>
      <c r="J171" s="497">
        <f t="shared" si="79"/>
        <v>0</v>
      </c>
      <c r="K171" s="496">
        <v>10298</v>
      </c>
      <c r="L171" s="2000"/>
      <c r="M171" s="2001"/>
      <c r="N171" s="2200"/>
      <c r="O171" s="226" t="b">
        <f t="shared" si="76"/>
        <v>0</v>
      </c>
      <c r="P171" s="1019"/>
      <c r="Q171" s="1019"/>
    </row>
    <row r="172" spans="2:17" ht="15" customHeight="1">
      <c r="B172" s="241" t="s">
        <v>993</v>
      </c>
      <c r="C172" s="270" t="s">
        <v>65</v>
      </c>
      <c r="D172" s="493">
        <f t="shared" si="77"/>
        <v>27340</v>
      </c>
      <c r="E172" s="528"/>
      <c r="F172" s="496"/>
      <c r="G172" s="2024">
        <v>1</v>
      </c>
      <c r="H172" s="487">
        <f t="shared" si="78"/>
        <v>27340</v>
      </c>
      <c r="I172" s="490">
        <f>SUMIF(建具の明細!C$60:C$66,建具!B172,建具の明細!K$60:K$66)</f>
        <v>0</v>
      </c>
      <c r="J172" s="497">
        <f t="shared" si="79"/>
        <v>0</v>
      </c>
      <c r="K172" s="496">
        <v>27348</v>
      </c>
      <c r="L172" s="2000"/>
      <c r="M172" s="2001"/>
      <c r="N172" s="2200"/>
      <c r="O172" s="226" t="b">
        <f t="shared" si="76"/>
        <v>0</v>
      </c>
      <c r="P172" s="1019"/>
      <c r="Q172" s="1019"/>
    </row>
    <row r="173" spans="2:17" ht="15" customHeight="1">
      <c r="B173" s="241" t="s">
        <v>66</v>
      </c>
      <c r="C173" s="270" t="s">
        <v>65</v>
      </c>
      <c r="D173" s="493">
        <f t="shared" si="77"/>
        <v>51390</v>
      </c>
      <c r="E173" s="528"/>
      <c r="F173" s="496"/>
      <c r="G173" s="2024">
        <v>1</v>
      </c>
      <c r="H173" s="487">
        <f t="shared" si="78"/>
        <v>51390</v>
      </c>
      <c r="I173" s="491">
        <f>SUMIF(建具の明細!C$60:C$66,建具!B173,建具の明細!K$60:K$66)</f>
        <v>0</v>
      </c>
      <c r="J173" s="497">
        <f t="shared" si="79"/>
        <v>0</v>
      </c>
      <c r="K173" s="496">
        <v>51399</v>
      </c>
      <c r="L173" s="2000"/>
      <c r="M173" s="2001"/>
      <c r="N173" s="2200"/>
      <c r="O173" s="226" t="b">
        <f t="shared" si="76"/>
        <v>0</v>
      </c>
      <c r="P173" s="1019"/>
      <c r="Q173" s="1019"/>
    </row>
    <row r="174" spans="2:17" ht="15" customHeight="1">
      <c r="B174" s="241" t="s">
        <v>67</v>
      </c>
      <c r="C174" s="270" t="s">
        <v>65</v>
      </c>
      <c r="D174" s="493">
        <f t="shared" si="77"/>
        <v>27790</v>
      </c>
      <c r="E174" s="528"/>
      <c r="F174" s="496"/>
      <c r="G174" s="2024">
        <v>1</v>
      </c>
      <c r="H174" s="487">
        <f t="shared" si="78"/>
        <v>27790</v>
      </c>
      <c r="I174" s="491">
        <f>SUMIF(建具の明細!C$60:C$66,建具!B174,建具の明細!K$60:K$66)</f>
        <v>0</v>
      </c>
      <c r="J174" s="497">
        <f t="shared" si="79"/>
        <v>0</v>
      </c>
      <c r="K174" s="496">
        <v>27796</v>
      </c>
      <c r="L174" s="2000"/>
      <c r="M174" s="2001"/>
      <c r="N174" s="2200"/>
      <c r="O174" s="226" t="b">
        <f t="shared" si="76"/>
        <v>0</v>
      </c>
      <c r="P174" s="1019"/>
      <c r="Q174" s="1019"/>
    </row>
    <row r="175" spans="2:17" ht="15" customHeight="1">
      <c r="B175" s="241" t="s">
        <v>994</v>
      </c>
      <c r="C175" s="270" t="s">
        <v>65</v>
      </c>
      <c r="D175" s="493">
        <f t="shared" si="77"/>
        <v>9460</v>
      </c>
      <c r="E175" s="528"/>
      <c r="F175" s="496"/>
      <c r="G175" s="2024">
        <v>1</v>
      </c>
      <c r="H175" s="487">
        <f t="shared" si="78"/>
        <v>9460</v>
      </c>
      <c r="I175" s="491">
        <f>SUMIF(建具の明細!C$60:C$66,建具!B175,建具の明細!K$60:K$66)</f>
        <v>0</v>
      </c>
      <c r="J175" s="497">
        <f t="shared" si="79"/>
        <v>0</v>
      </c>
      <c r="K175" s="496">
        <v>9460</v>
      </c>
      <c r="L175" s="2000"/>
      <c r="M175" s="2001"/>
      <c r="N175" s="2200"/>
      <c r="O175" s="226" t="b">
        <f t="shared" si="76"/>
        <v>0</v>
      </c>
      <c r="P175" s="1019"/>
      <c r="Q175" s="1019"/>
    </row>
    <row r="176" spans="2:17" ht="15" customHeight="1">
      <c r="B176" s="241" t="s">
        <v>995</v>
      </c>
      <c r="C176" s="270" t="s">
        <v>65</v>
      </c>
      <c r="D176" s="493">
        <f>ROUNDDOWN(K176,-1)*M176</f>
        <v>0</v>
      </c>
      <c r="E176" s="528"/>
      <c r="F176" s="496"/>
      <c r="G176" s="2024">
        <v>1</v>
      </c>
      <c r="H176" s="487">
        <f t="shared" si="78"/>
        <v>0</v>
      </c>
      <c r="I176" s="492">
        <f>SUMIF(建具の明細!C$60:C$66,建具!B176,建具の明細!K$60:K$66)</f>
        <v>0</v>
      </c>
      <c r="J176" s="497">
        <f t="shared" si="79"/>
        <v>0</v>
      </c>
      <c r="K176" s="496">
        <v>671895</v>
      </c>
      <c r="L176" s="262" t="s">
        <v>1002</v>
      </c>
      <c r="M176" s="2015"/>
      <c r="N176" s="2200"/>
      <c r="O176" s="226" t="b">
        <f t="shared" si="76"/>
        <v>0</v>
      </c>
      <c r="P176" s="1019"/>
      <c r="Q176" s="1019"/>
    </row>
    <row r="177" spans="2:17" ht="15" customHeight="1">
      <c r="B177" s="241" t="s">
        <v>68</v>
      </c>
      <c r="C177" s="270" t="s">
        <v>65</v>
      </c>
      <c r="D177" s="493">
        <f>ROUNDDOWN(K177,-1)*M177</f>
        <v>0</v>
      </c>
      <c r="E177" s="528"/>
      <c r="F177" s="496"/>
      <c r="G177" s="2024">
        <v>1</v>
      </c>
      <c r="H177" s="487">
        <f t="shared" si="78"/>
        <v>0</v>
      </c>
      <c r="I177" s="492">
        <f>SUMIF(建具の明細!C$60:C$66,建具!B177,建具の明細!K$60:K$66)</f>
        <v>0</v>
      </c>
      <c r="J177" s="497">
        <f t="shared" si="79"/>
        <v>0</v>
      </c>
      <c r="K177" s="496">
        <v>1119974</v>
      </c>
      <c r="L177" s="262" t="s">
        <v>1002</v>
      </c>
      <c r="M177" s="2015"/>
      <c r="N177" s="2200"/>
      <c r="O177" s="226" t="b">
        <f t="shared" si="76"/>
        <v>0</v>
      </c>
      <c r="P177" s="1019"/>
      <c r="Q177" s="1019"/>
    </row>
    <row r="178" spans="2:17" ht="15" customHeight="1">
      <c r="B178" s="241" t="s">
        <v>69</v>
      </c>
      <c r="C178" s="270" t="s">
        <v>65</v>
      </c>
      <c r="D178" s="493">
        <f>ROUNDDOWN(K178,-1)</f>
        <v>409850</v>
      </c>
      <c r="E178" s="528"/>
      <c r="F178" s="496"/>
      <c r="G178" s="2024">
        <v>1</v>
      </c>
      <c r="H178" s="487">
        <f t="shared" si="78"/>
        <v>409850</v>
      </c>
      <c r="I178" s="492">
        <f>SUMIF(建具の明細!C$60:C$66,建具!B178,建具の明細!K$60:K$66)</f>
        <v>0</v>
      </c>
      <c r="J178" s="497">
        <f t="shared" si="79"/>
        <v>0</v>
      </c>
      <c r="K178" s="496">
        <v>409855</v>
      </c>
      <c r="L178" s="2000"/>
      <c r="M178" s="2001"/>
      <c r="N178" s="2200"/>
      <c r="O178" s="226" t="b">
        <f t="shared" si="76"/>
        <v>0</v>
      </c>
      <c r="P178" s="1019"/>
      <c r="Q178" s="1019"/>
    </row>
    <row r="179" spans="2:17" ht="15" customHeight="1">
      <c r="B179" s="241" t="s">
        <v>996</v>
      </c>
      <c r="C179" s="270" t="s">
        <v>65</v>
      </c>
      <c r="D179" s="493">
        <f t="shared" si="77"/>
        <v>118540</v>
      </c>
      <c r="E179" s="528"/>
      <c r="F179" s="496"/>
      <c r="G179" s="2024">
        <v>1</v>
      </c>
      <c r="H179" s="487">
        <f t="shared" si="78"/>
        <v>118540</v>
      </c>
      <c r="I179" s="490">
        <f>SUMIF(建具の明細!C$60:C$66,建具!B179,建具の明細!K$60:K$66)</f>
        <v>0</v>
      </c>
      <c r="J179" s="497">
        <f t="shared" si="79"/>
        <v>0</v>
      </c>
      <c r="K179" s="496">
        <v>118549</v>
      </c>
      <c r="L179" s="2000"/>
      <c r="M179" s="2001"/>
      <c r="N179" s="2200"/>
      <c r="O179" s="226" t="b">
        <f t="shared" si="76"/>
        <v>0</v>
      </c>
      <c r="P179" s="1019"/>
      <c r="Q179" s="1019"/>
    </row>
    <row r="180" spans="2:17" ht="15" customHeight="1">
      <c r="B180" s="241" t="s">
        <v>997</v>
      </c>
      <c r="C180" s="270" t="s">
        <v>65</v>
      </c>
      <c r="D180" s="493">
        <f t="shared" si="77"/>
        <v>68150</v>
      </c>
      <c r="E180" s="528"/>
      <c r="F180" s="496"/>
      <c r="G180" s="2024">
        <v>1</v>
      </c>
      <c r="H180" s="487">
        <f t="shared" si="78"/>
        <v>68150</v>
      </c>
      <c r="I180" s="490">
        <f>SUMIF(建具の明細!C$60:C$66,建具!B180,建具の明細!K$60:K$66)</f>
        <v>0</v>
      </c>
      <c r="J180" s="497">
        <f t="shared" si="79"/>
        <v>0</v>
      </c>
      <c r="K180" s="496">
        <v>68157</v>
      </c>
      <c r="L180" s="2000"/>
      <c r="M180" s="2001"/>
      <c r="N180" s="2200"/>
      <c r="O180" s="226" t="b">
        <f t="shared" si="76"/>
        <v>0</v>
      </c>
      <c r="P180" s="1019"/>
      <c r="Q180" s="1019"/>
    </row>
    <row r="181" spans="2:17" ht="15" customHeight="1">
      <c r="B181" s="241" t="s">
        <v>998</v>
      </c>
      <c r="C181" s="270" t="s">
        <v>65</v>
      </c>
      <c r="D181" s="493">
        <f t="shared" si="77"/>
        <v>40590</v>
      </c>
      <c r="E181" s="528"/>
      <c r="F181" s="496"/>
      <c r="G181" s="2024">
        <v>1</v>
      </c>
      <c r="H181" s="487">
        <f t="shared" si="78"/>
        <v>40590</v>
      </c>
      <c r="I181" s="490">
        <f>SUMIF(建具の明細!C$60:C$66,建具!B181,建具の明細!K$60:K$66)</f>
        <v>0</v>
      </c>
      <c r="J181" s="497">
        <f t="shared" si="79"/>
        <v>0</v>
      </c>
      <c r="K181" s="496">
        <v>40592</v>
      </c>
      <c r="L181" s="2000"/>
      <c r="M181" s="2001"/>
      <c r="N181" s="2200"/>
      <c r="O181" s="226" t="b">
        <f t="shared" si="76"/>
        <v>0</v>
      </c>
      <c r="P181" s="1019"/>
      <c r="Q181" s="1019"/>
    </row>
    <row r="182" spans="2:17" ht="15" customHeight="1">
      <c r="B182" s="241" t="s">
        <v>70</v>
      </c>
      <c r="C182" s="270" t="s">
        <v>65</v>
      </c>
      <c r="D182" s="493">
        <f t="shared" si="77"/>
        <v>36500</v>
      </c>
      <c r="E182" s="528"/>
      <c r="F182" s="496"/>
      <c r="G182" s="2024">
        <v>1</v>
      </c>
      <c r="H182" s="487">
        <f t="shared" si="78"/>
        <v>36500</v>
      </c>
      <c r="I182" s="490">
        <f>SUMIF(建具の明細!C$60:C$66,建具!B182,建具の明細!K$60:K$66)</f>
        <v>0</v>
      </c>
      <c r="J182" s="497">
        <f t="shared" si="79"/>
        <v>0</v>
      </c>
      <c r="K182" s="496">
        <v>36500</v>
      </c>
      <c r="L182" s="2000"/>
      <c r="M182" s="2001"/>
      <c r="N182" s="2200"/>
      <c r="O182" s="226" t="b">
        <f t="shared" si="76"/>
        <v>0</v>
      </c>
      <c r="P182" s="1019"/>
      <c r="Q182" s="1019"/>
    </row>
    <row r="183" spans="2:17" ht="15" customHeight="1">
      <c r="B183" s="241" t="s">
        <v>999</v>
      </c>
      <c r="C183" s="270" t="s">
        <v>65</v>
      </c>
      <c r="D183" s="493">
        <f t="shared" si="77"/>
        <v>32400</v>
      </c>
      <c r="E183" s="528"/>
      <c r="F183" s="496"/>
      <c r="G183" s="2024">
        <v>1</v>
      </c>
      <c r="H183" s="487">
        <f t="shared" si="78"/>
        <v>32400</v>
      </c>
      <c r="I183" s="490">
        <f>SUMIF(建具の明細!C$60:C$66,建具!B183,建具の明細!K$60:K$66)</f>
        <v>0</v>
      </c>
      <c r="J183" s="497">
        <f t="shared" si="79"/>
        <v>0</v>
      </c>
      <c r="K183" s="496">
        <v>32409</v>
      </c>
      <c r="L183" s="2000"/>
      <c r="M183" s="2001"/>
      <c r="N183" s="2200"/>
      <c r="O183" s="226" t="b">
        <f t="shared" si="76"/>
        <v>0</v>
      </c>
      <c r="P183" s="1019"/>
      <c r="Q183" s="1019"/>
    </row>
    <row r="184" spans="2:17" ht="15" customHeight="1">
      <c r="B184" s="241" t="s">
        <v>71</v>
      </c>
      <c r="C184" s="270" t="s">
        <v>65</v>
      </c>
      <c r="D184" s="493">
        <f t="shared" si="77"/>
        <v>16150</v>
      </c>
      <c r="E184" s="528"/>
      <c r="F184" s="496"/>
      <c r="G184" s="2024">
        <v>1</v>
      </c>
      <c r="H184" s="487">
        <f t="shared" si="78"/>
        <v>16150</v>
      </c>
      <c r="I184" s="490">
        <f>SUMIF(建具の明細!C$60:C$66,建具!B184,建具の明細!K$60:K$66)</f>
        <v>0</v>
      </c>
      <c r="J184" s="497">
        <f t="shared" si="79"/>
        <v>0</v>
      </c>
      <c r="K184" s="496">
        <v>16150</v>
      </c>
      <c r="L184" s="2000"/>
      <c r="M184" s="2001"/>
      <c r="N184" s="2200"/>
      <c r="O184" s="226" t="b">
        <f t="shared" si="76"/>
        <v>0</v>
      </c>
      <c r="P184" s="1019"/>
      <c r="Q184" s="1019"/>
    </row>
    <row r="185" spans="2:17" ht="15" customHeight="1">
      <c r="B185" s="2022" t="s">
        <v>72</v>
      </c>
      <c r="C185" s="270" t="s">
        <v>73</v>
      </c>
      <c r="D185" s="493">
        <f t="shared" si="77"/>
        <v>0</v>
      </c>
      <c r="E185" s="528"/>
      <c r="F185" s="496"/>
      <c r="G185" s="2024">
        <v>1</v>
      </c>
      <c r="H185" s="488">
        <f t="shared" si="78"/>
        <v>0</v>
      </c>
      <c r="I185" s="243">
        <f>SUMIF(建具の明細!C$60:C$66,建具!B185,建具の明細!K$60:K$66)</f>
        <v>0</v>
      </c>
      <c r="J185" s="489">
        <f t="shared" si="79"/>
        <v>0</v>
      </c>
      <c r="K185" s="2016"/>
      <c r="L185" s="2017"/>
      <c r="M185" s="2018"/>
      <c r="N185" s="2200"/>
      <c r="O185" s="226" t="b">
        <f t="shared" si="76"/>
        <v>0</v>
      </c>
      <c r="P185" s="1019"/>
      <c r="Q185" s="1019"/>
    </row>
    <row r="186" spans="2:17" ht="15" customHeight="1">
      <c r="B186" s="2023" t="s">
        <v>74</v>
      </c>
      <c r="C186" s="270" t="s">
        <v>73</v>
      </c>
      <c r="D186" s="494">
        <f t="shared" si="77"/>
        <v>0</v>
      </c>
      <c r="E186" s="529"/>
      <c r="F186" s="530"/>
      <c r="G186" s="2024">
        <v>1</v>
      </c>
      <c r="H186" s="495">
        <f t="shared" si="78"/>
        <v>0</v>
      </c>
      <c r="I186" s="243">
        <f>SUMIF(建具の明細!C$60:C$66,建具!B186,建具の明細!K$60:K$66)</f>
        <v>0</v>
      </c>
      <c r="J186" s="498">
        <f t="shared" si="79"/>
        <v>0</v>
      </c>
      <c r="K186" s="2019"/>
      <c r="L186" s="2020"/>
      <c r="M186" s="2021"/>
      <c r="N186" s="2200"/>
      <c r="O186" s="226" t="b">
        <f t="shared" si="76"/>
        <v>0</v>
      </c>
      <c r="P186" s="1019"/>
      <c r="Q186" s="1019"/>
    </row>
    <row r="187" spans="2:17" ht="15" customHeight="1" thickBot="1">
      <c r="B187" s="3172" t="s">
        <v>1103</v>
      </c>
      <c r="C187" s="3173"/>
      <c r="D187" s="3173"/>
      <c r="E187" s="3173"/>
      <c r="F187" s="3173"/>
      <c r="G187" s="3173"/>
      <c r="H187" s="3173"/>
      <c r="I187" s="3174"/>
      <c r="J187" s="1800">
        <f>SUM(J167:J186)</f>
        <v>0</v>
      </c>
      <c r="K187" s="1785"/>
      <c r="L187" s="1786"/>
      <c r="M187" s="1785"/>
      <c r="N187" s="2200"/>
      <c r="O187" s="226" t="b">
        <f>J187&lt;&gt;0</f>
        <v>0</v>
      </c>
      <c r="P187" s="1019"/>
      <c r="Q187" s="1019"/>
    </row>
    <row r="188" spans="2:17" ht="15" customHeight="1">
      <c r="O188" s="226"/>
      <c r="P188" s="1019"/>
      <c r="Q188" s="1019"/>
    </row>
    <row r="189" spans="2:17" ht="15" customHeight="1">
      <c r="O189" s="226"/>
      <c r="P189" s="1019"/>
      <c r="Q189" s="1019"/>
    </row>
    <row r="190" spans="2:17" ht="15" customHeight="1">
      <c r="O190" s="226"/>
      <c r="P190" s="1019"/>
      <c r="Q190" s="1019"/>
    </row>
    <row r="191" spans="2:17" ht="15" customHeight="1">
      <c r="O191" s="226"/>
      <c r="P191" s="1019"/>
      <c r="Q191" s="1019"/>
    </row>
    <row r="192" spans="2:17" ht="15" customHeight="1">
      <c r="O192" s="226"/>
      <c r="P192" s="1019"/>
      <c r="Q192" s="1019"/>
    </row>
    <row r="193" spans="15:17" ht="15" customHeight="1">
      <c r="O193" s="226"/>
      <c r="P193" s="1019"/>
      <c r="Q193" s="1019"/>
    </row>
    <row r="194" spans="15:17" ht="15" customHeight="1">
      <c r="O194" s="226"/>
      <c r="P194" s="1019"/>
      <c r="Q194" s="1019"/>
    </row>
    <row r="195" spans="15:17" ht="15" customHeight="1">
      <c r="O195" s="226"/>
      <c r="P195" s="1019"/>
      <c r="Q195" s="1019"/>
    </row>
    <row r="196" spans="15:17" ht="15" customHeight="1">
      <c r="O196" s="226"/>
      <c r="P196" s="1019"/>
      <c r="Q196" s="1019"/>
    </row>
    <row r="197" spans="15:17" ht="15" customHeight="1">
      <c r="O197" s="226"/>
      <c r="P197" s="1019"/>
      <c r="Q197" s="1019"/>
    </row>
    <row r="198" spans="15:17" ht="15" customHeight="1">
      <c r="O198" s="226"/>
      <c r="P198" s="1019"/>
      <c r="Q198" s="1019"/>
    </row>
    <row r="199" spans="15:17" ht="15" customHeight="1">
      <c r="O199" s="226"/>
      <c r="P199" s="1019"/>
      <c r="Q199" s="1019"/>
    </row>
    <row r="200" spans="15:17" ht="15" customHeight="1">
      <c r="O200" s="226"/>
      <c r="P200" s="1019"/>
      <c r="Q200" s="1019"/>
    </row>
    <row r="201" spans="15:17" ht="15" customHeight="1">
      <c r="O201" s="226"/>
      <c r="P201" s="1019"/>
      <c r="Q201" s="1019"/>
    </row>
    <row r="202" spans="15:17" ht="15" customHeight="1">
      <c r="O202" s="226"/>
      <c r="P202" s="1019"/>
      <c r="Q202" s="1019"/>
    </row>
    <row r="203" spans="15:17" ht="15" customHeight="1">
      <c r="O203" s="226"/>
      <c r="P203" s="1019"/>
      <c r="Q203" s="1019"/>
    </row>
    <row r="204" spans="15:17" ht="15" customHeight="1">
      <c r="O204" s="226"/>
      <c r="P204" s="1019"/>
      <c r="Q204" s="1019"/>
    </row>
    <row r="205" spans="15:17" ht="15" customHeight="1">
      <c r="O205" s="226"/>
      <c r="P205" s="1019"/>
      <c r="Q205" s="1019"/>
    </row>
    <row r="206" spans="15:17" ht="15" customHeight="1">
      <c r="O206" s="226"/>
      <c r="P206" s="1019"/>
      <c r="Q206" s="1019"/>
    </row>
    <row r="207" spans="15:17" ht="15" customHeight="1">
      <c r="O207" s="226"/>
      <c r="P207" s="1019"/>
      <c r="Q207" s="1019"/>
    </row>
    <row r="208" spans="15:17" ht="15" customHeight="1">
      <c r="O208" s="226"/>
      <c r="P208" s="1019"/>
      <c r="Q208" s="1019"/>
    </row>
    <row r="209" spans="15:17" ht="15" customHeight="1">
      <c r="O209" s="226"/>
      <c r="P209" s="1019"/>
      <c r="Q209" s="1019"/>
    </row>
    <row r="210" spans="15:17" ht="15" customHeight="1">
      <c r="O210" s="226"/>
      <c r="P210" s="1019"/>
      <c r="Q210" s="1019"/>
    </row>
    <row r="211" spans="15:17" ht="15" customHeight="1">
      <c r="O211" s="226"/>
      <c r="P211" s="1019"/>
      <c r="Q211" s="1019"/>
    </row>
    <row r="212" spans="15:17" ht="15" customHeight="1">
      <c r="O212" s="226"/>
      <c r="P212" s="1019"/>
      <c r="Q212" s="1019"/>
    </row>
    <row r="213" spans="15:17" ht="15" customHeight="1">
      <c r="O213" s="226"/>
      <c r="P213" s="1019"/>
      <c r="Q213" s="1019"/>
    </row>
    <row r="214" spans="15:17" ht="15" customHeight="1">
      <c r="O214" s="226"/>
      <c r="P214" s="1019"/>
      <c r="Q214" s="1019"/>
    </row>
    <row r="215" spans="15:17" ht="15" customHeight="1">
      <c r="O215" s="226"/>
      <c r="P215" s="1019"/>
      <c r="Q215" s="1019"/>
    </row>
    <row r="216" spans="15:17" ht="15" customHeight="1">
      <c r="O216" s="226"/>
      <c r="P216" s="1019"/>
      <c r="Q216" s="1019"/>
    </row>
    <row r="217" spans="15:17" ht="15" customHeight="1">
      <c r="O217" s="226"/>
      <c r="P217" s="1019"/>
      <c r="Q217" s="1019"/>
    </row>
    <row r="218" spans="15:17" ht="15" customHeight="1">
      <c r="O218" s="226"/>
      <c r="P218" s="1019"/>
      <c r="Q218" s="1019"/>
    </row>
    <row r="219" spans="15:17" ht="15" customHeight="1">
      <c r="O219" s="226"/>
      <c r="P219" s="1019"/>
      <c r="Q219" s="1019"/>
    </row>
    <row r="220" spans="15:17" ht="15" customHeight="1">
      <c r="O220" s="226"/>
      <c r="P220" s="1019"/>
      <c r="Q220" s="1019"/>
    </row>
    <row r="221" spans="15:17" ht="15" customHeight="1">
      <c r="O221" s="226"/>
      <c r="P221" s="1019"/>
      <c r="Q221" s="1019"/>
    </row>
    <row r="222" spans="15:17" ht="15" customHeight="1">
      <c r="O222" s="226"/>
      <c r="P222" s="1019"/>
      <c r="Q222" s="1019"/>
    </row>
    <row r="223" spans="15:17" ht="15" customHeight="1">
      <c r="O223" s="226"/>
      <c r="P223" s="1019"/>
      <c r="Q223" s="1019"/>
    </row>
    <row r="224" spans="15:17" ht="15" customHeight="1">
      <c r="O224" s="226"/>
      <c r="P224" s="1019"/>
      <c r="Q224" s="1019"/>
    </row>
    <row r="225" spans="15:17" ht="15" customHeight="1">
      <c r="O225" s="226"/>
      <c r="P225" s="1019"/>
      <c r="Q225" s="1019"/>
    </row>
    <row r="226" spans="15:17" ht="15" customHeight="1">
      <c r="O226" s="226"/>
      <c r="P226" s="1019"/>
      <c r="Q226" s="1019"/>
    </row>
    <row r="227" spans="15:17" ht="15" customHeight="1">
      <c r="O227" s="226"/>
      <c r="P227" s="1019"/>
      <c r="Q227" s="1019"/>
    </row>
    <row r="228" spans="15:17" ht="15" customHeight="1">
      <c r="O228" s="226"/>
      <c r="P228" s="1019"/>
      <c r="Q228" s="1019"/>
    </row>
    <row r="229" spans="15:17" ht="15" customHeight="1">
      <c r="O229" s="226"/>
      <c r="P229" s="1019"/>
      <c r="Q229" s="1019"/>
    </row>
    <row r="230" spans="15:17" ht="15" customHeight="1">
      <c r="O230" s="226"/>
      <c r="P230" s="1019"/>
      <c r="Q230" s="1019"/>
    </row>
    <row r="231" spans="15:17" ht="15" customHeight="1">
      <c r="O231" s="226"/>
      <c r="P231" s="1019"/>
      <c r="Q231" s="1019"/>
    </row>
    <row r="232" spans="15:17" ht="15" customHeight="1">
      <c r="O232" s="226"/>
      <c r="P232" s="1019"/>
      <c r="Q232" s="1019"/>
    </row>
    <row r="233" spans="15:17" ht="15" customHeight="1">
      <c r="O233" s="226"/>
      <c r="P233" s="1019"/>
      <c r="Q233" s="1019"/>
    </row>
    <row r="234" spans="15:17" ht="15" customHeight="1">
      <c r="O234" s="226"/>
      <c r="P234" s="1019"/>
      <c r="Q234" s="1019"/>
    </row>
    <row r="235" spans="15:17" ht="15" customHeight="1">
      <c r="O235" s="226"/>
      <c r="P235" s="1019"/>
      <c r="Q235" s="1019"/>
    </row>
    <row r="236" spans="15:17" ht="15" customHeight="1">
      <c r="O236" s="226"/>
      <c r="P236" s="1019"/>
      <c r="Q236" s="1019"/>
    </row>
    <row r="237" spans="15:17" ht="15" customHeight="1">
      <c r="O237" s="226"/>
      <c r="P237" s="1019"/>
      <c r="Q237" s="1019"/>
    </row>
    <row r="238" spans="15:17" ht="15" customHeight="1">
      <c r="O238" s="226"/>
      <c r="P238" s="1019"/>
      <c r="Q238" s="1019"/>
    </row>
    <row r="239" spans="15:17" ht="15" customHeight="1">
      <c r="O239" s="226"/>
      <c r="P239" s="1019"/>
      <c r="Q239" s="1019"/>
    </row>
    <row r="240" spans="15:17" ht="15" customHeight="1">
      <c r="O240" s="226"/>
      <c r="P240" s="1019"/>
      <c r="Q240" s="1019"/>
    </row>
    <row r="241" spans="15:17" ht="15" customHeight="1">
      <c r="O241" s="226"/>
      <c r="P241" s="1019"/>
      <c r="Q241" s="1019"/>
    </row>
    <row r="242" spans="15:17" ht="15" customHeight="1">
      <c r="O242" s="226"/>
      <c r="P242" s="1019"/>
      <c r="Q242" s="1019"/>
    </row>
    <row r="243" spans="15:17" ht="15" customHeight="1">
      <c r="O243" s="226"/>
      <c r="P243" s="1019"/>
      <c r="Q243" s="1019"/>
    </row>
    <row r="244" spans="15:17" ht="15" customHeight="1">
      <c r="O244" s="226"/>
      <c r="P244" s="1019"/>
      <c r="Q244" s="1019"/>
    </row>
    <row r="245" spans="15:17" ht="15" customHeight="1">
      <c r="O245" s="226"/>
      <c r="P245" s="1019"/>
      <c r="Q245" s="1019"/>
    </row>
    <row r="246" spans="15:17" ht="15" customHeight="1">
      <c r="O246" s="226"/>
      <c r="P246" s="1019"/>
      <c r="Q246" s="1019"/>
    </row>
    <row r="247" spans="15:17" ht="15" customHeight="1">
      <c r="O247" s="226"/>
      <c r="P247" s="1019"/>
      <c r="Q247" s="1019"/>
    </row>
    <row r="248" spans="15:17" ht="15" customHeight="1">
      <c r="O248" s="226"/>
      <c r="P248" s="1019"/>
      <c r="Q248" s="1019"/>
    </row>
    <row r="249" spans="15:17" ht="15" customHeight="1">
      <c r="O249" s="226"/>
      <c r="P249" s="1019"/>
      <c r="Q249" s="1019"/>
    </row>
    <row r="250" spans="15:17" ht="15" customHeight="1">
      <c r="O250" s="226"/>
      <c r="P250" s="1019"/>
      <c r="Q250" s="1019"/>
    </row>
    <row r="251" spans="15:17" ht="15" customHeight="1">
      <c r="O251" s="226"/>
      <c r="P251" s="1019"/>
      <c r="Q251" s="1019"/>
    </row>
    <row r="252" spans="15:17" ht="15" customHeight="1">
      <c r="O252" s="226"/>
      <c r="P252" s="1019"/>
      <c r="Q252" s="1019"/>
    </row>
    <row r="253" spans="15:17" ht="15" customHeight="1">
      <c r="O253" s="226"/>
      <c r="P253" s="1019"/>
      <c r="Q253" s="1019"/>
    </row>
    <row r="254" spans="15:17" ht="15" customHeight="1">
      <c r="O254" s="226"/>
      <c r="P254" s="1019"/>
      <c r="Q254" s="1019"/>
    </row>
    <row r="255" spans="15:17" ht="15" customHeight="1">
      <c r="O255" s="226"/>
      <c r="P255" s="1019"/>
      <c r="Q255" s="1019"/>
    </row>
    <row r="256" spans="15:17" ht="15" customHeight="1">
      <c r="O256" s="226"/>
      <c r="P256" s="1019"/>
      <c r="Q256" s="1019"/>
    </row>
    <row r="257" spans="15:17" ht="15" customHeight="1">
      <c r="O257" s="226"/>
      <c r="P257" s="1019"/>
      <c r="Q257" s="1019"/>
    </row>
    <row r="258" spans="15:17" ht="15" customHeight="1">
      <c r="O258" s="226"/>
      <c r="P258" s="1019"/>
      <c r="Q258" s="1019"/>
    </row>
    <row r="259" spans="15:17" ht="15" customHeight="1">
      <c r="O259" s="226"/>
      <c r="P259" s="1019"/>
      <c r="Q259" s="1019"/>
    </row>
    <row r="260" spans="15:17" ht="15" customHeight="1">
      <c r="O260" s="226"/>
      <c r="P260" s="1019"/>
      <c r="Q260" s="1019"/>
    </row>
    <row r="261" spans="15:17" ht="15" customHeight="1">
      <c r="O261" s="226"/>
      <c r="P261" s="1019"/>
      <c r="Q261" s="1019"/>
    </row>
    <row r="262" spans="15:17" ht="15" customHeight="1">
      <c r="O262" s="226"/>
      <c r="P262" s="1019"/>
      <c r="Q262" s="1019"/>
    </row>
    <row r="263" spans="15:17" ht="15" customHeight="1">
      <c r="O263" s="226"/>
      <c r="P263" s="1019"/>
      <c r="Q263" s="1019"/>
    </row>
    <row r="264" spans="15:17" ht="15" customHeight="1">
      <c r="O264" s="226"/>
      <c r="P264" s="1019"/>
      <c r="Q264" s="1019"/>
    </row>
    <row r="265" spans="15:17" ht="15" customHeight="1">
      <c r="O265" s="226"/>
      <c r="P265" s="1019"/>
      <c r="Q265" s="1019"/>
    </row>
    <row r="266" spans="15:17" ht="15" customHeight="1">
      <c r="O266" s="226"/>
      <c r="P266" s="1019"/>
      <c r="Q266" s="1019"/>
    </row>
    <row r="267" spans="15:17" ht="15" customHeight="1">
      <c r="O267" s="226"/>
      <c r="P267" s="1019"/>
      <c r="Q267" s="1019"/>
    </row>
    <row r="268" spans="15:17" ht="15" customHeight="1">
      <c r="O268" s="226"/>
      <c r="P268" s="1019"/>
      <c r="Q268" s="1019"/>
    </row>
    <row r="269" spans="15:17" ht="15" customHeight="1">
      <c r="O269" s="226"/>
      <c r="P269" s="1019"/>
      <c r="Q269" s="1019"/>
    </row>
    <row r="270" spans="15:17" ht="15" customHeight="1">
      <c r="O270" s="226"/>
      <c r="P270" s="1019"/>
      <c r="Q270" s="1019"/>
    </row>
    <row r="271" spans="15:17" ht="15" customHeight="1">
      <c r="O271" s="226"/>
      <c r="P271" s="1019"/>
      <c r="Q271" s="1019"/>
    </row>
    <row r="272" spans="15:17" ht="15" customHeight="1">
      <c r="O272" s="226"/>
      <c r="P272" s="1019"/>
      <c r="Q272" s="1019"/>
    </row>
    <row r="273" spans="15:17" ht="15" customHeight="1">
      <c r="O273" s="226"/>
      <c r="P273" s="1019"/>
      <c r="Q273" s="1019"/>
    </row>
    <row r="274" spans="15:17" ht="15" customHeight="1">
      <c r="O274" s="226"/>
      <c r="P274" s="1019"/>
      <c r="Q274" s="1019"/>
    </row>
    <row r="275" spans="15:17" ht="15" customHeight="1">
      <c r="O275" s="226"/>
      <c r="P275" s="1019"/>
      <c r="Q275" s="1019"/>
    </row>
    <row r="276" spans="15:17" ht="15" customHeight="1">
      <c r="O276" s="226"/>
      <c r="P276" s="1019"/>
      <c r="Q276" s="1019"/>
    </row>
    <row r="277" spans="15:17" ht="15" customHeight="1">
      <c r="O277" s="226"/>
      <c r="P277" s="1019"/>
      <c r="Q277" s="1019"/>
    </row>
    <row r="278" spans="15:17" ht="15" customHeight="1">
      <c r="O278" s="226"/>
      <c r="P278" s="1019"/>
      <c r="Q278" s="1019"/>
    </row>
    <row r="279" spans="15:17" ht="15" customHeight="1">
      <c r="O279" s="226"/>
      <c r="P279" s="1019"/>
      <c r="Q279" s="1019"/>
    </row>
    <row r="280" spans="15:17" ht="15" customHeight="1">
      <c r="O280" s="226"/>
      <c r="P280" s="1019"/>
      <c r="Q280" s="1019"/>
    </row>
    <row r="281" spans="15:17" ht="15" customHeight="1">
      <c r="O281" s="226"/>
      <c r="P281" s="1019"/>
      <c r="Q281" s="1019"/>
    </row>
    <row r="282" spans="15:17" ht="15" customHeight="1">
      <c r="O282" s="226"/>
      <c r="P282" s="1019"/>
      <c r="Q282" s="1019"/>
    </row>
    <row r="283" spans="15:17" ht="15" customHeight="1">
      <c r="O283" s="226"/>
      <c r="P283" s="1019"/>
      <c r="Q283" s="1019"/>
    </row>
    <row r="284" spans="15:17" ht="15" customHeight="1">
      <c r="O284" s="226"/>
      <c r="P284" s="1019"/>
      <c r="Q284" s="1019"/>
    </row>
    <row r="285" spans="15:17" ht="15" customHeight="1">
      <c r="O285" s="226"/>
      <c r="P285" s="1019"/>
      <c r="Q285" s="1019"/>
    </row>
    <row r="286" spans="15:17" ht="15" customHeight="1">
      <c r="O286" s="226"/>
      <c r="P286" s="1019"/>
      <c r="Q286" s="1019"/>
    </row>
    <row r="287" spans="15:17" ht="15" customHeight="1">
      <c r="O287" s="226"/>
      <c r="P287" s="1019"/>
      <c r="Q287" s="1019"/>
    </row>
    <row r="288" spans="15:17" ht="15" customHeight="1">
      <c r="O288" s="226"/>
      <c r="P288" s="1019"/>
      <c r="Q288" s="1019"/>
    </row>
    <row r="289" spans="15:17" ht="15" customHeight="1">
      <c r="O289" s="226"/>
      <c r="P289" s="1019"/>
      <c r="Q289" s="1019"/>
    </row>
    <row r="290" spans="15:17" ht="15" customHeight="1">
      <c r="O290" s="226"/>
      <c r="P290" s="1019"/>
      <c r="Q290" s="1019"/>
    </row>
    <row r="291" spans="15:17" ht="15" customHeight="1">
      <c r="O291" s="226"/>
      <c r="P291" s="1019"/>
      <c r="Q291" s="1019"/>
    </row>
    <row r="292" spans="15:17" ht="15" customHeight="1">
      <c r="O292" s="226"/>
      <c r="P292" s="1019"/>
      <c r="Q292" s="1019"/>
    </row>
    <row r="293" spans="15:17" ht="15" customHeight="1">
      <c r="O293" s="226"/>
      <c r="P293" s="1019"/>
      <c r="Q293" s="1019"/>
    </row>
    <row r="294" spans="15:17" ht="15" customHeight="1">
      <c r="O294" s="226"/>
      <c r="P294" s="1019"/>
      <c r="Q294" s="1019"/>
    </row>
    <row r="295" spans="15:17" ht="15" customHeight="1">
      <c r="O295" s="226"/>
      <c r="P295" s="1019"/>
      <c r="Q295" s="1019"/>
    </row>
    <row r="296" spans="15:17" ht="15" customHeight="1">
      <c r="O296" s="226"/>
      <c r="P296" s="1019"/>
      <c r="Q296" s="1019"/>
    </row>
    <row r="297" spans="15:17" ht="15" customHeight="1">
      <c r="O297" s="226"/>
      <c r="P297" s="1019"/>
      <c r="Q297" s="1019"/>
    </row>
    <row r="298" spans="15:17" ht="15" customHeight="1">
      <c r="O298" s="226"/>
      <c r="P298" s="1019"/>
      <c r="Q298" s="1019"/>
    </row>
    <row r="299" spans="15:17" ht="15" customHeight="1">
      <c r="O299" s="226"/>
      <c r="P299" s="1019"/>
      <c r="Q299" s="1019"/>
    </row>
    <row r="300" spans="15:17" ht="15" customHeight="1">
      <c r="O300" s="226"/>
      <c r="P300" s="1019"/>
      <c r="Q300" s="1019"/>
    </row>
    <row r="301" spans="15:17" ht="15" customHeight="1">
      <c r="O301" s="226"/>
      <c r="P301" s="1019"/>
      <c r="Q301" s="1019"/>
    </row>
    <row r="302" spans="15:17" ht="15" customHeight="1">
      <c r="O302" s="226"/>
      <c r="P302" s="1019"/>
      <c r="Q302" s="1019"/>
    </row>
    <row r="303" spans="15:17" ht="15" customHeight="1">
      <c r="O303" s="226"/>
      <c r="P303" s="1019"/>
      <c r="Q303" s="1019"/>
    </row>
    <row r="304" spans="15:17" ht="15" customHeight="1">
      <c r="O304" s="226"/>
      <c r="P304" s="1019"/>
      <c r="Q304" s="1019"/>
    </row>
    <row r="305" spans="15:17" ht="15" customHeight="1">
      <c r="O305" s="226"/>
      <c r="P305" s="1019"/>
      <c r="Q305" s="1019"/>
    </row>
    <row r="306" spans="15:17" ht="15" customHeight="1">
      <c r="O306" s="226"/>
      <c r="P306" s="1019"/>
      <c r="Q306" s="1019"/>
    </row>
    <row r="307" spans="15:17" ht="15" customHeight="1">
      <c r="O307" s="226"/>
      <c r="P307" s="1019"/>
      <c r="Q307" s="1019"/>
    </row>
    <row r="308" spans="15:17" ht="15" customHeight="1">
      <c r="O308" s="226"/>
      <c r="P308" s="1019"/>
      <c r="Q308" s="1019"/>
    </row>
    <row r="309" spans="15:17" ht="15" customHeight="1">
      <c r="O309" s="226"/>
      <c r="P309" s="1019"/>
      <c r="Q309" s="1019"/>
    </row>
    <row r="310" spans="15:17" ht="15" customHeight="1">
      <c r="O310" s="226"/>
      <c r="P310" s="1019"/>
      <c r="Q310" s="1019"/>
    </row>
    <row r="311" spans="15:17" ht="15" customHeight="1">
      <c r="O311" s="226"/>
      <c r="P311" s="1019"/>
      <c r="Q311" s="1019"/>
    </row>
    <row r="312" spans="15:17" ht="15" customHeight="1">
      <c r="O312" s="226"/>
      <c r="P312" s="1019"/>
      <c r="Q312" s="1019"/>
    </row>
    <row r="313" spans="15:17" ht="15" customHeight="1">
      <c r="O313" s="226"/>
      <c r="P313" s="1019"/>
      <c r="Q313" s="1019"/>
    </row>
    <row r="314" spans="15:17" ht="15" customHeight="1">
      <c r="O314" s="226"/>
      <c r="P314" s="1019"/>
      <c r="Q314" s="1019"/>
    </row>
    <row r="315" spans="15:17" ht="15" customHeight="1">
      <c r="O315" s="226"/>
      <c r="P315" s="1019"/>
      <c r="Q315" s="1019"/>
    </row>
    <row r="316" spans="15:17" ht="15" customHeight="1">
      <c r="O316" s="226"/>
      <c r="P316" s="1019"/>
      <c r="Q316" s="1019"/>
    </row>
    <row r="317" spans="15:17" ht="15" customHeight="1">
      <c r="O317" s="226"/>
      <c r="P317" s="1019"/>
      <c r="Q317" s="1019"/>
    </row>
    <row r="318" spans="15:17" ht="15" customHeight="1">
      <c r="O318" s="226"/>
      <c r="P318" s="1019"/>
      <c r="Q318" s="1019"/>
    </row>
    <row r="319" spans="15:17" ht="15" customHeight="1">
      <c r="O319" s="226"/>
      <c r="P319" s="1019"/>
      <c r="Q319" s="1019"/>
    </row>
    <row r="320" spans="15:17" ht="15" customHeight="1">
      <c r="O320" s="226"/>
      <c r="P320" s="1019"/>
      <c r="Q320" s="1019"/>
    </row>
    <row r="321" spans="15:17" ht="15" customHeight="1">
      <c r="O321" s="226"/>
      <c r="P321" s="1019"/>
      <c r="Q321" s="1019"/>
    </row>
    <row r="322" spans="15:17" ht="15" customHeight="1">
      <c r="O322" s="226"/>
      <c r="P322" s="1019"/>
      <c r="Q322" s="1019"/>
    </row>
    <row r="323" spans="15:17" ht="15" customHeight="1">
      <c r="O323" s="226"/>
      <c r="P323" s="1019"/>
      <c r="Q323" s="1019"/>
    </row>
    <row r="324" spans="15:17" ht="15" customHeight="1">
      <c r="O324" s="226"/>
      <c r="P324" s="1019"/>
      <c r="Q324" s="1019"/>
    </row>
    <row r="325" spans="15:17" ht="15" customHeight="1">
      <c r="O325" s="226"/>
      <c r="P325" s="1019"/>
      <c r="Q325" s="1019"/>
    </row>
    <row r="326" spans="15:17" ht="15" customHeight="1">
      <c r="O326" s="226"/>
      <c r="P326" s="1019"/>
      <c r="Q326" s="1019"/>
    </row>
    <row r="327" spans="15:17" ht="15" customHeight="1">
      <c r="O327" s="226"/>
      <c r="P327" s="1019"/>
      <c r="Q327" s="1019"/>
    </row>
    <row r="328" spans="15:17" ht="15" customHeight="1">
      <c r="O328" s="226"/>
      <c r="P328" s="1019"/>
      <c r="Q328" s="1019"/>
    </row>
    <row r="329" spans="15:17" ht="15" customHeight="1">
      <c r="O329" s="226"/>
      <c r="P329" s="1019"/>
      <c r="Q329" s="1019"/>
    </row>
    <row r="330" spans="15:17" ht="15" customHeight="1">
      <c r="O330" s="226"/>
      <c r="P330" s="1019"/>
      <c r="Q330" s="1019"/>
    </row>
    <row r="331" spans="15:17" ht="15" customHeight="1">
      <c r="O331" s="226"/>
      <c r="P331" s="1019"/>
      <c r="Q331" s="1019"/>
    </row>
    <row r="332" spans="15:17" ht="15" customHeight="1">
      <c r="O332" s="226"/>
      <c r="P332" s="1019"/>
      <c r="Q332" s="1019"/>
    </row>
    <row r="333" spans="15:17" ht="15" customHeight="1">
      <c r="O333" s="226"/>
      <c r="P333" s="1019"/>
      <c r="Q333" s="1019"/>
    </row>
    <row r="334" spans="15:17" ht="15" customHeight="1">
      <c r="O334" s="226"/>
      <c r="P334" s="1019"/>
      <c r="Q334" s="1019"/>
    </row>
    <row r="335" spans="15:17" ht="15" customHeight="1">
      <c r="O335" s="226"/>
      <c r="P335" s="1019"/>
      <c r="Q335" s="1019"/>
    </row>
    <row r="336" spans="15:17" ht="15" customHeight="1">
      <c r="O336" s="226"/>
      <c r="P336" s="1019"/>
      <c r="Q336" s="1019"/>
    </row>
    <row r="337" spans="15:17" ht="15" customHeight="1">
      <c r="O337" s="226"/>
      <c r="P337" s="1019"/>
      <c r="Q337" s="1019"/>
    </row>
    <row r="338" spans="15:17" ht="15" customHeight="1">
      <c r="O338" s="226"/>
      <c r="P338" s="1019"/>
      <c r="Q338" s="1019"/>
    </row>
    <row r="339" spans="15:17" ht="15" customHeight="1">
      <c r="O339" s="226"/>
      <c r="P339" s="1019"/>
      <c r="Q339" s="1019"/>
    </row>
    <row r="340" spans="15:17" ht="15" customHeight="1">
      <c r="O340" s="226"/>
      <c r="P340" s="1019"/>
      <c r="Q340" s="1019"/>
    </row>
    <row r="341" spans="15:17" ht="15" customHeight="1">
      <c r="O341" s="226"/>
      <c r="P341" s="1019"/>
      <c r="Q341" s="1019"/>
    </row>
    <row r="342" spans="15:17" ht="15" customHeight="1">
      <c r="O342" s="226"/>
      <c r="P342" s="1019"/>
      <c r="Q342" s="1019"/>
    </row>
    <row r="343" spans="15:17" ht="15" customHeight="1">
      <c r="O343" s="226"/>
      <c r="P343" s="1019"/>
      <c r="Q343" s="1019"/>
    </row>
    <row r="344" spans="15:17" ht="15" customHeight="1">
      <c r="O344" s="226"/>
      <c r="P344" s="1019"/>
      <c r="Q344" s="1019"/>
    </row>
    <row r="345" spans="15:17" ht="15" customHeight="1">
      <c r="O345" s="226"/>
      <c r="P345" s="1019"/>
      <c r="Q345" s="1019"/>
    </row>
    <row r="346" spans="15:17" ht="15" customHeight="1">
      <c r="O346" s="226"/>
      <c r="P346" s="1019"/>
      <c r="Q346" s="1019"/>
    </row>
    <row r="347" spans="15:17" ht="15" customHeight="1">
      <c r="O347" s="226"/>
      <c r="P347" s="1019"/>
      <c r="Q347" s="1019"/>
    </row>
    <row r="348" spans="15:17" ht="15" customHeight="1">
      <c r="O348" s="226"/>
      <c r="P348" s="1019"/>
      <c r="Q348" s="1019"/>
    </row>
    <row r="349" spans="15:17" ht="15" customHeight="1">
      <c r="O349" s="226"/>
      <c r="P349" s="1019"/>
      <c r="Q349" s="1019"/>
    </row>
    <row r="350" spans="15:17" ht="15" customHeight="1">
      <c r="O350" s="226"/>
      <c r="P350" s="1019"/>
      <c r="Q350" s="1019"/>
    </row>
    <row r="351" spans="15:17" ht="15" customHeight="1">
      <c r="O351" s="226"/>
      <c r="P351" s="1019"/>
      <c r="Q351" s="1019"/>
    </row>
    <row r="352" spans="15:17" ht="15" customHeight="1">
      <c r="O352" s="226"/>
      <c r="P352" s="1019"/>
      <c r="Q352" s="1019"/>
    </row>
    <row r="353" spans="15:17" ht="15" customHeight="1">
      <c r="O353" s="226"/>
      <c r="P353" s="1019"/>
      <c r="Q353" s="1019"/>
    </row>
    <row r="354" spans="15:17" ht="15" customHeight="1">
      <c r="O354" s="226"/>
      <c r="P354" s="1019"/>
      <c r="Q354" s="1019"/>
    </row>
    <row r="355" spans="15:17" ht="15" customHeight="1">
      <c r="O355" s="226"/>
      <c r="P355" s="1019"/>
      <c r="Q355" s="1019"/>
    </row>
    <row r="356" spans="15:17" ht="15" customHeight="1">
      <c r="O356" s="226"/>
      <c r="P356" s="1019"/>
      <c r="Q356" s="1019"/>
    </row>
    <row r="357" spans="15:17" ht="15" customHeight="1">
      <c r="O357" s="226"/>
      <c r="P357" s="1019"/>
      <c r="Q357" s="1019"/>
    </row>
    <row r="358" spans="15:17" ht="15" customHeight="1">
      <c r="O358" s="226"/>
      <c r="P358" s="1019"/>
      <c r="Q358" s="1019"/>
    </row>
    <row r="359" spans="15:17" ht="15" customHeight="1">
      <c r="O359" s="226"/>
      <c r="P359" s="1019"/>
      <c r="Q359" s="1019"/>
    </row>
    <row r="360" spans="15:17" ht="15" customHeight="1">
      <c r="O360" s="226"/>
      <c r="P360" s="1019"/>
      <c r="Q360" s="1019"/>
    </row>
    <row r="361" spans="15:17" ht="15" customHeight="1">
      <c r="O361" s="226"/>
      <c r="P361" s="1019"/>
      <c r="Q361" s="1019"/>
    </row>
    <row r="362" spans="15:17" ht="15" customHeight="1">
      <c r="O362" s="226"/>
      <c r="P362" s="1019"/>
      <c r="Q362" s="1019"/>
    </row>
    <row r="363" spans="15:17" ht="15" customHeight="1">
      <c r="O363" s="226"/>
      <c r="P363" s="1019"/>
      <c r="Q363" s="1019"/>
    </row>
    <row r="364" spans="15:17" ht="15" customHeight="1">
      <c r="O364" s="226"/>
      <c r="P364" s="1019"/>
      <c r="Q364" s="1019"/>
    </row>
    <row r="365" spans="15:17" ht="15" customHeight="1">
      <c r="O365" s="226"/>
      <c r="P365" s="1019"/>
      <c r="Q365" s="1019"/>
    </row>
    <row r="366" spans="15:17" ht="15" customHeight="1">
      <c r="O366" s="226"/>
      <c r="P366" s="1019"/>
      <c r="Q366" s="1019"/>
    </row>
    <row r="367" spans="15:17" ht="15" customHeight="1">
      <c r="O367" s="226"/>
      <c r="P367" s="1019"/>
      <c r="Q367" s="1019"/>
    </row>
    <row r="368" spans="15:17" ht="15" customHeight="1">
      <c r="O368" s="226"/>
      <c r="P368" s="1019"/>
      <c r="Q368" s="1019"/>
    </row>
    <row r="369" spans="15:17" ht="15" customHeight="1">
      <c r="O369" s="226"/>
      <c r="P369" s="1019"/>
      <c r="Q369" s="1019"/>
    </row>
    <row r="370" spans="15:17" ht="15" customHeight="1">
      <c r="O370" s="226"/>
      <c r="P370" s="1019"/>
      <c r="Q370" s="1019"/>
    </row>
    <row r="371" spans="15:17" ht="15" customHeight="1">
      <c r="O371" s="226"/>
      <c r="P371" s="1019"/>
      <c r="Q371" s="1019"/>
    </row>
    <row r="372" spans="15:17" ht="15" customHeight="1">
      <c r="O372" s="226"/>
      <c r="P372" s="1019"/>
      <c r="Q372" s="1019"/>
    </row>
    <row r="373" spans="15:17" ht="15" customHeight="1">
      <c r="O373" s="226"/>
      <c r="P373" s="1019"/>
      <c r="Q373" s="1019"/>
    </row>
    <row r="374" spans="15:17" ht="15" customHeight="1">
      <c r="O374" s="226"/>
      <c r="P374" s="1019"/>
      <c r="Q374" s="1019"/>
    </row>
    <row r="375" spans="15:17" ht="15" customHeight="1">
      <c r="O375" s="226"/>
      <c r="P375" s="1019"/>
      <c r="Q375" s="1019"/>
    </row>
    <row r="376" spans="15:17" ht="15" customHeight="1">
      <c r="O376" s="226"/>
      <c r="P376" s="1019"/>
      <c r="Q376" s="1019"/>
    </row>
    <row r="377" spans="15:17" ht="15" customHeight="1">
      <c r="O377" s="226"/>
      <c r="P377" s="1019"/>
      <c r="Q377" s="1019"/>
    </row>
    <row r="378" spans="15:17" ht="15" customHeight="1">
      <c r="O378" s="226"/>
      <c r="P378" s="1019"/>
      <c r="Q378" s="1019"/>
    </row>
    <row r="379" spans="15:17" ht="15" customHeight="1">
      <c r="O379" s="226"/>
      <c r="P379" s="1019"/>
      <c r="Q379" s="1019"/>
    </row>
    <row r="380" spans="15:17" ht="15" customHeight="1">
      <c r="O380" s="226"/>
      <c r="P380" s="1019"/>
      <c r="Q380" s="1019"/>
    </row>
    <row r="381" spans="15:17" ht="15" customHeight="1">
      <c r="O381" s="226"/>
      <c r="P381" s="1019"/>
      <c r="Q381" s="1019"/>
    </row>
    <row r="382" spans="15:17" ht="15" customHeight="1">
      <c r="O382" s="226"/>
      <c r="P382" s="1019"/>
      <c r="Q382" s="1019"/>
    </row>
    <row r="383" spans="15:17" ht="15" customHeight="1">
      <c r="O383" s="226"/>
      <c r="P383" s="1019"/>
      <c r="Q383" s="1019"/>
    </row>
    <row r="384" spans="15:17" ht="15" customHeight="1">
      <c r="O384" s="226"/>
      <c r="P384" s="1019"/>
      <c r="Q384" s="1019"/>
    </row>
    <row r="385" spans="15:17" ht="15" customHeight="1">
      <c r="O385" s="226"/>
      <c r="P385" s="1019"/>
      <c r="Q385" s="1019"/>
    </row>
    <row r="386" spans="15:17" ht="15" customHeight="1">
      <c r="O386" s="226"/>
      <c r="P386" s="1019"/>
      <c r="Q386" s="1019"/>
    </row>
    <row r="387" spans="15:17" ht="15" customHeight="1">
      <c r="O387" s="226"/>
      <c r="P387" s="1019"/>
      <c r="Q387" s="1019"/>
    </row>
    <row r="388" spans="15:17" ht="15" customHeight="1">
      <c r="O388" s="226"/>
      <c r="P388" s="1019"/>
      <c r="Q388" s="1019"/>
    </row>
    <row r="389" spans="15:17" ht="15" customHeight="1">
      <c r="O389" s="226"/>
      <c r="P389" s="1019"/>
      <c r="Q389" s="1019"/>
    </row>
    <row r="390" spans="15:17" ht="15" customHeight="1">
      <c r="O390" s="226"/>
      <c r="P390" s="1019"/>
      <c r="Q390" s="1019"/>
    </row>
    <row r="391" spans="15:17" ht="15" customHeight="1">
      <c r="O391" s="226"/>
      <c r="P391" s="1019"/>
      <c r="Q391" s="1019"/>
    </row>
    <row r="392" spans="15:17" ht="15" customHeight="1">
      <c r="O392" s="226"/>
      <c r="P392" s="1019"/>
      <c r="Q392" s="1019"/>
    </row>
    <row r="393" spans="15:17" ht="15" customHeight="1">
      <c r="O393" s="226"/>
      <c r="P393" s="1019"/>
      <c r="Q393" s="1019"/>
    </row>
    <row r="394" spans="15:17" ht="15" customHeight="1">
      <c r="O394" s="226"/>
      <c r="P394" s="1019"/>
      <c r="Q394" s="1019"/>
    </row>
    <row r="395" spans="15:17" ht="15" customHeight="1">
      <c r="O395" s="226"/>
      <c r="P395" s="1019"/>
      <c r="Q395" s="1019"/>
    </row>
    <row r="396" spans="15:17" ht="15" customHeight="1">
      <c r="O396" s="226"/>
      <c r="P396" s="1019"/>
      <c r="Q396" s="1019"/>
    </row>
    <row r="397" spans="15:17" ht="15" customHeight="1">
      <c r="O397" s="226"/>
      <c r="P397" s="1019"/>
      <c r="Q397" s="1019"/>
    </row>
    <row r="398" spans="15:17" ht="15" customHeight="1">
      <c r="O398" s="226"/>
      <c r="P398" s="1019"/>
      <c r="Q398" s="1019"/>
    </row>
    <row r="399" spans="15:17" ht="15" customHeight="1">
      <c r="O399" s="226"/>
      <c r="P399" s="1019"/>
      <c r="Q399" s="1019"/>
    </row>
    <row r="400" spans="15:17" ht="15" customHeight="1">
      <c r="O400" s="226"/>
      <c r="P400" s="1019"/>
      <c r="Q400" s="1019"/>
    </row>
    <row r="401" spans="15:17" ht="15" customHeight="1">
      <c r="O401" s="226"/>
      <c r="P401" s="1019"/>
      <c r="Q401" s="1019"/>
    </row>
    <row r="402" spans="15:17" ht="15" customHeight="1">
      <c r="O402" s="226"/>
      <c r="P402" s="1019"/>
      <c r="Q402" s="1019"/>
    </row>
    <row r="403" spans="15:17" ht="15" customHeight="1">
      <c r="O403" s="226"/>
      <c r="P403" s="1019"/>
      <c r="Q403" s="1019"/>
    </row>
    <row r="404" spans="15:17" ht="15" customHeight="1">
      <c r="O404" s="226"/>
      <c r="P404" s="1019"/>
      <c r="Q404" s="1019"/>
    </row>
    <row r="405" spans="15:17" ht="15" customHeight="1">
      <c r="O405" s="226"/>
      <c r="P405" s="1019"/>
      <c r="Q405" s="1019"/>
    </row>
    <row r="406" spans="15:17" ht="15" customHeight="1">
      <c r="O406" s="226"/>
      <c r="P406" s="1019"/>
      <c r="Q406" s="1019"/>
    </row>
    <row r="407" spans="15:17" ht="15" customHeight="1">
      <c r="O407" s="226"/>
      <c r="P407" s="1019"/>
      <c r="Q407" s="1019"/>
    </row>
    <row r="408" spans="15:17" ht="15" customHeight="1">
      <c r="O408" s="226"/>
      <c r="P408" s="1019"/>
      <c r="Q408" s="1019"/>
    </row>
    <row r="409" spans="15:17" ht="15" customHeight="1">
      <c r="O409" s="226"/>
      <c r="P409" s="1019"/>
      <c r="Q409" s="1019"/>
    </row>
    <row r="410" spans="15:17" ht="15" customHeight="1">
      <c r="O410" s="226"/>
      <c r="P410" s="1019"/>
      <c r="Q410" s="1019"/>
    </row>
    <row r="411" spans="15:17" ht="15" customHeight="1">
      <c r="O411" s="226"/>
      <c r="P411" s="1019"/>
      <c r="Q411" s="1019"/>
    </row>
    <row r="412" spans="15:17" ht="15" customHeight="1">
      <c r="O412" s="226"/>
      <c r="P412" s="1019"/>
      <c r="Q412" s="1019"/>
    </row>
    <row r="413" spans="15:17" ht="15" customHeight="1">
      <c r="O413" s="226"/>
      <c r="P413" s="1019"/>
      <c r="Q413" s="1019"/>
    </row>
    <row r="414" spans="15:17" ht="15" customHeight="1">
      <c r="O414" s="226"/>
      <c r="P414" s="1019"/>
      <c r="Q414" s="1019"/>
    </row>
    <row r="415" spans="15:17" ht="15" customHeight="1">
      <c r="O415" s="226"/>
      <c r="P415" s="1019"/>
      <c r="Q415" s="1019"/>
    </row>
    <row r="416" spans="15:17" ht="15" customHeight="1">
      <c r="O416" s="226"/>
      <c r="P416" s="1019"/>
      <c r="Q416" s="1019"/>
    </row>
    <row r="417" spans="15:17" ht="15" customHeight="1">
      <c r="O417" s="226"/>
      <c r="P417" s="1019"/>
      <c r="Q417" s="1019"/>
    </row>
    <row r="418" spans="15:17" ht="15" customHeight="1">
      <c r="O418" s="226"/>
      <c r="P418" s="1019"/>
      <c r="Q418" s="1019"/>
    </row>
    <row r="419" spans="15:17" ht="15" customHeight="1">
      <c r="O419" s="226"/>
      <c r="P419" s="1019"/>
      <c r="Q419" s="1019"/>
    </row>
    <row r="420" spans="15:17" ht="15" customHeight="1">
      <c r="O420" s="226"/>
      <c r="P420" s="1019"/>
      <c r="Q420" s="1019"/>
    </row>
    <row r="421" spans="15:17" ht="15" customHeight="1">
      <c r="O421" s="226"/>
      <c r="P421" s="1019"/>
      <c r="Q421" s="1019"/>
    </row>
    <row r="422" spans="15:17" ht="15" customHeight="1">
      <c r="O422" s="226"/>
      <c r="P422" s="1019"/>
      <c r="Q422" s="1019"/>
    </row>
    <row r="423" spans="15:17" ht="15" customHeight="1">
      <c r="O423" s="226"/>
      <c r="P423" s="1019"/>
      <c r="Q423" s="1019"/>
    </row>
    <row r="424" spans="15:17" ht="15" customHeight="1">
      <c r="O424" s="226"/>
      <c r="P424" s="1019"/>
      <c r="Q424" s="1019"/>
    </row>
    <row r="425" spans="15:17" ht="15" customHeight="1">
      <c r="O425" s="226"/>
      <c r="P425" s="1019"/>
      <c r="Q425" s="1019"/>
    </row>
    <row r="426" spans="15:17" ht="15" customHeight="1">
      <c r="O426" s="226"/>
      <c r="P426" s="1019"/>
      <c r="Q426" s="1019"/>
    </row>
    <row r="427" spans="15:17" ht="15" customHeight="1">
      <c r="O427" s="226"/>
      <c r="P427" s="1019"/>
      <c r="Q427" s="1019"/>
    </row>
    <row r="428" spans="15:17" ht="15" customHeight="1">
      <c r="O428" s="226"/>
      <c r="P428" s="1019"/>
      <c r="Q428" s="1019"/>
    </row>
    <row r="429" spans="15:17" ht="15" customHeight="1">
      <c r="O429" s="226"/>
      <c r="P429" s="1019"/>
      <c r="Q429" s="1019"/>
    </row>
    <row r="430" spans="15:17" ht="15" customHeight="1">
      <c r="O430" s="226"/>
      <c r="P430" s="1019"/>
      <c r="Q430" s="1019"/>
    </row>
    <row r="431" spans="15:17" ht="15" customHeight="1">
      <c r="O431" s="226"/>
      <c r="P431" s="1019"/>
      <c r="Q431" s="1019"/>
    </row>
    <row r="432" spans="15:17" ht="15" customHeight="1">
      <c r="O432" s="226"/>
      <c r="P432" s="1019"/>
      <c r="Q432" s="1019"/>
    </row>
    <row r="433" spans="15:17" ht="15" customHeight="1">
      <c r="O433" s="226"/>
      <c r="P433" s="1019"/>
      <c r="Q433" s="1019"/>
    </row>
    <row r="434" spans="15:17" ht="15" customHeight="1">
      <c r="O434" s="226"/>
      <c r="P434" s="1019"/>
      <c r="Q434" s="1019"/>
    </row>
    <row r="435" spans="15:17" ht="15" customHeight="1">
      <c r="O435" s="226"/>
      <c r="P435" s="1019"/>
      <c r="Q435" s="1019"/>
    </row>
    <row r="436" spans="15:17" ht="15" customHeight="1">
      <c r="O436" s="226"/>
      <c r="P436" s="1019"/>
      <c r="Q436" s="1019"/>
    </row>
    <row r="437" spans="15:17" ht="15" customHeight="1">
      <c r="O437" s="226"/>
      <c r="P437" s="1019"/>
      <c r="Q437" s="1019"/>
    </row>
    <row r="438" spans="15:17" ht="15" customHeight="1">
      <c r="O438" s="226"/>
      <c r="P438" s="1019"/>
      <c r="Q438" s="1019"/>
    </row>
    <row r="439" spans="15:17" ht="15" customHeight="1">
      <c r="O439" s="226"/>
      <c r="P439" s="1019"/>
      <c r="Q439" s="1019"/>
    </row>
    <row r="440" spans="15:17" ht="15" customHeight="1">
      <c r="O440" s="226"/>
      <c r="P440" s="1019"/>
      <c r="Q440" s="1019"/>
    </row>
    <row r="441" spans="15:17" ht="15" customHeight="1">
      <c r="O441" s="226"/>
      <c r="P441" s="1019"/>
      <c r="Q441" s="1019"/>
    </row>
    <row r="442" spans="15:17" ht="15" customHeight="1">
      <c r="O442" s="226"/>
      <c r="P442" s="1019"/>
      <c r="Q442" s="1019"/>
    </row>
    <row r="443" spans="15:17" ht="15" customHeight="1">
      <c r="O443" s="226"/>
      <c r="P443" s="1019"/>
      <c r="Q443" s="1019"/>
    </row>
    <row r="444" spans="15:17" ht="15" customHeight="1">
      <c r="O444" s="226"/>
      <c r="P444" s="1019"/>
      <c r="Q444" s="1019"/>
    </row>
    <row r="445" spans="15:17" ht="15" customHeight="1">
      <c r="O445" s="226"/>
      <c r="P445" s="1019"/>
      <c r="Q445" s="1019"/>
    </row>
    <row r="446" spans="15:17" ht="15" customHeight="1">
      <c r="O446" s="226"/>
      <c r="P446" s="1019"/>
      <c r="Q446" s="1019"/>
    </row>
    <row r="447" spans="15:17" ht="15" customHeight="1">
      <c r="O447" s="226"/>
      <c r="P447" s="1019"/>
      <c r="Q447" s="1019"/>
    </row>
    <row r="448" spans="15:17" ht="15" customHeight="1">
      <c r="O448" s="226"/>
      <c r="P448" s="1019"/>
      <c r="Q448" s="1019"/>
    </row>
    <row r="449" spans="15:17" ht="15" customHeight="1">
      <c r="O449" s="226"/>
      <c r="P449" s="1019"/>
      <c r="Q449" s="1019"/>
    </row>
    <row r="450" spans="15:17" ht="15" customHeight="1">
      <c r="O450" s="226"/>
      <c r="P450" s="1019"/>
      <c r="Q450" s="1019"/>
    </row>
    <row r="451" spans="15:17" ht="15" customHeight="1">
      <c r="O451" s="226"/>
      <c r="P451" s="1019"/>
      <c r="Q451" s="1019"/>
    </row>
    <row r="452" spans="15:17" ht="15" customHeight="1">
      <c r="O452" s="226"/>
      <c r="P452" s="1019"/>
      <c r="Q452" s="1019"/>
    </row>
    <row r="453" spans="15:17" ht="15" customHeight="1">
      <c r="O453" s="226"/>
      <c r="P453" s="1019"/>
      <c r="Q453" s="1019"/>
    </row>
    <row r="454" spans="15:17" ht="15" customHeight="1">
      <c r="O454" s="226"/>
      <c r="P454" s="1019"/>
      <c r="Q454" s="1019"/>
    </row>
    <row r="455" spans="15:17" ht="15" customHeight="1">
      <c r="O455" s="226"/>
      <c r="P455" s="1019"/>
      <c r="Q455" s="1019"/>
    </row>
    <row r="456" spans="15:17" ht="15" customHeight="1">
      <c r="O456" s="226"/>
      <c r="P456" s="1019"/>
      <c r="Q456" s="1019"/>
    </row>
    <row r="457" spans="15:17" ht="15" customHeight="1">
      <c r="O457" s="226"/>
      <c r="P457" s="1019"/>
      <c r="Q457" s="1019"/>
    </row>
    <row r="458" spans="15:17" ht="15" customHeight="1">
      <c r="O458" s="226"/>
      <c r="P458" s="1019"/>
      <c r="Q458" s="1019"/>
    </row>
    <row r="459" spans="15:17" ht="15" customHeight="1">
      <c r="O459" s="226"/>
      <c r="P459" s="1019"/>
      <c r="Q459" s="1019"/>
    </row>
    <row r="460" spans="15:17" ht="15" customHeight="1">
      <c r="O460" s="226"/>
      <c r="P460" s="1019"/>
      <c r="Q460" s="1019"/>
    </row>
    <row r="461" spans="15:17" ht="15" customHeight="1">
      <c r="O461" s="226"/>
      <c r="P461" s="1019"/>
      <c r="Q461" s="1019"/>
    </row>
    <row r="462" spans="15:17" ht="15" customHeight="1">
      <c r="O462" s="226"/>
      <c r="P462" s="1019"/>
      <c r="Q462" s="1019"/>
    </row>
    <row r="463" spans="15:17" ht="15" customHeight="1">
      <c r="O463" s="226"/>
      <c r="P463" s="1019"/>
      <c r="Q463" s="1019"/>
    </row>
    <row r="464" spans="15:17" ht="15" customHeight="1">
      <c r="O464" s="226"/>
      <c r="P464" s="1019"/>
      <c r="Q464" s="1019"/>
    </row>
    <row r="465" spans="15:17" ht="15" customHeight="1">
      <c r="O465" s="226"/>
      <c r="P465" s="1019"/>
      <c r="Q465" s="1019"/>
    </row>
    <row r="466" spans="15:17" ht="15" customHeight="1">
      <c r="O466" s="226"/>
      <c r="P466" s="1019"/>
      <c r="Q466" s="1019"/>
    </row>
    <row r="467" spans="15:17" ht="15" customHeight="1">
      <c r="O467" s="226"/>
      <c r="P467" s="1019"/>
      <c r="Q467" s="1019"/>
    </row>
    <row r="468" spans="15:17" ht="15" customHeight="1">
      <c r="O468" s="226"/>
      <c r="P468" s="1019"/>
      <c r="Q468" s="1019"/>
    </row>
    <row r="469" spans="15:17" ht="15" customHeight="1">
      <c r="O469" s="226"/>
      <c r="P469" s="1019"/>
      <c r="Q469" s="1019"/>
    </row>
    <row r="470" spans="15:17" ht="15" customHeight="1">
      <c r="O470" s="226"/>
      <c r="P470" s="1019"/>
      <c r="Q470" s="1019"/>
    </row>
    <row r="471" spans="15:17" ht="15" customHeight="1">
      <c r="O471" s="226"/>
      <c r="P471" s="1019"/>
      <c r="Q471" s="1019"/>
    </row>
    <row r="472" spans="15:17" ht="15" customHeight="1">
      <c r="O472" s="226"/>
      <c r="P472" s="1019"/>
      <c r="Q472" s="1019"/>
    </row>
    <row r="473" spans="15:17" ht="15" customHeight="1">
      <c r="O473" s="226"/>
      <c r="P473" s="1019"/>
      <c r="Q473" s="1019"/>
    </row>
    <row r="474" spans="15:17" ht="15" customHeight="1">
      <c r="O474" s="226"/>
      <c r="P474" s="1019"/>
      <c r="Q474" s="1019"/>
    </row>
    <row r="475" spans="15:17" ht="15" customHeight="1">
      <c r="O475" s="226"/>
      <c r="P475" s="1019"/>
      <c r="Q475" s="1019"/>
    </row>
    <row r="476" spans="15:17" ht="15" customHeight="1">
      <c r="O476" s="226"/>
      <c r="P476" s="1019"/>
      <c r="Q476" s="1019"/>
    </row>
    <row r="477" spans="15:17" ht="15" customHeight="1">
      <c r="O477" s="226"/>
      <c r="P477" s="1019"/>
      <c r="Q477" s="1019"/>
    </row>
    <row r="478" spans="15:17" ht="15" customHeight="1">
      <c r="O478" s="226"/>
      <c r="P478" s="1019"/>
      <c r="Q478" s="1019"/>
    </row>
    <row r="479" spans="15:17" ht="15" customHeight="1">
      <c r="O479" s="226"/>
      <c r="P479" s="1019"/>
      <c r="Q479" s="1019"/>
    </row>
    <row r="480" spans="15:17" ht="15" customHeight="1">
      <c r="O480" s="226"/>
      <c r="P480" s="1019"/>
      <c r="Q480" s="1019"/>
    </row>
    <row r="481" spans="15:17" ht="15" customHeight="1">
      <c r="O481" s="226"/>
      <c r="P481" s="1019"/>
      <c r="Q481" s="1019"/>
    </row>
    <row r="482" spans="15:17" ht="15" customHeight="1">
      <c r="O482" s="226"/>
      <c r="P482" s="1019"/>
      <c r="Q482" s="1019"/>
    </row>
    <row r="483" spans="15:17" ht="15" customHeight="1">
      <c r="O483" s="226"/>
      <c r="P483" s="1019"/>
      <c r="Q483" s="1019"/>
    </row>
    <row r="484" spans="15:17" ht="15" customHeight="1">
      <c r="O484" s="226"/>
      <c r="P484" s="1019"/>
      <c r="Q484" s="1019"/>
    </row>
    <row r="485" spans="15:17" ht="15" customHeight="1">
      <c r="O485" s="226"/>
      <c r="P485" s="1019"/>
      <c r="Q485" s="1019"/>
    </row>
    <row r="486" spans="15:17" ht="15" customHeight="1">
      <c r="O486" s="226"/>
      <c r="P486" s="1019"/>
      <c r="Q486" s="1019"/>
    </row>
    <row r="487" spans="15:17" ht="15" customHeight="1">
      <c r="O487" s="226"/>
      <c r="P487" s="1019"/>
      <c r="Q487" s="1019"/>
    </row>
    <row r="488" spans="15:17" ht="15" customHeight="1">
      <c r="O488" s="226"/>
      <c r="P488" s="1019"/>
      <c r="Q488" s="1019"/>
    </row>
    <row r="489" spans="15:17" ht="15" customHeight="1">
      <c r="O489" s="226"/>
      <c r="P489" s="1019"/>
      <c r="Q489" s="1019"/>
    </row>
    <row r="490" spans="15:17" ht="15" customHeight="1">
      <c r="O490" s="226"/>
      <c r="P490" s="1019"/>
      <c r="Q490" s="1019"/>
    </row>
    <row r="491" spans="15:17" ht="15" customHeight="1">
      <c r="O491" s="226"/>
      <c r="P491" s="1019"/>
      <c r="Q491" s="1019"/>
    </row>
    <row r="492" spans="15:17" ht="15" customHeight="1">
      <c r="O492" s="226"/>
      <c r="P492" s="1019"/>
      <c r="Q492" s="1019"/>
    </row>
    <row r="493" spans="15:17" ht="15" customHeight="1">
      <c r="O493" s="226"/>
      <c r="P493" s="1019"/>
      <c r="Q493" s="1019"/>
    </row>
    <row r="494" spans="15:17" ht="15" customHeight="1">
      <c r="O494" s="226"/>
      <c r="P494" s="1019"/>
      <c r="Q494" s="1019"/>
    </row>
    <row r="495" spans="15:17" ht="15" customHeight="1">
      <c r="O495" s="226"/>
      <c r="P495" s="1019"/>
      <c r="Q495" s="1019"/>
    </row>
    <row r="496" spans="15:17" ht="15" customHeight="1">
      <c r="O496" s="226"/>
      <c r="P496" s="1019"/>
      <c r="Q496" s="1019"/>
    </row>
    <row r="497" spans="15:17" ht="15" customHeight="1">
      <c r="O497" s="226"/>
      <c r="P497" s="1019"/>
      <c r="Q497" s="1019"/>
    </row>
    <row r="498" spans="15:17" ht="15" customHeight="1">
      <c r="O498" s="226"/>
      <c r="P498" s="1019"/>
      <c r="Q498" s="1019"/>
    </row>
    <row r="499" spans="15:17" ht="15" customHeight="1">
      <c r="O499" s="226"/>
      <c r="P499" s="1019"/>
      <c r="Q499" s="1019"/>
    </row>
    <row r="500" spans="15:17" ht="15" customHeight="1">
      <c r="O500" s="226"/>
      <c r="P500" s="1019"/>
      <c r="Q500" s="1019"/>
    </row>
    <row r="501" spans="15:17" ht="15" customHeight="1">
      <c r="O501" s="226"/>
      <c r="P501" s="1019"/>
      <c r="Q501" s="1019"/>
    </row>
    <row r="502" spans="15:17" ht="15" customHeight="1">
      <c r="O502" s="226"/>
      <c r="P502" s="1019"/>
      <c r="Q502" s="1019"/>
    </row>
    <row r="503" spans="15:17" ht="15" customHeight="1">
      <c r="O503" s="226"/>
      <c r="P503" s="1019"/>
      <c r="Q503" s="1019"/>
    </row>
    <row r="504" spans="15:17" ht="15" customHeight="1">
      <c r="O504" s="226"/>
      <c r="P504" s="1019"/>
      <c r="Q504" s="1019"/>
    </row>
    <row r="505" spans="15:17" ht="15" customHeight="1">
      <c r="O505" s="226"/>
      <c r="P505" s="1019"/>
      <c r="Q505" s="1019"/>
    </row>
    <row r="506" spans="15:17" ht="15" customHeight="1">
      <c r="O506" s="226"/>
      <c r="P506" s="1019"/>
      <c r="Q506" s="1019"/>
    </row>
    <row r="507" spans="15:17" ht="15" customHeight="1">
      <c r="O507" s="226"/>
      <c r="P507" s="1019"/>
      <c r="Q507" s="1019"/>
    </row>
    <row r="508" spans="15:17" ht="15" customHeight="1">
      <c r="O508" s="226"/>
      <c r="P508" s="1019"/>
      <c r="Q508" s="1019"/>
    </row>
    <row r="509" spans="15:17" ht="15" customHeight="1">
      <c r="O509" s="226"/>
      <c r="P509" s="1019"/>
      <c r="Q509" s="1019"/>
    </row>
    <row r="510" spans="15:17" ht="15" customHeight="1">
      <c r="O510" s="226"/>
      <c r="P510" s="1019"/>
      <c r="Q510" s="1019"/>
    </row>
    <row r="511" spans="15:17" ht="15" customHeight="1">
      <c r="O511" s="226"/>
      <c r="P511" s="1019"/>
      <c r="Q511" s="1019"/>
    </row>
    <row r="512" spans="15:17" ht="15" customHeight="1">
      <c r="O512" s="226"/>
      <c r="P512" s="1019"/>
      <c r="Q512" s="1019"/>
    </row>
    <row r="513" spans="15:17" ht="15" customHeight="1">
      <c r="O513" s="226"/>
      <c r="P513" s="1019"/>
      <c r="Q513" s="1019"/>
    </row>
    <row r="514" spans="15:17" ht="15" customHeight="1">
      <c r="O514" s="226"/>
      <c r="P514" s="1019"/>
      <c r="Q514" s="1019"/>
    </row>
    <row r="515" spans="15:17" ht="15" customHeight="1">
      <c r="O515" s="226"/>
      <c r="P515" s="1019"/>
      <c r="Q515" s="1019"/>
    </row>
    <row r="516" spans="15:17" ht="15" customHeight="1">
      <c r="O516" s="226"/>
      <c r="P516" s="1019"/>
      <c r="Q516" s="1019"/>
    </row>
    <row r="517" spans="15:17" ht="15" customHeight="1">
      <c r="O517" s="226"/>
      <c r="P517" s="1019"/>
      <c r="Q517" s="1019"/>
    </row>
    <row r="518" spans="15:17" ht="15" customHeight="1">
      <c r="O518" s="226"/>
      <c r="P518" s="1019"/>
      <c r="Q518" s="1019"/>
    </row>
    <row r="519" spans="15:17" ht="15" customHeight="1">
      <c r="O519" s="226"/>
      <c r="P519" s="1019"/>
      <c r="Q519" s="1019"/>
    </row>
    <row r="520" spans="15:17" ht="15" customHeight="1">
      <c r="O520" s="226"/>
      <c r="P520" s="1019"/>
      <c r="Q520" s="1019"/>
    </row>
    <row r="521" spans="15:17" ht="15" customHeight="1">
      <c r="O521" s="226"/>
      <c r="P521" s="1019"/>
      <c r="Q521" s="1019"/>
    </row>
    <row r="522" spans="15:17" ht="15" customHeight="1">
      <c r="O522" s="226"/>
      <c r="P522" s="1019"/>
      <c r="Q522" s="1019"/>
    </row>
    <row r="523" spans="15:17" ht="15" customHeight="1">
      <c r="O523" s="226"/>
      <c r="P523" s="1019"/>
      <c r="Q523" s="1019"/>
    </row>
    <row r="524" spans="15:17" ht="15" customHeight="1">
      <c r="O524" s="226"/>
      <c r="P524" s="1019"/>
      <c r="Q524" s="1019"/>
    </row>
    <row r="525" spans="15:17" ht="15" customHeight="1">
      <c r="O525" s="226"/>
      <c r="P525" s="1019"/>
      <c r="Q525" s="1019"/>
    </row>
    <row r="526" spans="15:17" ht="15" customHeight="1">
      <c r="O526" s="226"/>
      <c r="P526" s="1019"/>
      <c r="Q526" s="1019"/>
    </row>
    <row r="527" spans="15:17" ht="15" customHeight="1">
      <c r="O527" s="226"/>
      <c r="P527" s="1019"/>
      <c r="Q527" s="1019"/>
    </row>
    <row r="528" spans="15:17" ht="15" customHeight="1">
      <c r="O528" s="226"/>
      <c r="P528" s="1019"/>
      <c r="Q528" s="1019"/>
    </row>
    <row r="529" spans="15:17" ht="15" customHeight="1">
      <c r="O529" s="226"/>
      <c r="P529" s="1019"/>
      <c r="Q529" s="1019"/>
    </row>
    <row r="530" spans="15:17" ht="15" customHeight="1">
      <c r="O530" s="226"/>
      <c r="P530" s="1019"/>
      <c r="Q530" s="1019"/>
    </row>
    <row r="531" spans="15:17" ht="15" customHeight="1">
      <c r="O531" s="226"/>
      <c r="P531" s="1019"/>
      <c r="Q531" s="1019"/>
    </row>
    <row r="532" spans="15:17" ht="15" customHeight="1">
      <c r="O532" s="226"/>
      <c r="P532" s="1019"/>
      <c r="Q532" s="1019"/>
    </row>
    <row r="533" spans="15:17" ht="15" customHeight="1">
      <c r="O533" s="226"/>
      <c r="P533" s="1019"/>
      <c r="Q533" s="1019"/>
    </row>
    <row r="534" spans="15:17" ht="15" customHeight="1">
      <c r="O534" s="226"/>
      <c r="P534" s="1019"/>
      <c r="Q534" s="1019"/>
    </row>
    <row r="535" spans="15:17" ht="15" customHeight="1">
      <c r="O535" s="226"/>
      <c r="P535" s="1019"/>
      <c r="Q535" s="1019"/>
    </row>
    <row r="536" spans="15:17" ht="15" customHeight="1">
      <c r="O536" s="226"/>
      <c r="P536" s="1019"/>
      <c r="Q536" s="1019"/>
    </row>
    <row r="537" spans="15:17" ht="15" customHeight="1">
      <c r="O537" s="226"/>
      <c r="P537" s="1019"/>
      <c r="Q537" s="1019"/>
    </row>
    <row r="538" spans="15:17" ht="15" customHeight="1">
      <c r="O538" s="226"/>
      <c r="P538" s="1019"/>
      <c r="Q538" s="1019"/>
    </row>
    <row r="539" spans="15:17" ht="15" customHeight="1">
      <c r="O539" s="226"/>
      <c r="P539" s="1019"/>
      <c r="Q539" s="1019"/>
    </row>
    <row r="540" spans="15:17" ht="15" customHeight="1">
      <c r="O540" s="226"/>
      <c r="P540" s="1019"/>
      <c r="Q540" s="1019"/>
    </row>
    <row r="541" spans="15:17" ht="15" customHeight="1">
      <c r="O541" s="226"/>
      <c r="P541" s="1019"/>
      <c r="Q541" s="1019"/>
    </row>
    <row r="542" spans="15:17" ht="15" customHeight="1">
      <c r="O542" s="226"/>
      <c r="P542" s="1019"/>
      <c r="Q542" s="1019"/>
    </row>
    <row r="543" spans="15:17" ht="15" customHeight="1">
      <c r="O543" s="226"/>
      <c r="P543" s="1019"/>
      <c r="Q543" s="1019"/>
    </row>
    <row r="544" spans="15:17" ht="15" customHeight="1">
      <c r="O544" s="226"/>
      <c r="P544" s="1019"/>
      <c r="Q544" s="1019"/>
    </row>
    <row r="545" spans="15:17" ht="15" customHeight="1">
      <c r="O545" s="226"/>
      <c r="P545" s="1019"/>
      <c r="Q545" s="1019"/>
    </row>
    <row r="546" spans="15:17" ht="15" customHeight="1">
      <c r="O546" s="226"/>
      <c r="P546" s="1019"/>
      <c r="Q546" s="1019"/>
    </row>
    <row r="547" spans="15:17" ht="15" customHeight="1">
      <c r="O547" s="226"/>
      <c r="P547" s="1019"/>
      <c r="Q547" s="1019"/>
    </row>
    <row r="548" spans="15:17" ht="15" customHeight="1">
      <c r="O548" s="226"/>
      <c r="P548" s="1019"/>
      <c r="Q548" s="1019"/>
    </row>
    <row r="549" spans="15:17" ht="15" customHeight="1">
      <c r="O549" s="226"/>
      <c r="P549" s="1019"/>
      <c r="Q549" s="1019"/>
    </row>
    <row r="550" spans="15:17" ht="15" customHeight="1">
      <c r="O550" s="226"/>
      <c r="P550" s="1019"/>
      <c r="Q550" s="1019"/>
    </row>
    <row r="551" spans="15:17" ht="15" customHeight="1">
      <c r="O551" s="226"/>
      <c r="P551" s="1019"/>
      <c r="Q551" s="1019"/>
    </row>
    <row r="552" spans="15:17" ht="15" customHeight="1">
      <c r="O552" s="226"/>
      <c r="P552" s="1019"/>
      <c r="Q552" s="1019"/>
    </row>
    <row r="553" spans="15:17" ht="15" customHeight="1">
      <c r="O553" s="226"/>
      <c r="P553" s="1019"/>
      <c r="Q553" s="1019"/>
    </row>
    <row r="554" spans="15:17" ht="15" customHeight="1">
      <c r="O554" s="226"/>
      <c r="P554" s="1019"/>
      <c r="Q554" s="1019"/>
    </row>
    <row r="555" spans="15:17" ht="15" customHeight="1">
      <c r="O555" s="226"/>
      <c r="P555" s="1019"/>
      <c r="Q555" s="1019"/>
    </row>
    <row r="556" spans="15:17" ht="15" customHeight="1">
      <c r="O556" s="226"/>
      <c r="P556" s="1019"/>
      <c r="Q556" s="1019"/>
    </row>
    <row r="557" spans="15:17" ht="15" customHeight="1">
      <c r="O557" s="226"/>
      <c r="P557" s="1019"/>
      <c r="Q557" s="1019"/>
    </row>
    <row r="558" spans="15:17" ht="15" customHeight="1">
      <c r="O558" s="226"/>
      <c r="P558" s="1019"/>
      <c r="Q558" s="1019"/>
    </row>
    <row r="559" spans="15:17" ht="15" customHeight="1">
      <c r="O559" s="226"/>
      <c r="P559" s="1019"/>
      <c r="Q559" s="1019"/>
    </row>
    <row r="560" spans="15:17" ht="15" customHeight="1">
      <c r="O560" s="226"/>
      <c r="P560" s="1019"/>
      <c r="Q560" s="1019"/>
    </row>
    <row r="561" spans="15:17" ht="15" customHeight="1">
      <c r="O561" s="226"/>
      <c r="P561" s="1019"/>
      <c r="Q561" s="1019"/>
    </row>
    <row r="562" spans="15:17" ht="15" customHeight="1">
      <c r="O562" s="226"/>
      <c r="P562" s="1019"/>
      <c r="Q562" s="1019"/>
    </row>
    <row r="563" spans="15:17" ht="15" customHeight="1">
      <c r="O563" s="226"/>
      <c r="P563" s="1019"/>
      <c r="Q563" s="1019"/>
    </row>
    <row r="564" spans="15:17" ht="15" customHeight="1">
      <c r="O564" s="226"/>
      <c r="P564" s="1019"/>
      <c r="Q564" s="1019"/>
    </row>
    <row r="565" spans="15:17" ht="15" customHeight="1">
      <c r="O565" s="226"/>
      <c r="P565" s="1019"/>
      <c r="Q565" s="1019"/>
    </row>
    <row r="566" spans="15:17" ht="15" customHeight="1">
      <c r="O566" s="226"/>
      <c r="P566" s="1019"/>
      <c r="Q566" s="1019"/>
    </row>
    <row r="567" spans="15:17" ht="15" customHeight="1">
      <c r="O567" s="226"/>
      <c r="P567" s="1019"/>
      <c r="Q567" s="1019"/>
    </row>
    <row r="568" spans="15:17" ht="15" customHeight="1">
      <c r="O568" s="226"/>
      <c r="P568" s="1019"/>
      <c r="Q568" s="1019"/>
    </row>
    <row r="569" spans="15:17" ht="15" customHeight="1">
      <c r="O569" s="226"/>
      <c r="P569" s="1019"/>
      <c r="Q569" s="1019"/>
    </row>
    <row r="570" spans="15:17" ht="15" customHeight="1">
      <c r="O570" s="226"/>
      <c r="P570" s="1019"/>
      <c r="Q570" s="1019"/>
    </row>
    <row r="571" spans="15:17" ht="15" customHeight="1">
      <c r="O571" s="226"/>
      <c r="P571" s="1019"/>
      <c r="Q571" s="1019"/>
    </row>
    <row r="572" spans="15:17" ht="15" customHeight="1">
      <c r="O572" s="226"/>
      <c r="P572" s="1019"/>
      <c r="Q572" s="1019"/>
    </row>
    <row r="573" spans="15:17" ht="15" customHeight="1">
      <c r="O573" s="226"/>
      <c r="P573" s="1019"/>
      <c r="Q573" s="1019"/>
    </row>
    <row r="574" spans="15:17" ht="15" customHeight="1">
      <c r="O574" s="226"/>
      <c r="P574" s="1019"/>
      <c r="Q574" s="1019"/>
    </row>
    <row r="575" spans="15:17" ht="15" customHeight="1">
      <c r="O575" s="226"/>
      <c r="P575" s="1019"/>
      <c r="Q575" s="1019"/>
    </row>
    <row r="576" spans="15:17" ht="15" customHeight="1">
      <c r="O576" s="226"/>
      <c r="P576" s="1019"/>
      <c r="Q576" s="1019"/>
    </row>
    <row r="577" spans="15:17" ht="15" customHeight="1">
      <c r="O577" s="226"/>
      <c r="P577" s="1019"/>
      <c r="Q577" s="1019"/>
    </row>
    <row r="578" spans="15:17" ht="15" customHeight="1">
      <c r="O578" s="226"/>
      <c r="P578" s="1019"/>
      <c r="Q578" s="1019"/>
    </row>
    <row r="579" spans="15:17" ht="15" customHeight="1">
      <c r="O579" s="226"/>
      <c r="P579" s="1019"/>
      <c r="Q579" s="1019"/>
    </row>
    <row r="580" spans="15:17" ht="15" customHeight="1">
      <c r="O580" s="226"/>
      <c r="P580" s="1019"/>
      <c r="Q580" s="1019"/>
    </row>
    <row r="581" spans="15:17" ht="15" customHeight="1">
      <c r="O581" s="226"/>
      <c r="P581" s="1019"/>
      <c r="Q581" s="1019"/>
    </row>
    <row r="582" spans="15:17" ht="15" customHeight="1">
      <c r="O582" s="226"/>
      <c r="P582" s="1019"/>
      <c r="Q582" s="1019"/>
    </row>
    <row r="583" spans="15:17" ht="15" customHeight="1">
      <c r="O583" s="226"/>
      <c r="P583" s="1019"/>
      <c r="Q583" s="1019"/>
    </row>
    <row r="584" spans="15:17" ht="15" customHeight="1">
      <c r="O584" s="226"/>
      <c r="P584" s="1019"/>
      <c r="Q584" s="1019"/>
    </row>
    <row r="585" spans="15:17" ht="15" customHeight="1">
      <c r="O585" s="226"/>
      <c r="P585" s="1019"/>
      <c r="Q585" s="1019"/>
    </row>
    <row r="586" spans="15:17" ht="15" customHeight="1">
      <c r="O586" s="226"/>
      <c r="P586" s="1019"/>
      <c r="Q586" s="1019"/>
    </row>
    <row r="587" spans="15:17" ht="15" customHeight="1">
      <c r="O587" s="226"/>
      <c r="P587" s="1019"/>
      <c r="Q587" s="1019"/>
    </row>
    <row r="588" spans="15:17" ht="15" customHeight="1">
      <c r="O588" s="226"/>
      <c r="P588" s="1019"/>
      <c r="Q588" s="1019"/>
    </row>
    <row r="589" spans="15:17" ht="15" customHeight="1">
      <c r="O589" s="226"/>
      <c r="P589" s="1019"/>
      <c r="Q589" s="1019"/>
    </row>
    <row r="590" spans="15:17" ht="15" customHeight="1">
      <c r="O590" s="226"/>
      <c r="P590" s="1019"/>
      <c r="Q590" s="1019"/>
    </row>
    <row r="591" spans="15:17" ht="15" customHeight="1">
      <c r="O591" s="226"/>
      <c r="P591" s="1019"/>
      <c r="Q591" s="1019"/>
    </row>
    <row r="592" spans="15:17" ht="15" customHeight="1">
      <c r="O592" s="226"/>
      <c r="P592" s="1019"/>
      <c r="Q592" s="1019"/>
    </row>
    <row r="593" spans="15:17" ht="15" customHeight="1">
      <c r="O593" s="226"/>
      <c r="P593" s="1019"/>
      <c r="Q593" s="1019"/>
    </row>
    <row r="594" spans="15:17" ht="15" customHeight="1">
      <c r="O594" s="226"/>
      <c r="P594" s="1019"/>
      <c r="Q594" s="1019"/>
    </row>
    <row r="595" spans="15:17" ht="15" customHeight="1">
      <c r="O595" s="226"/>
      <c r="P595" s="1019"/>
      <c r="Q595" s="1019"/>
    </row>
    <row r="596" spans="15:17" ht="15" customHeight="1">
      <c r="O596" s="226"/>
      <c r="P596" s="1019"/>
      <c r="Q596" s="1019"/>
    </row>
    <row r="597" spans="15:17" ht="15" customHeight="1">
      <c r="O597" s="226"/>
      <c r="P597" s="1019"/>
      <c r="Q597" s="1019"/>
    </row>
    <row r="598" spans="15:17" ht="15" customHeight="1">
      <c r="O598" s="226"/>
      <c r="P598" s="1019"/>
      <c r="Q598" s="1019"/>
    </row>
    <row r="599" spans="15:17" ht="15" customHeight="1">
      <c r="O599" s="226"/>
      <c r="P599" s="1019"/>
      <c r="Q599" s="1019"/>
    </row>
    <row r="600" spans="15:17" ht="15" customHeight="1">
      <c r="O600" s="226"/>
      <c r="P600" s="1019"/>
      <c r="Q600" s="1019"/>
    </row>
    <row r="601" spans="15:17" ht="15" customHeight="1">
      <c r="O601" s="226"/>
      <c r="P601" s="1019"/>
      <c r="Q601" s="1019"/>
    </row>
    <row r="602" spans="15:17" ht="15" customHeight="1">
      <c r="O602" s="226"/>
      <c r="P602" s="1019"/>
      <c r="Q602" s="1019"/>
    </row>
    <row r="603" spans="15:17" ht="15" customHeight="1">
      <c r="O603" s="226"/>
      <c r="P603" s="1019"/>
      <c r="Q603" s="1019"/>
    </row>
    <row r="604" spans="15:17" ht="15" customHeight="1">
      <c r="O604" s="226"/>
      <c r="P604" s="1019"/>
      <c r="Q604" s="1019"/>
    </row>
    <row r="605" spans="15:17" ht="15" customHeight="1">
      <c r="O605" s="226"/>
      <c r="P605" s="1019"/>
      <c r="Q605" s="1019"/>
    </row>
    <row r="606" spans="15:17" ht="15" customHeight="1">
      <c r="O606" s="226"/>
      <c r="P606" s="1019"/>
      <c r="Q606" s="1019"/>
    </row>
    <row r="607" spans="15:17" ht="15" customHeight="1">
      <c r="O607" s="226"/>
      <c r="P607" s="1019"/>
      <c r="Q607" s="1019"/>
    </row>
    <row r="608" spans="15:17" ht="15" customHeight="1">
      <c r="O608" s="226"/>
      <c r="P608" s="1019"/>
      <c r="Q608" s="1019"/>
    </row>
    <row r="609" spans="15:17" ht="15" customHeight="1">
      <c r="O609" s="226"/>
      <c r="P609" s="1019"/>
      <c r="Q609" s="1019"/>
    </row>
    <row r="610" spans="15:17" ht="15" customHeight="1">
      <c r="O610" s="226"/>
      <c r="P610" s="1019"/>
      <c r="Q610" s="1019"/>
    </row>
    <row r="611" spans="15:17" ht="15" customHeight="1">
      <c r="O611" s="226"/>
      <c r="P611" s="1019"/>
      <c r="Q611" s="1019"/>
    </row>
    <row r="612" spans="15:17" ht="15" customHeight="1">
      <c r="O612" s="226"/>
      <c r="P612" s="1019"/>
      <c r="Q612" s="1019"/>
    </row>
    <row r="613" spans="15:17" ht="15" customHeight="1">
      <c r="O613" s="226"/>
      <c r="P613" s="1019"/>
      <c r="Q613" s="1019"/>
    </row>
    <row r="614" spans="15:17" ht="15" customHeight="1">
      <c r="O614" s="226"/>
      <c r="P614" s="1019"/>
      <c r="Q614" s="1019"/>
    </row>
    <row r="615" spans="15:17" ht="15" customHeight="1">
      <c r="O615" s="226"/>
      <c r="P615" s="1019"/>
      <c r="Q615" s="1019"/>
    </row>
    <row r="616" spans="15:17" ht="15" customHeight="1">
      <c r="O616" s="226"/>
      <c r="P616" s="1019"/>
      <c r="Q616" s="1019"/>
    </row>
    <row r="617" spans="15:17" ht="15" customHeight="1">
      <c r="O617" s="226"/>
      <c r="P617" s="1019"/>
      <c r="Q617" s="1019"/>
    </row>
    <row r="618" spans="15:17" ht="15" customHeight="1">
      <c r="O618" s="226"/>
      <c r="P618" s="1019"/>
      <c r="Q618" s="1019"/>
    </row>
    <row r="619" spans="15:17" ht="15" customHeight="1">
      <c r="O619" s="226"/>
      <c r="P619" s="1019"/>
      <c r="Q619" s="1019"/>
    </row>
    <row r="620" spans="15:17" ht="15" customHeight="1">
      <c r="O620" s="226"/>
      <c r="P620" s="1019"/>
      <c r="Q620" s="1019"/>
    </row>
    <row r="621" spans="15:17" ht="15" customHeight="1">
      <c r="O621" s="226"/>
      <c r="P621" s="1019"/>
      <c r="Q621" s="1019"/>
    </row>
    <row r="622" spans="15:17" ht="15" customHeight="1">
      <c r="O622" s="226"/>
      <c r="P622" s="1019"/>
      <c r="Q622" s="1019"/>
    </row>
    <row r="623" spans="15:17" ht="15" customHeight="1">
      <c r="O623" s="226"/>
      <c r="P623" s="1019"/>
      <c r="Q623" s="1019"/>
    </row>
    <row r="624" spans="15:17" ht="15" customHeight="1">
      <c r="O624" s="226"/>
      <c r="P624" s="1019"/>
      <c r="Q624" s="1019"/>
    </row>
    <row r="625" spans="15:17" ht="15" customHeight="1">
      <c r="O625" s="226"/>
      <c r="P625" s="1019"/>
      <c r="Q625" s="1019"/>
    </row>
    <row r="626" spans="15:17" ht="15" customHeight="1">
      <c r="O626" s="226"/>
      <c r="P626" s="1019"/>
      <c r="Q626" s="1019"/>
    </row>
    <row r="627" spans="15:17" ht="15" customHeight="1">
      <c r="O627" s="226"/>
      <c r="P627" s="1019"/>
      <c r="Q627" s="1019"/>
    </row>
    <row r="628" spans="15:17" ht="15" customHeight="1">
      <c r="O628" s="226"/>
      <c r="P628" s="1019"/>
      <c r="Q628" s="1019"/>
    </row>
    <row r="629" spans="15:17" ht="15" customHeight="1">
      <c r="O629" s="226"/>
      <c r="P629" s="1019"/>
      <c r="Q629" s="1019"/>
    </row>
    <row r="630" spans="15:17" ht="15" customHeight="1">
      <c r="O630" s="226"/>
      <c r="P630" s="1019"/>
      <c r="Q630" s="1019"/>
    </row>
    <row r="631" spans="15:17" ht="15" customHeight="1">
      <c r="O631" s="226"/>
      <c r="P631" s="1019"/>
      <c r="Q631" s="1019"/>
    </row>
    <row r="632" spans="15:17" ht="15" customHeight="1">
      <c r="O632" s="226"/>
      <c r="P632" s="1019"/>
      <c r="Q632" s="1019"/>
    </row>
    <row r="633" spans="15:17" ht="15" customHeight="1">
      <c r="O633" s="226"/>
      <c r="P633" s="1019"/>
      <c r="Q633" s="1019"/>
    </row>
    <row r="634" spans="15:17" ht="15" customHeight="1">
      <c r="O634" s="226"/>
      <c r="P634" s="1019"/>
      <c r="Q634" s="1019"/>
    </row>
    <row r="635" spans="15:17" ht="15" customHeight="1">
      <c r="O635" s="226"/>
      <c r="P635" s="1019"/>
      <c r="Q635" s="1019"/>
    </row>
    <row r="636" spans="15:17" ht="15" customHeight="1">
      <c r="O636" s="226"/>
      <c r="P636" s="1019"/>
      <c r="Q636" s="1019"/>
    </row>
    <row r="637" spans="15:17" ht="15" customHeight="1">
      <c r="O637" s="226"/>
      <c r="P637" s="1019"/>
      <c r="Q637" s="1019"/>
    </row>
    <row r="638" spans="15:17" ht="15" customHeight="1">
      <c r="O638" s="226"/>
      <c r="P638" s="1019"/>
      <c r="Q638" s="1019"/>
    </row>
    <row r="639" spans="15:17" ht="15" customHeight="1">
      <c r="O639" s="226"/>
      <c r="P639" s="1019"/>
      <c r="Q639" s="1019"/>
    </row>
    <row r="640" spans="15:17" ht="15" customHeight="1">
      <c r="O640" s="226"/>
      <c r="P640" s="1019"/>
      <c r="Q640" s="1019"/>
    </row>
    <row r="641" spans="15:17" ht="15" customHeight="1">
      <c r="O641" s="226"/>
      <c r="P641" s="1019"/>
      <c r="Q641" s="1019"/>
    </row>
    <row r="642" spans="15:17" ht="15" customHeight="1">
      <c r="O642" s="226"/>
      <c r="P642" s="1019"/>
      <c r="Q642" s="1019"/>
    </row>
    <row r="643" spans="15:17" ht="15" customHeight="1">
      <c r="O643" s="226"/>
      <c r="P643" s="1019"/>
      <c r="Q643" s="1019"/>
    </row>
    <row r="644" spans="15:17" ht="15" customHeight="1">
      <c r="O644" s="226"/>
      <c r="P644" s="1019"/>
      <c r="Q644" s="1019"/>
    </row>
    <row r="645" spans="15:17" ht="15" customHeight="1">
      <c r="O645" s="226"/>
      <c r="P645" s="1019"/>
      <c r="Q645" s="1019"/>
    </row>
    <row r="646" spans="15:17" ht="15" customHeight="1">
      <c r="O646" s="226"/>
      <c r="P646" s="1019"/>
      <c r="Q646" s="1019"/>
    </row>
    <row r="647" spans="15:17" ht="15" customHeight="1">
      <c r="O647" s="226"/>
      <c r="P647" s="1019"/>
      <c r="Q647" s="1019"/>
    </row>
    <row r="648" spans="15:17" ht="15" customHeight="1">
      <c r="O648" s="226"/>
      <c r="P648" s="1019"/>
      <c r="Q648" s="1019"/>
    </row>
    <row r="649" spans="15:17" ht="15" customHeight="1">
      <c r="O649" s="226"/>
      <c r="P649" s="1019"/>
      <c r="Q649" s="1019"/>
    </row>
    <row r="650" spans="15:17" ht="15" customHeight="1">
      <c r="O650" s="226"/>
      <c r="P650" s="1019"/>
      <c r="Q650" s="1019"/>
    </row>
    <row r="651" spans="15:17" ht="15" customHeight="1">
      <c r="O651" s="226"/>
      <c r="P651" s="1019"/>
      <c r="Q651" s="1019"/>
    </row>
    <row r="652" spans="15:17" ht="15" customHeight="1">
      <c r="O652" s="226"/>
      <c r="P652" s="1019"/>
      <c r="Q652" s="1019"/>
    </row>
    <row r="653" spans="15:17" ht="15" customHeight="1">
      <c r="O653" s="226"/>
      <c r="P653" s="1019"/>
      <c r="Q653" s="1019"/>
    </row>
    <row r="654" spans="15:17" ht="15" customHeight="1">
      <c r="O654" s="226"/>
      <c r="P654" s="1019"/>
      <c r="Q654" s="1019"/>
    </row>
    <row r="655" spans="15:17" ht="15" customHeight="1">
      <c r="O655" s="226"/>
      <c r="P655" s="1019"/>
      <c r="Q655" s="1019"/>
    </row>
    <row r="656" spans="15:17" ht="15" customHeight="1">
      <c r="O656" s="226"/>
      <c r="P656" s="1019"/>
      <c r="Q656" s="1019"/>
    </row>
    <row r="657" spans="15:17" ht="15" customHeight="1">
      <c r="O657" s="226"/>
      <c r="P657" s="1019"/>
      <c r="Q657" s="1019"/>
    </row>
    <row r="658" spans="15:17" ht="15" customHeight="1">
      <c r="O658" s="226"/>
      <c r="P658" s="1019"/>
      <c r="Q658" s="1019"/>
    </row>
    <row r="659" spans="15:17" ht="15" customHeight="1">
      <c r="O659" s="226"/>
      <c r="P659" s="1019"/>
      <c r="Q659" s="1019"/>
    </row>
    <row r="660" spans="15:17" ht="15" customHeight="1">
      <c r="O660" s="226"/>
      <c r="P660" s="1019"/>
      <c r="Q660" s="1019"/>
    </row>
    <row r="661" spans="15:17" ht="15" customHeight="1">
      <c r="O661" s="226"/>
      <c r="P661" s="1019"/>
      <c r="Q661" s="1019"/>
    </row>
    <row r="662" spans="15:17" ht="15" customHeight="1">
      <c r="O662" s="226"/>
      <c r="P662" s="1019"/>
      <c r="Q662" s="1019"/>
    </row>
    <row r="663" spans="15:17" ht="15" customHeight="1">
      <c r="O663" s="226"/>
      <c r="P663" s="1019"/>
      <c r="Q663" s="1019"/>
    </row>
    <row r="664" spans="15:17" ht="15" customHeight="1">
      <c r="O664" s="226"/>
      <c r="P664" s="1019"/>
      <c r="Q664" s="1019"/>
    </row>
    <row r="665" spans="15:17" ht="15" customHeight="1">
      <c r="O665" s="226"/>
      <c r="P665" s="1019"/>
      <c r="Q665" s="1019"/>
    </row>
    <row r="666" spans="15:17" ht="15" customHeight="1">
      <c r="O666" s="226"/>
      <c r="P666" s="1019"/>
      <c r="Q666" s="1019"/>
    </row>
    <row r="667" spans="15:17" ht="15" customHeight="1">
      <c r="O667" s="226"/>
      <c r="P667" s="1019"/>
      <c r="Q667" s="1019"/>
    </row>
    <row r="668" spans="15:17" ht="15" customHeight="1">
      <c r="O668" s="226"/>
      <c r="P668" s="1019"/>
      <c r="Q668" s="1019"/>
    </row>
    <row r="669" spans="15:17" ht="15" customHeight="1">
      <c r="O669" s="226"/>
      <c r="P669" s="1019"/>
      <c r="Q669" s="1019"/>
    </row>
    <row r="670" spans="15:17" ht="15" customHeight="1">
      <c r="O670" s="226"/>
      <c r="P670" s="1019"/>
      <c r="Q670" s="1019"/>
    </row>
    <row r="671" spans="15:17" ht="15" customHeight="1">
      <c r="O671" s="226"/>
      <c r="P671" s="1019"/>
      <c r="Q671" s="1019"/>
    </row>
    <row r="672" spans="15:17" ht="15" customHeight="1">
      <c r="O672" s="226"/>
      <c r="P672" s="1019"/>
      <c r="Q672" s="1019"/>
    </row>
    <row r="673" spans="15:17" ht="15" customHeight="1">
      <c r="O673" s="226"/>
      <c r="P673" s="1019"/>
      <c r="Q673" s="1019"/>
    </row>
    <row r="674" spans="15:17" ht="15" customHeight="1">
      <c r="O674" s="226"/>
      <c r="P674" s="1019"/>
      <c r="Q674" s="1019"/>
    </row>
    <row r="675" spans="15:17" ht="15" customHeight="1">
      <c r="O675" s="226"/>
      <c r="P675" s="1019"/>
      <c r="Q675" s="1019"/>
    </row>
    <row r="676" spans="15:17" ht="15" customHeight="1">
      <c r="O676" s="226"/>
      <c r="P676" s="1019"/>
      <c r="Q676" s="1019"/>
    </row>
    <row r="677" spans="15:17" ht="15" customHeight="1">
      <c r="O677" s="226"/>
      <c r="P677" s="1019"/>
      <c r="Q677" s="1019"/>
    </row>
    <row r="678" spans="15:17" ht="15" customHeight="1">
      <c r="O678" s="226"/>
      <c r="P678" s="1019"/>
      <c r="Q678" s="1019"/>
    </row>
    <row r="679" spans="15:17" ht="15" customHeight="1">
      <c r="O679" s="226"/>
      <c r="P679" s="1019"/>
      <c r="Q679" s="1019"/>
    </row>
    <row r="680" spans="15:17" ht="15" customHeight="1">
      <c r="O680" s="226"/>
      <c r="P680" s="1019"/>
      <c r="Q680" s="1019"/>
    </row>
    <row r="681" spans="15:17" ht="15" customHeight="1">
      <c r="O681" s="226"/>
      <c r="P681" s="1019"/>
      <c r="Q681" s="1019"/>
    </row>
    <row r="682" spans="15:17" ht="15" customHeight="1">
      <c r="O682" s="226"/>
      <c r="P682" s="1019"/>
      <c r="Q682" s="1019"/>
    </row>
    <row r="683" spans="15:17" ht="15" customHeight="1">
      <c r="O683" s="226"/>
      <c r="P683" s="1019"/>
      <c r="Q683" s="1019"/>
    </row>
    <row r="684" spans="15:17" ht="15" customHeight="1">
      <c r="O684" s="226"/>
      <c r="P684" s="1019"/>
      <c r="Q684" s="1019"/>
    </row>
    <row r="685" spans="15:17" ht="15" customHeight="1">
      <c r="O685" s="226"/>
      <c r="P685" s="1019"/>
      <c r="Q685" s="1019"/>
    </row>
    <row r="686" spans="15:17" ht="15" customHeight="1">
      <c r="O686" s="226"/>
      <c r="P686" s="1019"/>
      <c r="Q686" s="1019"/>
    </row>
    <row r="687" spans="15:17" ht="15" customHeight="1">
      <c r="O687" s="226"/>
      <c r="P687" s="1019"/>
      <c r="Q687" s="1019"/>
    </row>
    <row r="688" spans="15:17" ht="15" customHeight="1">
      <c r="O688" s="226"/>
      <c r="P688" s="1019"/>
      <c r="Q688" s="1019"/>
    </row>
    <row r="689" spans="15:17" ht="15" customHeight="1">
      <c r="O689" s="226"/>
      <c r="P689" s="1019"/>
      <c r="Q689" s="1019"/>
    </row>
    <row r="690" spans="15:17" ht="15" customHeight="1">
      <c r="O690" s="226"/>
      <c r="P690" s="1019"/>
      <c r="Q690" s="1019"/>
    </row>
    <row r="691" spans="15:17" ht="15" customHeight="1">
      <c r="O691" s="226"/>
      <c r="P691" s="1019"/>
      <c r="Q691" s="1019"/>
    </row>
    <row r="692" spans="15:17" ht="15" customHeight="1">
      <c r="O692" s="226"/>
      <c r="P692" s="1019"/>
      <c r="Q692" s="1019"/>
    </row>
    <row r="693" spans="15:17" ht="15" customHeight="1">
      <c r="O693" s="226"/>
      <c r="P693" s="1019"/>
      <c r="Q693" s="1019"/>
    </row>
    <row r="694" spans="15:17" ht="15" customHeight="1">
      <c r="O694" s="226"/>
      <c r="P694" s="1019"/>
      <c r="Q694" s="1019"/>
    </row>
    <row r="695" spans="15:17" ht="15" customHeight="1">
      <c r="O695" s="226"/>
      <c r="P695" s="1019"/>
      <c r="Q695" s="1019"/>
    </row>
    <row r="696" spans="15:17" ht="15" customHeight="1">
      <c r="O696" s="226"/>
      <c r="P696" s="1019"/>
      <c r="Q696" s="1019"/>
    </row>
    <row r="697" spans="15:17" ht="15" customHeight="1">
      <c r="O697" s="226"/>
      <c r="P697" s="1019"/>
      <c r="Q697" s="1019"/>
    </row>
    <row r="698" spans="15:17" ht="15" customHeight="1">
      <c r="O698" s="226"/>
      <c r="P698" s="1019"/>
      <c r="Q698" s="1019"/>
    </row>
    <row r="699" spans="15:17" ht="15" customHeight="1">
      <c r="O699" s="226"/>
      <c r="P699" s="1019"/>
      <c r="Q699" s="1019"/>
    </row>
    <row r="700" spans="15:17" ht="15" customHeight="1">
      <c r="O700" s="226"/>
      <c r="P700" s="1019"/>
      <c r="Q700" s="1019"/>
    </row>
    <row r="701" spans="15:17" ht="15" customHeight="1">
      <c r="O701" s="226"/>
      <c r="P701" s="1019"/>
      <c r="Q701" s="1019"/>
    </row>
    <row r="702" spans="15:17" ht="15" customHeight="1">
      <c r="O702" s="226"/>
      <c r="P702" s="1019"/>
      <c r="Q702" s="1019"/>
    </row>
    <row r="703" spans="15:17" ht="15" customHeight="1">
      <c r="O703" s="226"/>
      <c r="P703" s="1019"/>
      <c r="Q703" s="1019"/>
    </row>
    <row r="704" spans="15:17" ht="15" customHeight="1">
      <c r="O704" s="226"/>
      <c r="P704" s="1019"/>
      <c r="Q704" s="1019"/>
    </row>
    <row r="705" spans="15:17" ht="15" customHeight="1">
      <c r="O705" s="226"/>
      <c r="P705" s="1019"/>
      <c r="Q705" s="1019"/>
    </row>
    <row r="706" spans="15:17" ht="15" customHeight="1">
      <c r="O706" s="226"/>
      <c r="P706" s="1019"/>
      <c r="Q706" s="1019"/>
    </row>
    <row r="707" spans="15:17" ht="15" customHeight="1">
      <c r="O707" s="226"/>
      <c r="P707" s="1019"/>
      <c r="Q707" s="1019"/>
    </row>
    <row r="708" spans="15:17" ht="15" customHeight="1">
      <c r="O708" s="226"/>
      <c r="P708" s="1019"/>
      <c r="Q708" s="1019"/>
    </row>
    <row r="709" spans="15:17" ht="15" customHeight="1">
      <c r="O709" s="226"/>
      <c r="P709" s="1019"/>
      <c r="Q709" s="1019"/>
    </row>
    <row r="710" spans="15:17" ht="15" customHeight="1">
      <c r="O710" s="226"/>
      <c r="P710" s="1019"/>
      <c r="Q710" s="1019"/>
    </row>
    <row r="711" spans="15:17" ht="15" customHeight="1">
      <c r="O711" s="226"/>
      <c r="P711" s="1019"/>
      <c r="Q711" s="1019"/>
    </row>
    <row r="712" spans="15:17" ht="15" customHeight="1">
      <c r="O712" s="226"/>
      <c r="P712" s="1019"/>
      <c r="Q712" s="1019"/>
    </row>
    <row r="713" spans="15:17" ht="15" customHeight="1">
      <c r="O713" s="226"/>
      <c r="P713" s="1019"/>
      <c r="Q713" s="1019"/>
    </row>
    <row r="714" spans="15:17" ht="15" customHeight="1">
      <c r="O714" s="226"/>
      <c r="P714" s="1019"/>
      <c r="Q714" s="1019"/>
    </row>
    <row r="715" spans="15:17" ht="15" customHeight="1">
      <c r="O715" s="226"/>
      <c r="P715" s="1019"/>
      <c r="Q715" s="1019"/>
    </row>
    <row r="716" spans="15:17" ht="15" customHeight="1">
      <c r="O716" s="226"/>
      <c r="P716" s="1019"/>
      <c r="Q716" s="1019"/>
    </row>
    <row r="717" spans="15:17" ht="15" customHeight="1">
      <c r="O717" s="226"/>
      <c r="P717" s="1019"/>
      <c r="Q717" s="1019"/>
    </row>
    <row r="718" spans="15:17" ht="15" customHeight="1">
      <c r="O718" s="226"/>
      <c r="P718" s="1019"/>
      <c r="Q718" s="1019"/>
    </row>
    <row r="719" spans="15:17" ht="15" customHeight="1">
      <c r="O719" s="226"/>
      <c r="P719" s="1019"/>
      <c r="Q719" s="1019"/>
    </row>
    <row r="720" spans="15:17" ht="15" customHeight="1">
      <c r="O720" s="226"/>
      <c r="P720" s="1019"/>
      <c r="Q720" s="1019"/>
    </row>
    <row r="721" spans="15:17" ht="15" customHeight="1">
      <c r="O721" s="226"/>
      <c r="P721" s="1019"/>
      <c r="Q721" s="1019"/>
    </row>
    <row r="722" spans="15:17" ht="15" customHeight="1">
      <c r="O722" s="226"/>
      <c r="P722" s="1019"/>
      <c r="Q722" s="1019"/>
    </row>
    <row r="723" spans="15:17" ht="15" customHeight="1">
      <c r="O723" s="226"/>
      <c r="P723" s="1019"/>
      <c r="Q723" s="1019"/>
    </row>
    <row r="724" spans="15:17" ht="15" customHeight="1">
      <c r="O724" s="226"/>
      <c r="P724" s="1019"/>
      <c r="Q724" s="1019"/>
    </row>
    <row r="725" spans="15:17" ht="15" customHeight="1">
      <c r="O725" s="226"/>
      <c r="P725" s="1019"/>
      <c r="Q725" s="1019"/>
    </row>
    <row r="726" spans="15:17" ht="15" customHeight="1">
      <c r="O726" s="226"/>
      <c r="P726" s="1019"/>
      <c r="Q726" s="1019"/>
    </row>
    <row r="727" spans="15:17" ht="15" customHeight="1">
      <c r="O727" s="226"/>
      <c r="P727" s="1019"/>
      <c r="Q727" s="1019"/>
    </row>
    <row r="728" spans="15:17" ht="15" customHeight="1">
      <c r="O728" s="226"/>
      <c r="P728" s="1019"/>
      <c r="Q728" s="1019"/>
    </row>
    <row r="729" spans="15:17" ht="15" customHeight="1">
      <c r="O729" s="226"/>
      <c r="P729" s="1019"/>
      <c r="Q729" s="1019"/>
    </row>
    <row r="730" spans="15:17" ht="15" customHeight="1">
      <c r="O730" s="226"/>
      <c r="P730" s="1019"/>
      <c r="Q730" s="1019"/>
    </row>
    <row r="731" spans="15:17" ht="15" customHeight="1">
      <c r="O731" s="226"/>
      <c r="P731" s="1019"/>
      <c r="Q731" s="1019"/>
    </row>
    <row r="732" spans="15:17" ht="15" customHeight="1">
      <c r="O732" s="226"/>
      <c r="P732" s="1019"/>
      <c r="Q732" s="1019"/>
    </row>
    <row r="733" spans="15:17" ht="15" customHeight="1">
      <c r="O733" s="226"/>
      <c r="P733" s="1019"/>
      <c r="Q733" s="1019"/>
    </row>
    <row r="734" spans="15:17" ht="15" customHeight="1">
      <c r="O734" s="226"/>
      <c r="P734" s="1019"/>
      <c r="Q734" s="1019"/>
    </row>
    <row r="735" spans="15:17" ht="15" customHeight="1">
      <c r="O735" s="226"/>
      <c r="P735" s="1019"/>
      <c r="Q735" s="1019"/>
    </row>
    <row r="736" spans="15:17" ht="15" customHeight="1">
      <c r="O736" s="226"/>
      <c r="P736" s="1019"/>
      <c r="Q736" s="1019"/>
    </row>
    <row r="738" spans="15:17" ht="15" customHeight="1">
      <c r="O738" s="226"/>
      <c r="P738" s="1019"/>
      <c r="Q738" s="1019"/>
    </row>
    <row r="739" spans="15:17" ht="15" customHeight="1">
      <c r="O739" s="226"/>
      <c r="P739" s="1019"/>
      <c r="Q739" s="1019"/>
    </row>
    <row r="740" spans="15:17" ht="15" customHeight="1">
      <c r="O740" s="226"/>
      <c r="P740" s="1019"/>
      <c r="Q740" s="1019"/>
    </row>
    <row r="741" spans="15:17" ht="15" customHeight="1">
      <c r="O741" s="226"/>
      <c r="P741" s="1019"/>
      <c r="Q741" s="1019"/>
    </row>
    <row r="742" spans="15:17" ht="15" customHeight="1">
      <c r="O742" s="226"/>
      <c r="P742" s="1019"/>
      <c r="Q742" s="1019"/>
    </row>
    <row r="743" spans="15:17" ht="15" customHeight="1">
      <c r="O743" s="226"/>
      <c r="P743" s="1019"/>
      <c r="Q743" s="1019"/>
    </row>
    <row r="744" spans="15:17" ht="15" customHeight="1">
      <c r="O744" s="226"/>
      <c r="P744" s="1019"/>
      <c r="Q744" s="1019"/>
    </row>
    <row r="745" spans="15:17" ht="15" customHeight="1">
      <c r="O745" s="226"/>
      <c r="P745" s="1019"/>
      <c r="Q745" s="1019"/>
    </row>
    <row r="746" spans="15:17" ht="15" customHeight="1">
      <c r="O746" s="226"/>
      <c r="P746" s="1019"/>
      <c r="Q746" s="1019"/>
    </row>
    <row r="747" spans="15:17" ht="15" customHeight="1">
      <c r="O747" s="226"/>
      <c r="P747" s="1019"/>
      <c r="Q747" s="1019"/>
    </row>
    <row r="748" spans="15:17" ht="15" customHeight="1">
      <c r="O748" s="226"/>
      <c r="P748" s="1019"/>
      <c r="Q748" s="1019"/>
    </row>
    <row r="749" spans="15:17" ht="15" customHeight="1">
      <c r="O749" s="226"/>
      <c r="P749" s="1019"/>
      <c r="Q749" s="1019"/>
    </row>
    <row r="750" spans="15:17" ht="15" customHeight="1">
      <c r="O750" s="226"/>
      <c r="P750" s="1019"/>
      <c r="Q750" s="1019"/>
    </row>
    <row r="751" spans="15:17" ht="15" customHeight="1">
      <c r="O751" s="226"/>
      <c r="P751" s="1019"/>
      <c r="Q751" s="1019"/>
    </row>
    <row r="752" spans="15:17" ht="15" customHeight="1">
      <c r="O752" s="226"/>
      <c r="P752" s="1019"/>
      <c r="Q752" s="1019"/>
    </row>
    <row r="753" spans="15:17" ht="15" customHeight="1">
      <c r="O753" s="226"/>
      <c r="P753" s="1019"/>
      <c r="Q753" s="1019"/>
    </row>
    <row r="754" spans="15:17" ht="15" customHeight="1">
      <c r="O754" s="226"/>
      <c r="P754" s="1019"/>
      <c r="Q754" s="1019"/>
    </row>
    <row r="755" spans="15:17" ht="15" customHeight="1">
      <c r="O755" s="226"/>
      <c r="P755" s="1019"/>
      <c r="Q755" s="1019"/>
    </row>
    <row r="756" spans="15:17" ht="15" customHeight="1">
      <c r="O756" s="226"/>
      <c r="P756" s="1019"/>
      <c r="Q756" s="1019"/>
    </row>
    <row r="757" spans="15:17" ht="15" customHeight="1">
      <c r="O757" s="226"/>
      <c r="P757" s="1019"/>
      <c r="Q757" s="1019"/>
    </row>
    <row r="758" spans="15:17" ht="15" customHeight="1">
      <c r="O758" s="226"/>
      <c r="P758" s="1019"/>
      <c r="Q758" s="1019"/>
    </row>
    <row r="759" spans="15:17" ht="15" customHeight="1">
      <c r="O759" s="226"/>
      <c r="P759" s="1019"/>
      <c r="Q759" s="1019"/>
    </row>
    <row r="760" spans="15:17" ht="15" customHeight="1">
      <c r="O760" s="226"/>
      <c r="P760" s="1019"/>
      <c r="Q760" s="1019"/>
    </row>
    <row r="761" spans="15:17" ht="15" customHeight="1">
      <c r="O761" s="226"/>
      <c r="P761" s="1019"/>
      <c r="Q761" s="1019"/>
    </row>
    <row r="762" spans="15:17" ht="15" customHeight="1">
      <c r="O762" s="226"/>
      <c r="P762" s="1019"/>
      <c r="Q762" s="1019"/>
    </row>
    <row r="763" spans="15:17" ht="15" customHeight="1">
      <c r="O763" s="226"/>
      <c r="P763" s="1019"/>
      <c r="Q763" s="1019"/>
    </row>
    <row r="764" spans="15:17" ht="15" customHeight="1">
      <c r="O764" s="226"/>
      <c r="P764" s="1019"/>
      <c r="Q764" s="1019"/>
    </row>
    <row r="765" spans="15:17" ht="15" customHeight="1">
      <c r="O765" s="226"/>
      <c r="P765" s="1019"/>
      <c r="Q765" s="1019"/>
    </row>
    <row r="766" spans="15:17" ht="15" customHeight="1">
      <c r="O766" s="226"/>
      <c r="P766" s="1019"/>
      <c r="Q766" s="1019"/>
    </row>
    <row r="767" spans="15:17" ht="15" customHeight="1">
      <c r="O767" s="226"/>
      <c r="P767" s="1019"/>
      <c r="Q767" s="1019"/>
    </row>
    <row r="768" spans="15:17" ht="15" customHeight="1">
      <c r="O768" s="226"/>
      <c r="P768" s="1019"/>
      <c r="Q768" s="1019"/>
    </row>
    <row r="769" spans="15:17" ht="15" customHeight="1">
      <c r="O769" s="226"/>
      <c r="P769" s="1019"/>
      <c r="Q769" s="1019"/>
    </row>
    <row r="770" spans="15:17" ht="15" customHeight="1">
      <c r="O770" s="226"/>
      <c r="P770" s="1019"/>
      <c r="Q770" s="1019"/>
    </row>
    <row r="771" spans="15:17" ht="15" customHeight="1">
      <c r="O771" s="226"/>
      <c r="P771" s="1019"/>
      <c r="Q771" s="1019"/>
    </row>
    <row r="772" spans="15:17" ht="15" customHeight="1">
      <c r="O772" s="226"/>
      <c r="P772" s="1019"/>
      <c r="Q772" s="1019"/>
    </row>
    <row r="773" spans="15:17" ht="15" customHeight="1">
      <c r="O773" s="226"/>
      <c r="P773" s="1019"/>
      <c r="Q773" s="1019"/>
    </row>
    <row r="774" spans="15:17" ht="15" customHeight="1">
      <c r="O774" s="226"/>
      <c r="P774" s="1019"/>
      <c r="Q774" s="1019"/>
    </row>
    <row r="775" spans="15:17" ht="15" customHeight="1">
      <c r="O775" s="226"/>
      <c r="P775" s="1019"/>
      <c r="Q775" s="1019"/>
    </row>
    <row r="776" spans="15:17" ht="15" customHeight="1">
      <c r="O776" s="226"/>
      <c r="P776" s="1019"/>
      <c r="Q776" s="1019"/>
    </row>
    <row r="777" spans="15:17" ht="15" customHeight="1">
      <c r="O777" s="226"/>
      <c r="P777" s="1019"/>
      <c r="Q777" s="1019"/>
    </row>
    <row r="778" spans="15:17" ht="15" customHeight="1">
      <c r="O778" s="226"/>
      <c r="P778" s="1019"/>
      <c r="Q778" s="1019"/>
    </row>
    <row r="779" spans="15:17" ht="15" customHeight="1">
      <c r="O779" s="226"/>
      <c r="P779" s="1019"/>
      <c r="Q779" s="1019"/>
    </row>
    <row r="780" spans="15:17" ht="15" customHeight="1">
      <c r="O780" s="226"/>
      <c r="P780" s="1019"/>
      <c r="Q780" s="1019"/>
    </row>
    <row r="781" spans="15:17" ht="15" customHeight="1">
      <c r="O781" s="226"/>
      <c r="P781" s="1019"/>
      <c r="Q781" s="1019"/>
    </row>
    <row r="782" spans="15:17" ht="15" customHeight="1">
      <c r="O782" s="226"/>
      <c r="P782" s="1019"/>
      <c r="Q782" s="1019"/>
    </row>
    <row r="783" spans="15:17" ht="15" customHeight="1">
      <c r="O783" s="226"/>
      <c r="P783" s="1019"/>
      <c r="Q783" s="1019"/>
    </row>
    <row r="784" spans="15:17" ht="15" customHeight="1">
      <c r="O784" s="226"/>
      <c r="P784" s="1019"/>
      <c r="Q784" s="1019"/>
    </row>
    <row r="785" spans="15:17" ht="15" customHeight="1">
      <c r="O785" s="226"/>
      <c r="P785" s="1019"/>
      <c r="Q785" s="1019"/>
    </row>
    <row r="786" spans="15:17" ht="15" customHeight="1">
      <c r="O786" s="226"/>
      <c r="P786" s="1019"/>
      <c r="Q786" s="1019"/>
    </row>
    <row r="787" spans="15:17" ht="15" customHeight="1">
      <c r="O787" s="226"/>
      <c r="P787" s="1019"/>
      <c r="Q787" s="1019"/>
    </row>
    <row r="788" spans="15:17" ht="15" customHeight="1">
      <c r="O788" s="226"/>
      <c r="P788" s="1019"/>
      <c r="Q788" s="1019"/>
    </row>
    <row r="789" spans="15:17" ht="15" customHeight="1">
      <c r="O789" s="226"/>
      <c r="P789" s="1019"/>
      <c r="Q789" s="1019"/>
    </row>
    <row r="790" spans="15:17" ht="15" customHeight="1">
      <c r="O790" s="226"/>
      <c r="P790" s="1019"/>
      <c r="Q790" s="1019"/>
    </row>
    <row r="791" spans="15:17" ht="15" customHeight="1">
      <c r="O791" s="226"/>
      <c r="P791" s="1019"/>
      <c r="Q791" s="1019"/>
    </row>
    <row r="792" spans="15:17" ht="15" customHeight="1">
      <c r="O792" s="226"/>
      <c r="P792" s="1019"/>
      <c r="Q792" s="1019"/>
    </row>
    <row r="793" spans="15:17" ht="15" customHeight="1">
      <c r="O793" s="226"/>
      <c r="P793" s="1019"/>
      <c r="Q793" s="1019"/>
    </row>
    <row r="794" spans="15:17" ht="15" customHeight="1">
      <c r="O794" s="226"/>
      <c r="P794" s="1019"/>
      <c r="Q794" s="1019"/>
    </row>
    <row r="795" spans="15:17" ht="15" customHeight="1">
      <c r="O795" s="226"/>
      <c r="P795" s="1019"/>
      <c r="Q795" s="1019"/>
    </row>
    <row r="796" spans="15:17" ht="15" customHeight="1">
      <c r="O796" s="226"/>
      <c r="P796" s="1019"/>
      <c r="Q796" s="1019"/>
    </row>
    <row r="797" spans="15:17" ht="15" customHeight="1">
      <c r="O797" s="226"/>
      <c r="P797" s="1019"/>
      <c r="Q797" s="1019"/>
    </row>
    <row r="798" spans="15:17" ht="15" customHeight="1">
      <c r="O798" s="226"/>
      <c r="P798" s="1019"/>
      <c r="Q798" s="1019"/>
    </row>
    <row r="799" spans="15:17" ht="15" customHeight="1">
      <c r="O799" s="226"/>
      <c r="P799" s="1019"/>
      <c r="Q799" s="1019"/>
    </row>
    <row r="800" spans="15:17" ht="15" customHeight="1">
      <c r="O800" s="226"/>
      <c r="P800" s="1019"/>
      <c r="Q800" s="1019"/>
    </row>
    <row r="801" spans="15:17" ht="15" customHeight="1">
      <c r="O801" s="226"/>
      <c r="P801" s="1019"/>
      <c r="Q801" s="1019"/>
    </row>
    <row r="802" spans="15:17" ht="15" customHeight="1">
      <c r="O802" s="226"/>
      <c r="P802" s="1019"/>
      <c r="Q802" s="1019"/>
    </row>
    <row r="803" spans="15:17" ht="15" customHeight="1">
      <c r="O803" s="226"/>
      <c r="P803" s="1019"/>
      <c r="Q803" s="1019"/>
    </row>
    <row r="804" spans="15:17" ht="15" customHeight="1">
      <c r="O804" s="226"/>
      <c r="P804" s="1019"/>
      <c r="Q804" s="1019"/>
    </row>
    <row r="805" spans="15:17" ht="15" customHeight="1">
      <c r="O805" s="226"/>
      <c r="P805" s="1019"/>
      <c r="Q805" s="1019"/>
    </row>
    <row r="806" spans="15:17" ht="15" customHeight="1">
      <c r="O806" s="226"/>
      <c r="P806" s="1019"/>
      <c r="Q806" s="1019"/>
    </row>
    <row r="807" spans="15:17" ht="15" customHeight="1">
      <c r="O807" s="226"/>
      <c r="P807" s="1019"/>
      <c r="Q807" s="1019"/>
    </row>
    <row r="808" spans="15:17" ht="15" customHeight="1">
      <c r="O808" s="226"/>
      <c r="P808" s="1019"/>
      <c r="Q808" s="1019"/>
    </row>
    <row r="809" spans="15:17" ht="15" customHeight="1">
      <c r="O809" s="226"/>
      <c r="P809" s="1019"/>
      <c r="Q809" s="1019"/>
    </row>
    <row r="810" spans="15:17" ht="15" customHeight="1">
      <c r="O810" s="226"/>
      <c r="P810" s="1019"/>
      <c r="Q810" s="1019"/>
    </row>
    <row r="811" spans="15:17" ht="15" customHeight="1">
      <c r="O811" s="226"/>
      <c r="P811" s="1019"/>
      <c r="Q811" s="1019"/>
    </row>
    <row r="812" spans="15:17" ht="15" customHeight="1">
      <c r="O812" s="226"/>
      <c r="P812" s="1019"/>
      <c r="Q812" s="1019"/>
    </row>
    <row r="813" spans="15:17" ht="15" customHeight="1">
      <c r="O813" s="226"/>
      <c r="P813" s="1019"/>
      <c r="Q813" s="1019"/>
    </row>
    <row r="814" spans="15:17" ht="15" customHeight="1">
      <c r="O814" s="226"/>
      <c r="P814" s="1019"/>
      <c r="Q814" s="1019"/>
    </row>
    <row r="815" spans="15:17" ht="15" customHeight="1">
      <c r="O815" s="226"/>
      <c r="P815" s="1019"/>
      <c r="Q815" s="1019"/>
    </row>
    <row r="816" spans="15:17" ht="15" customHeight="1">
      <c r="O816" s="226"/>
      <c r="P816" s="1019"/>
      <c r="Q816" s="1019"/>
    </row>
    <row r="817" spans="15:17" ht="15" customHeight="1">
      <c r="O817" s="226"/>
      <c r="P817" s="1019"/>
      <c r="Q817" s="1019"/>
    </row>
    <row r="818" spans="15:17" ht="15" customHeight="1">
      <c r="O818" s="226"/>
      <c r="P818" s="1019"/>
      <c r="Q818" s="1019"/>
    </row>
    <row r="819" spans="15:17" ht="15" customHeight="1">
      <c r="O819" s="226"/>
      <c r="P819" s="1019"/>
      <c r="Q819" s="1019"/>
    </row>
    <row r="820" spans="15:17" ht="15" customHeight="1">
      <c r="O820" s="226"/>
      <c r="P820" s="1019"/>
      <c r="Q820" s="1019"/>
    </row>
    <row r="821" spans="15:17" ht="15" customHeight="1">
      <c r="O821" s="226"/>
      <c r="P821" s="1019"/>
      <c r="Q821" s="1019"/>
    </row>
    <row r="822" spans="15:17" ht="15" customHeight="1">
      <c r="O822" s="226"/>
      <c r="P822" s="1019"/>
      <c r="Q822" s="1019"/>
    </row>
    <row r="823" spans="15:17" ht="15" customHeight="1">
      <c r="O823" s="226"/>
      <c r="P823" s="1019"/>
      <c r="Q823" s="1019"/>
    </row>
    <row r="824" spans="15:17" ht="15" customHeight="1">
      <c r="O824" s="226"/>
      <c r="P824" s="1019"/>
      <c r="Q824" s="1019"/>
    </row>
    <row r="825" spans="15:17" ht="15" customHeight="1">
      <c r="O825" s="226"/>
      <c r="P825" s="1019"/>
      <c r="Q825" s="1019"/>
    </row>
    <row r="826" spans="15:17" ht="15" customHeight="1">
      <c r="O826" s="226"/>
      <c r="P826" s="1019"/>
      <c r="Q826" s="1019"/>
    </row>
    <row r="827" spans="15:17" ht="15" customHeight="1">
      <c r="O827" s="226"/>
      <c r="P827" s="1019"/>
      <c r="Q827" s="1019"/>
    </row>
    <row r="828" spans="15:17" ht="15" customHeight="1">
      <c r="O828" s="226"/>
      <c r="P828" s="1019"/>
      <c r="Q828" s="1019"/>
    </row>
    <row r="829" spans="15:17" ht="15" customHeight="1">
      <c r="O829" s="226"/>
      <c r="P829" s="1019"/>
      <c r="Q829" s="1019"/>
    </row>
    <row r="830" spans="15:17" ht="15" customHeight="1">
      <c r="O830" s="226"/>
      <c r="P830" s="1019"/>
      <c r="Q830" s="1019"/>
    </row>
    <row r="831" spans="15:17" ht="15" customHeight="1">
      <c r="O831" s="226"/>
      <c r="P831" s="1019"/>
      <c r="Q831" s="1019"/>
    </row>
    <row r="832" spans="15:17" ht="15" customHeight="1">
      <c r="O832" s="226"/>
      <c r="P832" s="1019"/>
      <c r="Q832" s="1019"/>
    </row>
    <row r="833" spans="15:17" ht="15" customHeight="1">
      <c r="O833" s="226"/>
      <c r="P833" s="1019"/>
      <c r="Q833" s="1019"/>
    </row>
    <row r="834" spans="15:17" ht="15" customHeight="1">
      <c r="O834" s="226"/>
      <c r="P834" s="1019"/>
      <c r="Q834" s="1019"/>
    </row>
    <row r="835" spans="15:17" ht="15" customHeight="1">
      <c r="O835" s="226"/>
      <c r="P835" s="1019"/>
      <c r="Q835" s="1019"/>
    </row>
    <row r="836" spans="15:17" ht="15" customHeight="1">
      <c r="O836" s="226"/>
      <c r="P836" s="1019"/>
      <c r="Q836" s="1019"/>
    </row>
    <row r="837" spans="15:17" ht="15" customHeight="1">
      <c r="O837" s="226"/>
      <c r="P837" s="1019"/>
      <c r="Q837" s="1019"/>
    </row>
    <row r="838" spans="15:17" ht="15" customHeight="1">
      <c r="O838" s="226"/>
      <c r="P838" s="1019"/>
      <c r="Q838" s="1019"/>
    </row>
    <row r="839" spans="15:17" ht="15" customHeight="1">
      <c r="O839" s="226"/>
      <c r="P839" s="1019"/>
      <c r="Q839" s="1019"/>
    </row>
    <row r="840" spans="15:17" ht="15" customHeight="1">
      <c r="O840" s="226"/>
      <c r="P840" s="1019"/>
      <c r="Q840" s="1019"/>
    </row>
    <row r="841" spans="15:17" ht="15" customHeight="1">
      <c r="O841" s="226"/>
      <c r="P841" s="1019"/>
      <c r="Q841" s="1019"/>
    </row>
    <row r="842" spans="15:17" ht="15" customHeight="1">
      <c r="O842" s="226"/>
      <c r="P842" s="1019"/>
      <c r="Q842" s="1019"/>
    </row>
    <row r="843" spans="15:17" ht="15" customHeight="1">
      <c r="O843" s="226"/>
      <c r="P843" s="1019"/>
      <c r="Q843" s="1019"/>
    </row>
    <row r="844" spans="15:17" ht="15" customHeight="1">
      <c r="O844" s="226"/>
      <c r="P844" s="1019"/>
      <c r="Q844" s="1019"/>
    </row>
    <row r="845" spans="15:17" ht="15" customHeight="1">
      <c r="O845" s="226"/>
      <c r="P845" s="1019"/>
      <c r="Q845" s="1019"/>
    </row>
    <row r="846" spans="15:17" ht="15" customHeight="1">
      <c r="O846" s="226"/>
      <c r="P846" s="1019"/>
      <c r="Q846" s="1019"/>
    </row>
    <row r="847" spans="15:17" ht="15" customHeight="1">
      <c r="O847" s="226"/>
      <c r="P847" s="1019"/>
      <c r="Q847" s="1019"/>
    </row>
    <row r="848" spans="15:17" ht="15" customHeight="1">
      <c r="O848" s="226"/>
      <c r="P848" s="1019"/>
      <c r="Q848" s="1019"/>
    </row>
    <row r="849" spans="15:17" ht="15" customHeight="1">
      <c r="O849" s="226"/>
      <c r="P849" s="1019"/>
      <c r="Q849" s="1019"/>
    </row>
    <row r="850" spans="15:17" ht="15" customHeight="1">
      <c r="O850" s="226"/>
      <c r="P850" s="1019"/>
      <c r="Q850" s="1019"/>
    </row>
    <row r="851" spans="15:17" ht="15" customHeight="1">
      <c r="O851" s="226"/>
      <c r="P851" s="1019"/>
      <c r="Q851" s="1019"/>
    </row>
    <row r="852" spans="15:17" ht="15" customHeight="1">
      <c r="O852" s="226"/>
      <c r="P852" s="1019"/>
      <c r="Q852" s="1019"/>
    </row>
    <row r="853" spans="15:17" ht="15" customHeight="1">
      <c r="O853" s="226"/>
      <c r="P853" s="1019"/>
      <c r="Q853" s="1019"/>
    </row>
    <row r="854" spans="15:17" ht="15" customHeight="1">
      <c r="O854" s="226"/>
      <c r="P854" s="1019"/>
      <c r="Q854" s="1019"/>
    </row>
    <row r="855" spans="15:17" ht="15" customHeight="1">
      <c r="O855" s="226"/>
      <c r="P855" s="1019"/>
      <c r="Q855" s="1019"/>
    </row>
    <row r="856" spans="15:17" ht="15" customHeight="1">
      <c r="O856" s="226"/>
      <c r="P856" s="1019"/>
      <c r="Q856" s="1019"/>
    </row>
    <row r="857" spans="15:17" ht="15" customHeight="1">
      <c r="O857" s="226"/>
      <c r="P857" s="1019"/>
      <c r="Q857" s="1019"/>
    </row>
    <row r="858" spans="15:17" ht="15" customHeight="1">
      <c r="O858" s="226"/>
      <c r="P858" s="1019"/>
      <c r="Q858" s="1019"/>
    </row>
    <row r="859" spans="15:17" ht="15" customHeight="1">
      <c r="O859" s="226"/>
      <c r="P859" s="1019"/>
      <c r="Q859" s="1019"/>
    </row>
    <row r="860" spans="15:17" ht="15" customHeight="1">
      <c r="O860" s="226"/>
      <c r="P860" s="1019"/>
      <c r="Q860" s="1019"/>
    </row>
    <row r="861" spans="15:17" ht="15" customHeight="1">
      <c r="O861" s="226"/>
      <c r="P861" s="1019"/>
      <c r="Q861" s="1019"/>
    </row>
    <row r="862" spans="15:17" ht="15" customHeight="1">
      <c r="O862" s="226"/>
      <c r="P862" s="1019"/>
      <c r="Q862" s="1019"/>
    </row>
    <row r="863" spans="15:17" ht="15" customHeight="1">
      <c r="O863" s="226"/>
      <c r="P863" s="1019"/>
      <c r="Q863" s="1019"/>
    </row>
    <row r="864" spans="15:17" ht="15" customHeight="1">
      <c r="O864" s="226"/>
      <c r="P864" s="1019"/>
      <c r="Q864" s="1019"/>
    </row>
    <row r="865" spans="15:17" ht="15" customHeight="1">
      <c r="O865" s="226"/>
      <c r="P865" s="1019"/>
      <c r="Q865" s="1019"/>
    </row>
    <row r="866" spans="15:17" ht="15" customHeight="1">
      <c r="O866" s="226"/>
      <c r="P866" s="1019"/>
      <c r="Q866" s="1019"/>
    </row>
    <row r="867" spans="15:17" ht="15" customHeight="1">
      <c r="O867" s="226"/>
      <c r="P867" s="1019"/>
      <c r="Q867" s="1019"/>
    </row>
    <row r="868" spans="15:17" ht="15" customHeight="1">
      <c r="O868" s="226"/>
      <c r="P868" s="1019"/>
      <c r="Q868" s="1019"/>
    </row>
    <row r="869" spans="15:17" ht="15" customHeight="1">
      <c r="O869" s="226"/>
      <c r="P869" s="1019"/>
      <c r="Q869" s="1019"/>
    </row>
    <row r="870" spans="15:17" ht="15" customHeight="1">
      <c r="O870" s="226"/>
      <c r="P870" s="1019"/>
      <c r="Q870" s="1019"/>
    </row>
    <row r="871" spans="15:17" ht="15" customHeight="1">
      <c r="O871" s="226"/>
      <c r="P871" s="1019"/>
      <c r="Q871" s="1019"/>
    </row>
    <row r="872" spans="15:17" ht="15" customHeight="1">
      <c r="O872" s="226"/>
      <c r="P872" s="1019"/>
      <c r="Q872" s="1019"/>
    </row>
    <row r="873" spans="15:17" ht="15" customHeight="1">
      <c r="O873" s="226"/>
      <c r="P873" s="1019"/>
      <c r="Q873" s="1019"/>
    </row>
    <row r="874" spans="15:17" ht="15" customHeight="1">
      <c r="O874" s="226"/>
      <c r="P874" s="1019"/>
      <c r="Q874" s="1019"/>
    </row>
    <row r="875" spans="15:17" ht="15" customHeight="1">
      <c r="O875" s="226"/>
      <c r="P875" s="1019"/>
      <c r="Q875" s="1019"/>
    </row>
    <row r="876" spans="15:17" ht="15" customHeight="1">
      <c r="O876" s="226"/>
      <c r="P876" s="1019"/>
      <c r="Q876" s="1019"/>
    </row>
    <row r="877" spans="15:17" ht="15" customHeight="1">
      <c r="O877" s="226"/>
      <c r="P877" s="1019"/>
      <c r="Q877" s="1019"/>
    </row>
    <row r="878" spans="15:17" ht="15" customHeight="1">
      <c r="O878" s="226"/>
      <c r="P878" s="1019"/>
      <c r="Q878" s="1019"/>
    </row>
    <row r="879" spans="15:17" ht="15" customHeight="1">
      <c r="O879" s="226"/>
      <c r="P879" s="1019"/>
      <c r="Q879" s="1019"/>
    </row>
    <row r="880" spans="15:17" ht="15" customHeight="1">
      <c r="O880" s="226"/>
      <c r="P880" s="1019"/>
      <c r="Q880" s="1019"/>
    </row>
    <row r="881" spans="15:17" ht="15" customHeight="1">
      <c r="O881" s="226"/>
      <c r="P881" s="1019"/>
      <c r="Q881" s="1019"/>
    </row>
    <row r="882" spans="15:17" ht="15" customHeight="1">
      <c r="O882" s="226"/>
      <c r="P882" s="1019"/>
      <c r="Q882" s="1019"/>
    </row>
    <row r="883" spans="15:17" ht="15" customHeight="1">
      <c r="O883" s="226"/>
      <c r="P883" s="1019"/>
      <c r="Q883" s="1019"/>
    </row>
    <row r="884" spans="15:17" ht="15" customHeight="1">
      <c r="O884" s="226"/>
      <c r="P884" s="1019"/>
      <c r="Q884" s="1019"/>
    </row>
    <row r="885" spans="15:17" ht="15" customHeight="1">
      <c r="O885" s="226"/>
      <c r="P885" s="1019"/>
      <c r="Q885" s="1019"/>
    </row>
    <row r="886" spans="15:17" ht="15" customHeight="1">
      <c r="O886" s="226"/>
      <c r="P886" s="1019"/>
      <c r="Q886" s="1019"/>
    </row>
    <row r="887" spans="15:17" ht="15" customHeight="1">
      <c r="O887" s="226"/>
      <c r="P887" s="1019"/>
      <c r="Q887" s="1019"/>
    </row>
    <row r="888" spans="15:17" ht="15" customHeight="1">
      <c r="O888" s="226"/>
      <c r="P888" s="1019"/>
      <c r="Q888" s="1019"/>
    </row>
    <row r="889" spans="15:17" ht="15" customHeight="1">
      <c r="O889" s="226"/>
      <c r="P889" s="1019"/>
      <c r="Q889" s="1019"/>
    </row>
    <row r="890" spans="15:17" ht="15" customHeight="1">
      <c r="O890" s="226"/>
      <c r="P890" s="1019"/>
      <c r="Q890" s="1019"/>
    </row>
    <row r="891" spans="15:17" ht="15" customHeight="1">
      <c r="O891" s="226"/>
      <c r="P891" s="1019"/>
      <c r="Q891" s="1019"/>
    </row>
    <row r="892" spans="15:17" ht="15" customHeight="1">
      <c r="O892" s="226"/>
      <c r="P892" s="1019"/>
      <c r="Q892" s="1019"/>
    </row>
    <row r="893" spans="15:17" ht="15" customHeight="1">
      <c r="O893" s="226"/>
      <c r="P893" s="1019"/>
      <c r="Q893" s="1019"/>
    </row>
    <row r="894" spans="15:17" ht="15" customHeight="1">
      <c r="O894" s="226"/>
      <c r="P894" s="1019"/>
      <c r="Q894" s="1019"/>
    </row>
    <row r="895" spans="15:17" ht="15" customHeight="1">
      <c r="O895" s="226"/>
      <c r="P895" s="1019"/>
      <c r="Q895" s="1019"/>
    </row>
    <row r="896" spans="15:17" ht="15" customHeight="1">
      <c r="O896" s="226"/>
      <c r="P896" s="1019"/>
      <c r="Q896" s="1019"/>
    </row>
    <row r="897" spans="15:17" ht="15" customHeight="1">
      <c r="O897" s="226"/>
      <c r="P897" s="1019"/>
      <c r="Q897" s="1019"/>
    </row>
    <row r="898" spans="15:17" ht="15" customHeight="1">
      <c r="O898" s="226"/>
      <c r="P898" s="1019"/>
      <c r="Q898" s="1019"/>
    </row>
    <row r="899" spans="15:17" ht="15" customHeight="1">
      <c r="O899" s="226"/>
      <c r="P899" s="1019"/>
      <c r="Q899" s="1019"/>
    </row>
    <row r="900" spans="15:17" ht="15" customHeight="1">
      <c r="O900" s="226"/>
      <c r="P900" s="1019"/>
      <c r="Q900" s="1019"/>
    </row>
    <row r="901" spans="15:17" ht="15" customHeight="1">
      <c r="O901" s="226"/>
      <c r="P901" s="1019"/>
      <c r="Q901" s="1019"/>
    </row>
    <row r="902" spans="15:17" ht="15" customHeight="1">
      <c r="O902" s="226"/>
      <c r="P902" s="1019"/>
      <c r="Q902" s="1019"/>
    </row>
    <row r="903" spans="15:17" ht="15" customHeight="1">
      <c r="O903" s="226"/>
      <c r="P903" s="1019"/>
      <c r="Q903" s="1019"/>
    </row>
    <row r="904" spans="15:17" ht="15" customHeight="1">
      <c r="O904" s="226"/>
      <c r="P904" s="1019"/>
      <c r="Q904" s="1019"/>
    </row>
    <row r="905" spans="15:17" ht="15" customHeight="1">
      <c r="O905" s="226"/>
      <c r="P905" s="1019"/>
      <c r="Q905" s="1019"/>
    </row>
    <row r="906" spans="15:17" ht="15" customHeight="1">
      <c r="O906" s="226"/>
      <c r="P906" s="1019"/>
      <c r="Q906" s="1019"/>
    </row>
    <row r="907" spans="15:17" ht="15" customHeight="1">
      <c r="O907" s="226"/>
      <c r="P907" s="1019"/>
      <c r="Q907" s="1019"/>
    </row>
    <row r="908" spans="15:17" ht="15" customHeight="1">
      <c r="O908" s="226"/>
      <c r="P908" s="1019"/>
      <c r="Q908" s="1019"/>
    </row>
    <row r="909" spans="15:17" ht="15" customHeight="1">
      <c r="O909" s="226"/>
      <c r="P909" s="1019"/>
      <c r="Q909" s="1019"/>
    </row>
    <row r="910" spans="15:17" ht="15" customHeight="1">
      <c r="O910" s="226"/>
      <c r="P910" s="1019"/>
      <c r="Q910" s="1019"/>
    </row>
    <row r="911" spans="15:17" ht="15" customHeight="1">
      <c r="O911" s="226"/>
      <c r="P911" s="1019"/>
      <c r="Q911" s="1019"/>
    </row>
    <row r="912" spans="15:17" ht="15" customHeight="1">
      <c r="O912" s="226"/>
      <c r="P912" s="1019"/>
      <c r="Q912" s="1019"/>
    </row>
    <row r="913" spans="15:17" ht="15" customHeight="1">
      <c r="O913" s="226"/>
      <c r="P913" s="1019"/>
      <c r="Q913" s="1019"/>
    </row>
    <row r="914" spans="15:17" ht="15" customHeight="1">
      <c r="O914" s="226"/>
      <c r="P914" s="1019"/>
      <c r="Q914" s="1019"/>
    </row>
    <row r="915" spans="15:17" ht="15" customHeight="1">
      <c r="O915" s="226"/>
      <c r="P915" s="1019"/>
      <c r="Q915" s="1019"/>
    </row>
    <row r="916" spans="15:17" ht="15" customHeight="1">
      <c r="O916" s="226"/>
      <c r="P916" s="1019"/>
      <c r="Q916" s="1019"/>
    </row>
    <row r="917" spans="15:17" ht="15" customHeight="1">
      <c r="O917" s="226"/>
      <c r="P917" s="1019"/>
      <c r="Q917" s="1019"/>
    </row>
    <row r="918" spans="15:17" ht="15" customHeight="1">
      <c r="O918" s="226"/>
      <c r="P918" s="1019"/>
      <c r="Q918" s="1019"/>
    </row>
    <row r="919" spans="15:17" ht="15" customHeight="1">
      <c r="O919" s="226"/>
      <c r="P919" s="1019"/>
      <c r="Q919" s="1019"/>
    </row>
    <row r="920" spans="15:17" ht="15" customHeight="1">
      <c r="O920" s="226"/>
      <c r="P920" s="1019"/>
      <c r="Q920" s="1019"/>
    </row>
    <row r="921" spans="15:17" ht="15" customHeight="1">
      <c r="O921" s="226"/>
      <c r="P921" s="1019"/>
      <c r="Q921" s="1019"/>
    </row>
    <row r="922" spans="15:17" ht="15" customHeight="1">
      <c r="O922" s="226"/>
      <c r="P922" s="1019"/>
      <c r="Q922" s="1019"/>
    </row>
    <row r="923" spans="15:17" ht="15" customHeight="1">
      <c r="O923" s="226"/>
      <c r="P923" s="1019"/>
      <c r="Q923" s="1019"/>
    </row>
    <row r="924" spans="15:17" ht="15" customHeight="1">
      <c r="O924" s="226"/>
      <c r="P924" s="1019"/>
      <c r="Q924" s="1019"/>
    </row>
    <row r="925" spans="15:17" ht="15" customHeight="1">
      <c r="O925" s="226"/>
      <c r="P925" s="1019"/>
      <c r="Q925" s="1019"/>
    </row>
    <row r="926" spans="15:17" ht="15" customHeight="1">
      <c r="O926" s="226"/>
      <c r="P926" s="1019"/>
      <c r="Q926" s="1019"/>
    </row>
    <row r="927" spans="15:17" ht="15" customHeight="1">
      <c r="O927" s="226"/>
      <c r="P927" s="1019"/>
      <c r="Q927" s="1019"/>
    </row>
    <row r="928" spans="15:17" ht="15" customHeight="1">
      <c r="O928" s="226"/>
      <c r="P928" s="1019"/>
      <c r="Q928" s="1019"/>
    </row>
    <row r="929" spans="15:17" ht="15" customHeight="1">
      <c r="O929" s="226"/>
      <c r="P929" s="1019"/>
      <c r="Q929" s="1019"/>
    </row>
    <row r="930" spans="15:17" ht="15" customHeight="1">
      <c r="O930" s="226"/>
      <c r="P930" s="1019"/>
      <c r="Q930" s="1019"/>
    </row>
    <row r="931" spans="15:17" ht="15" customHeight="1">
      <c r="O931" s="226"/>
      <c r="P931" s="1019"/>
      <c r="Q931" s="1019"/>
    </row>
    <row r="932" spans="15:17" ht="15" customHeight="1">
      <c r="O932" s="226"/>
      <c r="P932" s="1019"/>
      <c r="Q932" s="1019"/>
    </row>
    <row r="933" spans="15:17" ht="15" customHeight="1">
      <c r="O933" s="226"/>
      <c r="P933" s="1019"/>
      <c r="Q933" s="1019"/>
    </row>
    <row r="934" spans="15:17" ht="15" customHeight="1">
      <c r="O934" s="226"/>
      <c r="P934" s="1019"/>
      <c r="Q934" s="1019"/>
    </row>
    <row r="935" spans="15:17" ht="15" customHeight="1">
      <c r="O935" s="226"/>
      <c r="P935" s="1019"/>
      <c r="Q935" s="1019"/>
    </row>
    <row r="936" spans="15:17" ht="15" customHeight="1">
      <c r="O936" s="226"/>
      <c r="P936" s="1019"/>
      <c r="Q936" s="1019"/>
    </row>
    <row r="937" spans="15:17" ht="15" customHeight="1">
      <c r="O937" s="226"/>
      <c r="P937" s="1019"/>
      <c r="Q937" s="1019"/>
    </row>
    <row r="938" spans="15:17" ht="15" customHeight="1">
      <c r="O938" s="226"/>
      <c r="P938" s="1019"/>
      <c r="Q938" s="1019"/>
    </row>
    <row r="939" spans="15:17" ht="15" customHeight="1">
      <c r="O939" s="226"/>
      <c r="P939" s="1019"/>
      <c r="Q939" s="1019"/>
    </row>
    <row r="940" spans="15:17" ht="15" customHeight="1">
      <c r="O940" s="226"/>
      <c r="P940" s="1019"/>
      <c r="Q940" s="1019"/>
    </row>
    <row r="941" spans="15:17" ht="15" customHeight="1">
      <c r="O941" s="226"/>
      <c r="P941" s="1019"/>
      <c r="Q941" s="1019"/>
    </row>
    <row r="942" spans="15:17" ht="15" customHeight="1">
      <c r="O942" s="226"/>
      <c r="P942" s="1019"/>
      <c r="Q942" s="1019"/>
    </row>
    <row r="943" spans="15:17" ht="15" customHeight="1">
      <c r="O943" s="226"/>
      <c r="P943" s="1019"/>
      <c r="Q943" s="1019"/>
    </row>
    <row r="944" spans="15:17" ht="15" customHeight="1">
      <c r="O944" s="226"/>
      <c r="P944" s="1019"/>
      <c r="Q944" s="1019"/>
    </row>
    <row r="945" spans="15:17" ht="15" customHeight="1">
      <c r="O945" s="226"/>
      <c r="P945" s="1019"/>
      <c r="Q945" s="1019"/>
    </row>
    <row r="946" spans="15:17" ht="15" customHeight="1">
      <c r="O946" s="226"/>
      <c r="P946" s="1019"/>
      <c r="Q946" s="1019"/>
    </row>
    <row r="947" spans="15:17" ht="15" customHeight="1">
      <c r="O947" s="226"/>
      <c r="P947" s="1019"/>
      <c r="Q947" s="1019"/>
    </row>
    <row r="948" spans="15:17" ht="15" customHeight="1">
      <c r="O948" s="226"/>
      <c r="P948" s="1019"/>
      <c r="Q948" s="1019"/>
    </row>
    <row r="949" spans="15:17" ht="15" customHeight="1">
      <c r="O949" s="226"/>
      <c r="P949" s="1019"/>
      <c r="Q949" s="1019"/>
    </row>
    <row r="950" spans="15:17" ht="15" customHeight="1">
      <c r="O950" s="226"/>
      <c r="P950" s="1019"/>
      <c r="Q950" s="1019"/>
    </row>
    <row r="951" spans="15:17" ht="15" customHeight="1">
      <c r="O951" s="226"/>
      <c r="P951" s="1019"/>
      <c r="Q951" s="1019"/>
    </row>
    <row r="952" spans="15:17" ht="15" customHeight="1">
      <c r="O952" s="226"/>
      <c r="P952" s="1019"/>
      <c r="Q952" s="1019"/>
    </row>
    <row r="953" spans="15:17" ht="15" customHeight="1">
      <c r="O953" s="226"/>
      <c r="P953" s="1019"/>
      <c r="Q953" s="1019"/>
    </row>
    <row r="954" spans="15:17" ht="15" customHeight="1">
      <c r="O954" s="226"/>
      <c r="P954" s="1019"/>
      <c r="Q954" s="1019"/>
    </row>
    <row r="955" spans="15:17" ht="15" customHeight="1">
      <c r="O955" s="226"/>
      <c r="P955" s="1019"/>
      <c r="Q955" s="1019"/>
    </row>
    <row r="956" spans="15:17" ht="15" customHeight="1">
      <c r="O956" s="226"/>
      <c r="P956" s="1019"/>
      <c r="Q956" s="1019"/>
    </row>
    <row r="957" spans="15:17" ht="15" customHeight="1">
      <c r="O957" s="226"/>
      <c r="P957" s="1019"/>
      <c r="Q957" s="1019"/>
    </row>
    <row r="958" spans="15:17" ht="15" customHeight="1">
      <c r="O958" s="226"/>
      <c r="P958" s="1019"/>
      <c r="Q958" s="1019"/>
    </row>
    <row r="959" spans="15:17" ht="15" customHeight="1">
      <c r="O959" s="226"/>
      <c r="P959" s="1019"/>
      <c r="Q959" s="1019"/>
    </row>
    <row r="960" spans="15:17" ht="15" customHeight="1">
      <c r="O960" s="226"/>
      <c r="P960" s="1019"/>
      <c r="Q960" s="1019"/>
    </row>
    <row r="961" spans="15:17" ht="15" customHeight="1">
      <c r="O961" s="226"/>
      <c r="P961" s="1019"/>
      <c r="Q961" s="1019"/>
    </row>
    <row r="962" spans="15:17" ht="15" customHeight="1">
      <c r="O962" s="226"/>
      <c r="P962" s="1019"/>
      <c r="Q962" s="1019"/>
    </row>
    <row r="963" spans="15:17" ht="15" customHeight="1">
      <c r="O963" s="226"/>
      <c r="P963" s="1019"/>
      <c r="Q963" s="1019"/>
    </row>
    <row r="964" spans="15:17" ht="15" customHeight="1">
      <c r="O964" s="226"/>
      <c r="P964" s="1019"/>
      <c r="Q964" s="1019"/>
    </row>
    <row r="965" spans="15:17" ht="15" customHeight="1">
      <c r="O965" s="226"/>
      <c r="P965" s="1019"/>
      <c r="Q965" s="1019"/>
    </row>
    <row r="966" spans="15:17" ht="15" customHeight="1">
      <c r="O966" s="226"/>
      <c r="P966" s="1019"/>
      <c r="Q966" s="1019"/>
    </row>
    <row r="967" spans="15:17" ht="15" customHeight="1">
      <c r="O967" s="226"/>
      <c r="P967" s="1019"/>
      <c r="Q967" s="1019"/>
    </row>
    <row r="968" spans="15:17" ht="15" customHeight="1">
      <c r="O968" s="226"/>
      <c r="P968" s="1019"/>
      <c r="Q968" s="1019"/>
    </row>
    <row r="969" spans="15:17" ht="15" customHeight="1">
      <c r="O969" s="226"/>
      <c r="P969" s="1019"/>
      <c r="Q969" s="1019"/>
    </row>
    <row r="970" spans="15:17" ht="15" customHeight="1">
      <c r="O970" s="226"/>
      <c r="P970" s="1019"/>
      <c r="Q970" s="1019"/>
    </row>
    <row r="971" spans="15:17" ht="15" customHeight="1">
      <c r="O971" s="226"/>
      <c r="P971" s="1019"/>
      <c r="Q971" s="1019"/>
    </row>
    <row r="972" spans="15:17" ht="15" customHeight="1">
      <c r="O972" s="226"/>
      <c r="P972" s="1019"/>
      <c r="Q972" s="1019"/>
    </row>
    <row r="973" spans="15:17" ht="15" customHeight="1">
      <c r="O973" s="226"/>
      <c r="P973" s="1019"/>
      <c r="Q973" s="1019"/>
    </row>
    <row r="974" spans="15:17" ht="15" customHeight="1">
      <c r="O974" s="226"/>
      <c r="P974" s="1019"/>
      <c r="Q974" s="1019"/>
    </row>
    <row r="975" spans="15:17" ht="15" customHeight="1">
      <c r="O975" s="226"/>
      <c r="P975" s="1019"/>
      <c r="Q975" s="1019"/>
    </row>
    <row r="976" spans="15:17" ht="15" customHeight="1">
      <c r="O976" s="226"/>
      <c r="P976" s="1019"/>
      <c r="Q976" s="1019"/>
    </row>
    <row r="977" spans="15:17" ht="15" customHeight="1">
      <c r="O977" s="226"/>
      <c r="P977" s="1019"/>
      <c r="Q977" s="1019"/>
    </row>
    <row r="978" spans="15:17" ht="15" customHeight="1">
      <c r="O978" s="226"/>
      <c r="P978" s="1019"/>
      <c r="Q978" s="1019"/>
    </row>
    <row r="979" spans="15:17" ht="15" customHeight="1">
      <c r="O979" s="226"/>
      <c r="P979" s="1019"/>
      <c r="Q979" s="1019"/>
    </row>
    <row r="980" spans="15:17" ht="15" customHeight="1">
      <c r="O980" s="226"/>
      <c r="P980" s="1019"/>
      <c r="Q980" s="1019"/>
    </row>
    <row r="981" spans="15:17" ht="15" customHeight="1">
      <c r="O981" s="226"/>
      <c r="P981" s="1019"/>
      <c r="Q981" s="1019"/>
    </row>
    <row r="982" spans="15:17" ht="15" customHeight="1">
      <c r="O982" s="226"/>
      <c r="P982" s="1019"/>
      <c r="Q982" s="1019"/>
    </row>
    <row r="983" spans="15:17" ht="15" customHeight="1">
      <c r="O983" s="226"/>
      <c r="P983" s="1019"/>
      <c r="Q983" s="1019"/>
    </row>
    <row r="984" spans="15:17" ht="15" customHeight="1">
      <c r="O984" s="226"/>
      <c r="P984" s="1019"/>
      <c r="Q984" s="1019"/>
    </row>
    <row r="985" spans="15:17" ht="15" customHeight="1">
      <c r="O985" s="226"/>
      <c r="P985" s="1019"/>
      <c r="Q985" s="1019"/>
    </row>
    <row r="986" spans="15:17" ht="15" customHeight="1">
      <c r="O986" s="226"/>
      <c r="P986" s="1019"/>
      <c r="Q986" s="1019"/>
    </row>
    <row r="987" spans="15:17" ht="15" customHeight="1">
      <c r="O987" s="226"/>
      <c r="P987" s="1019"/>
      <c r="Q987" s="1019"/>
    </row>
    <row r="988" spans="15:17" ht="15" customHeight="1">
      <c r="O988" s="226"/>
      <c r="P988" s="1019"/>
      <c r="Q988" s="1019"/>
    </row>
    <row r="989" spans="15:17" ht="15" customHeight="1">
      <c r="O989" s="226"/>
      <c r="P989" s="1019"/>
      <c r="Q989" s="1019"/>
    </row>
  </sheetData>
  <autoFilter ref="O5:O187" xr:uid="{00000000-0009-0000-0000-000009000000}"/>
  <customSheetViews>
    <customSheetView guid="{6CFAA980-29D1-42A9-8342-BF14629EBE3B}" showGridLines="0" fitToPage="1" showAutoFilter="1">
      <pane xSplit="1" ySplit="7" topLeftCell="B8" activePane="bottomRight" state="frozen"/>
      <selection pane="bottomRight" activeCell="M37" sqref="M37"/>
      <pageMargins left="0.62992125984251968" right="0.23622047244094491" top="0.78740157480314965" bottom="0.39370078740157483" header="0.43307086614173229" footer="0.19685039370078741"/>
      <pageSetup paperSize="9" scale="78" fitToHeight="0" orientation="portrait" r:id="rId1"/>
      <headerFooter alignWithMargins="0">
        <oddHeader>&amp;L&amp;"HG創英角ｺﾞｼｯｸUB,標準"&amp;12様式第１号 別紙１　建具及び特殊設備計算書</oddHeader>
        <oddFooter>&amp;R&amp;"ＭＳ ゴシック,標準"&amp;D　&amp;T</oddFooter>
      </headerFooter>
      <autoFilter ref="N5:N173" xr:uid="{B6159268-7FD0-40C8-B43C-8D207C0E0AFB}"/>
    </customSheetView>
  </customSheetViews>
  <mergeCells count="30">
    <mergeCell ref="R6:R7"/>
    <mergeCell ref="B150:I150"/>
    <mergeCell ref="B187:I187"/>
    <mergeCell ref="K6:K7"/>
    <mergeCell ref="L6:M7"/>
    <mergeCell ref="E6:G6"/>
    <mergeCell ref="B6:B7"/>
    <mergeCell ref="C6:C7"/>
    <mergeCell ref="D6:D7"/>
    <mergeCell ref="H6:H7"/>
    <mergeCell ref="I6:I7"/>
    <mergeCell ref="J6:J7"/>
    <mergeCell ref="E155:E157"/>
    <mergeCell ref="E158:E159"/>
    <mergeCell ref="B155:B163"/>
    <mergeCell ref="L155:L163"/>
    <mergeCell ref="N6:N7"/>
    <mergeCell ref="M155:M163"/>
    <mergeCell ref="C154:D154"/>
    <mergeCell ref="E154:J154"/>
    <mergeCell ref="K154:L154"/>
    <mergeCell ref="C155:D163"/>
    <mergeCell ref="I162:I163"/>
    <mergeCell ref="J162:J163"/>
    <mergeCell ref="K155:K163"/>
    <mergeCell ref="E160:E161"/>
    <mergeCell ref="E162:F162"/>
    <mergeCell ref="G162:H162"/>
    <mergeCell ref="E163:F163"/>
    <mergeCell ref="G163:H163"/>
  </mergeCells>
  <phoneticPr fontId="8"/>
  <conditionalFormatting sqref="F161">
    <cfRule type="cellIs" dxfId="74" priority="1" operator="notBetween">
      <formula>$G$161</formula>
      <formula>$H$161</formula>
    </cfRule>
  </conditionalFormatting>
  <dataValidations count="8">
    <dataValidation type="custom" allowBlank="1" showInputMessage="1" showErrorMessage="1" error="すでに同じ名称が存在します！" sqref="B167:B187" xr:uid="{00000000-0002-0000-0900-000000000000}">
      <formula1>COUNTIF(B$167:B$187,B167)=1</formula1>
    </dataValidation>
    <dataValidation type="list" allowBlank="1" showInputMessage="1" showErrorMessage="1" sqref="M100:N101" xr:uid="{00000000-0002-0000-0900-000001000000}">
      <formula1>建具名称</formula1>
    </dataValidation>
    <dataValidation type="list" allowBlank="1" showInputMessage="1" showErrorMessage="1" sqref="F155" xr:uid="{00000000-0002-0000-0900-000002000000}">
      <formula1>$G$155:$J$155</formula1>
    </dataValidation>
    <dataValidation type="list" allowBlank="1" showInputMessage="1" showErrorMessage="1" sqref="F158" xr:uid="{00000000-0002-0000-0900-000003000000}">
      <formula1>$G$158:$I$158</formula1>
    </dataValidation>
    <dataValidation type="list" allowBlank="1" showInputMessage="1" showErrorMessage="1" sqref="F160" xr:uid="{00000000-0002-0000-0900-000004000000}">
      <formula1>$G$160:$J$160</formula1>
    </dataValidation>
    <dataValidation type="custom" allowBlank="1" showInputMessage="1" showErrorMessage="1" error="すでに同じ名称が存在します！" sqref="B10 B35:B98" xr:uid="{00000000-0002-0000-0900-000005000000}">
      <formula1>COUNTIF(B$6:B$101,B10)=1</formula1>
    </dataValidation>
    <dataValidation type="custom" allowBlank="1" showInputMessage="1" showErrorMessage="1" error="すでに同じ名称が存在します！" sqref="B100:B101" xr:uid="{00000000-0002-0000-0900-000006000000}">
      <formula1>COUNTIF(B$6:B$139,B100)=1</formula1>
    </dataValidation>
    <dataValidation type="custom" allowBlank="1" showInputMessage="1" showErrorMessage="1" error="すでに同じ名称が存在します！" sqref="B99 B6 B8:B9 B102:B150" xr:uid="{00000000-0002-0000-0900-000007000000}">
      <formula1>COUNTIF(B$6:B$150,B6)=1</formula1>
    </dataValidation>
  </dataValidations>
  <hyperlinks>
    <hyperlink ref="E3" location="①建" display="サッシ" xr:uid="{275B3209-2640-4DD8-816D-663653991139}"/>
    <hyperlink ref="F3" location="②建" display="ドア" xr:uid="{0D0ADDEC-EF35-4CCC-9F32-C8506D184126}"/>
    <hyperlink ref="G3" location="③建" display="ｼｬｯﾀｰ" xr:uid="{5E97089F-E22A-469E-9E49-3C67346642B9}"/>
    <hyperlink ref="H3" location="④建" display="その他" xr:uid="{866E0F12-14A8-4153-BABB-338C28E38B51}"/>
    <hyperlink ref="I3" location="⑤建" display="自由作成" xr:uid="{4D6C8E6B-F949-43DD-8429-51B1E51AAEF1}"/>
    <hyperlink ref="J3" location="⑥建" display="ｶﾞﾗｽ" xr:uid="{A7814D06-E542-43DB-A119-E6ABE71562A1}"/>
    <hyperlink ref="K3" location="⑦建" display="建具総合" xr:uid="{960774A2-D5E5-48BB-8414-4D4040142074}"/>
    <hyperlink ref="L3" location="⑨建" display="特殊設備" xr:uid="{5E7CB11E-CFFD-40A2-B86E-5F83CFCC0D76}"/>
  </hyperlinks>
  <pageMargins left="0.62992125984251968" right="0.23622047244094491" top="0.78740157480314965" bottom="0.39370078740157483" header="0.43307086614173229" footer="0.19685039370078741"/>
  <pageSetup paperSize="9" scale="78" fitToHeight="0" orientation="portrait" r:id="rId2"/>
  <headerFooter alignWithMargins="0">
    <oddHeader>&amp;L&amp;"HG創英角ｺﾞｼｯｸUB,標準"&amp;12様式第１号 別紙１　建具及び特殊設備計算書</oddHeader>
    <oddFooter>&amp;R&amp;"ＭＳ ゴシック,標準"&amp;D　&amp;T</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8000000}">
          <x14:formula1>
            <xm:f>DB!$B$547:$B$549</xm:f>
          </x14:formula1>
          <xm:sqref>B155:B163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12"/>
    <pageSetUpPr fitToPage="1"/>
  </sheetPr>
  <dimension ref="A1:Q73"/>
  <sheetViews>
    <sheetView showGridLines="0" zoomScaleNormal="100" workbookViewId="0">
      <pane ySplit="3" topLeftCell="A4" activePane="bottomLeft" state="frozen"/>
      <selection activeCell="A2" sqref="A2:F2"/>
      <selection pane="bottomLeft" activeCell="P3" sqref="P3:P7"/>
    </sheetView>
  </sheetViews>
  <sheetFormatPr defaultColWidth="12" defaultRowHeight="14.25" customHeight="1"/>
  <cols>
    <col min="1" max="1" width="12.109375" style="271" customWidth="1"/>
    <col min="2" max="2" width="28.109375" style="271" customWidth="1"/>
    <col min="3" max="3" width="19.109375" style="271" customWidth="1"/>
    <col min="4" max="4" width="12.6640625" style="271" customWidth="1"/>
    <col min="5" max="5" width="16" style="271" customWidth="1"/>
    <col min="6" max="6" width="8" style="271" customWidth="1"/>
    <col min="7" max="7" width="4.109375" style="271" bestFit="1" customWidth="1"/>
    <col min="8" max="8" width="8" style="271" customWidth="1"/>
    <col min="9" max="9" width="10.33203125" style="271" customWidth="1"/>
    <col min="10" max="10" width="6" style="271" customWidth="1"/>
    <col min="11" max="11" width="11.6640625" style="271" customWidth="1"/>
    <col min="12" max="12" width="9.109375" style="271" customWidth="1"/>
    <col min="13" max="13" width="5.6640625" bestFit="1" customWidth="1"/>
    <col min="14" max="14" width="8.33203125" style="271" customWidth="1"/>
    <col min="15" max="16384" width="12" style="88"/>
  </cols>
  <sheetData>
    <row r="1" spans="1:17" ht="8.25" customHeight="1">
      <c r="M1" s="271"/>
    </row>
    <row r="2" spans="1:17" ht="14.25" customHeight="1">
      <c r="B2" s="272"/>
      <c r="C2" s="3211" t="s">
        <v>75</v>
      </c>
      <c r="D2" s="3211"/>
      <c r="E2" s="3211"/>
      <c r="F2" s="3211"/>
      <c r="G2" s="3211"/>
      <c r="H2" s="3211"/>
      <c r="I2" s="272"/>
      <c r="M2" s="271"/>
      <c r="N2" s="271" t="b">
        <v>1</v>
      </c>
    </row>
    <row r="3" spans="1:17" ht="14.25" customHeight="1">
      <c r="M3" s="2201" t="s">
        <v>5813</v>
      </c>
      <c r="N3" s="271" t="b">
        <v>1</v>
      </c>
    </row>
    <row r="4" spans="1:17" ht="14.25" customHeight="1">
      <c r="A4" s="273" t="s">
        <v>5564</v>
      </c>
      <c r="M4" s="2200"/>
      <c r="N4" s="271" t="b">
        <f>OR(K23&lt;&gt;0,K27&lt;&gt;0)</f>
        <v>0</v>
      </c>
    </row>
    <row r="5" spans="1:17" ht="14.25" customHeight="1">
      <c r="A5" s="1801" t="s">
        <v>5571</v>
      </c>
      <c r="B5" s="1802" t="s">
        <v>77</v>
      </c>
      <c r="C5" s="1802" t="s">
        <v>78</v>
      </c>
      <c r="D5" s="1802" t="s">
        <v>79</v>
      </c>
      <c r="E5" s="1802" t="s">
        <v>1003</v>
      </c>
      <c r="F5" s="3212" t="s">
        <v>80</v>
      </c>
      <c r="G5" s="3213"/>
      <c r="H5" s="3213"/>
      <c r="I5" s="1803" t="s">
        <v>5584</v>
      </c>
      <c r="J5" s="1802" t="s">
        <v>81</v>
      </c>
      <c r="K5" s="1804" t="s">
        <v>82</v>
      </c>
      <c r="L5" s="1805"/>
      <c r="M5" s="2201"/>
      <c r="N5" s="271" t="b">
        <f>OR(K23&lt;&gt;0,K27&lt;&gt;0)</f>
        <v>0</v>
      </c>
    </row>
    <row r="6" spans="1:17" ht="14.25" customHeight="1">
      <c r="A6" s="1806" t="s">
        <v>5572</v>
      </c>
      <c r="B6" s="1806"/>
      <c r="C6" s="1806"/>
      <c r="D6" s="1807"/>
      <c r="E6" s="1807"/>
      <c r="F6" s="1807" t="s">
        <v>5590</v>
      </c>
      <c r="G6" s="1808"/>
      <c r="H6" s="1809" t="s">
        <v>5591</v>
      </c>
      <c r="I6" s="1810" t="s">
        <v>5583</v>
      </c>
      <c r="J6" s="1806"/>
      <c r="K6" s="1806"/>
      <c r="L6" s="1811" t="s">
        <v>83</v>
      </c>
      <c r="M6" s="2200"/>
      <c r="N6" s="271" t="b">
        <f>OR(K23&lt;&gt;0,K27&lt;&gt;0)</f>
        <v>0</v>
      </c>
    </row>
    <row r="7" spans="1:17" ht="14.25" customHeight="1">
      <c r="A7" s="2025"/>
      <c r="B7" s="274"/>
      <c r="C7" s="274"/>
      <c r="D7" s="275"/>
      <c r="E7" s="275"/>
      <c r="F7" s="2028"/>
      <c r="G7" s="276" t="s">
        <v>857</v>
      </c>
      <c r="H7" s="2031"/>
      <c r="I7" s="277">
        <f t="shared" ref="I7:I22" si="0">ROUNDDOWN(F7*H7,2)</f>
        <v>0</v>
      </c>
      <c r="J7" s="2025"/>
      <c r="K7" s="277">
        <f>IF(ISBLANK(B7),0,I7*J7)</f>
        <v>0</v>
      </c>
      <c r="L7" s="277">
        <f>ROUNDDOWN(I7*J7*IF(RIGHT(D7,2)="全)",1,IF(RIGHT(D7,2)="片)",1/2,0)),2)</f>
        <v>0</v>
      </c>
      <c r="M7" s="2200"/>
      <c r="N7" s="271" t="b">
        <f>I7&lt;&gt;0</f>
        <v>0</v>
      </c>
    </row>
    <row r="8" spans="1:17" ht="14.25" customHeight="1">
      <c r="A8" s="2026"/>
      <c r="B8" s="274"/>
      <c r="C8" s="278"/>
      <c r="D8" s="275"/>
      <c r="E8" s="279"/>
      <c r="F8" s="2029"/>
      <c r="G8" s="280" t="s">
        <v>857</v>
      </c>
      <c r="H8" s="2032"/>
      <c r="I8" s="281">
        <f t="shared" si="0"/>
        <v>0</v>
      </c>
      <c r="J8" s="2026"/>
      <c r="K8" s="281">
        <f t="shared" ref="K8:K22" si="1">IF(ISBLANK(B8),0,I8*J8)</f>
        <v>0</v>
      </c>
      <c r="L8" s="281">
        <f t="shared" ref="L8:L22" si="2">ROUNDDOWN(I8*J8*IF(RIGHT(D8,2)="全)",1,IF(RIGHT(D8,2)="片)",1/2,0)),2)</f>
        <v>0</v>
      </c>
      <c r="M8" s="2200"/>
      <c r="N8" s="271" t="b">
        <f t="shared" ref="N8:N22" si="3">I8&lt;&gt;0</f>
        <v>0</v>
      </c>
    </row>
    <row r="9" spans="1:17" ht="14.25" customHeight="1">
      <c r="A9" s="2026"/>
      <c r="B9" s="274"/>
      <c r="C9" s="278"/>
      <c r="D9" s="275"/>
      <c r="E9" s="279"/>
      <c r="F9" s="2029"/>
      <c r="G9" s="280" t="s">
        <v>857</v>
      </c>
      <c r="H9" s="2032"/>
      <c r="I9" s="281">
        <f t="shared" si="0"/>
        <v>0</v>
      </c>
      <c r="J9" s="2026"/>
      <c r="K9" s="281">
        <f t="shared" si="1"/>
        <v>0</v>
      </c>
      <c r="L9" s="281">
        <f t="shared" si="2"/>
        <v>0</v>
      </c>
      <c r="M9" s="2200"/>
      <c r="N9" s="271" t="b">
        <f t="shared" si="3"/>
        <v>0</v>
      </c>
    </row>
    <row r="10" spans="1:17" ht="14.25" customHeight="1">
      <c r="A10" s="2026"/>
      <c r="B10" s="274"/>
      <c r="C10" s="278"/>
      <c r="D10" s="275"/>
      <c r="E10" s="279"/>
      <c r="F10" s="2029"/>
      <c r="G10" s="280" t="s">
        <v>857</v>
      </c>
      <c r="H10" s="2032"/>
      <c r="I10" s="281">
        <f t="shared" si="0"/>
        <v>0</v>
      </c>
      <c r="J10" s="2026"/>
      <c r="K10" s="281">
        <f t="shared" si="1"/>
        <v>0</v>
      </c>
      <c r="L10" s="281">
        <f t="shared" si="2"/>
        <v>0</v>
      </c>
      <c r="M10" s="2200"/>
      <c r="N10" s="271" t="b">
        <f t="shared" si="3"/>
        <v>0</v>
      </c>
      <c r="Q10"/>
    </row>
    <row r="11" spans="1:17" ht="14.25" customHeight="1">
      <c r="A11" s="2026"/>
      <c r="B11" s="274"/>
      <c r="C11" s="278"/>
      <c r="D11" s="275"/>
      <c r="E11" s="279"/>
      <c r="F11" s="2029"/>
      <c r="G11" s="280" t="s">
        <v>857</v>
      </c>
      <c r="H11" s="2032"/>
      <c r="I11" s="281">
        <f t="shared" si="0"/>
        <v>0</v>
      </c>
      <c r="J11" s="2026"/>
      <c r="K11" s="281">
        <f t="shared" si="1"/>
        <v>0</v>
      </c>
      <c r="L11" s="281">
        <f t="shared" si="2"/>
        <v>0</v>
      </c>
      <c r="M11" s="2200"/>
      <c r="N11" s="271" t="b">
        <f t="shared" si="3"/>
        <v>0</v>
      </c>
    </row>
    <row r="12" spans="1:17" ht="14.25" customHeight="1">
      <c r="A12" s="2026"/>
      <c r="B12" s="278"/>
      <c r="C12" s="278"/>
      <c r="D12" s="275"/>
      <c r="E12" s="279"/>
      <c r="F12" s="2029"/>
      <c r="G12" s="280" t="s">
        <v>857</v>
      </c>
      <c r="H12" s="2032"/>
      <c r="I12" s="281">
        <f t="shared" si="0"/>
        <v>0</v>
      </c>
      <c r="J12" s="2026"/>
      <c r="K12" s="281">
        <f t="shared" si="1"/>
        <v>0</v>
      </c>
      <c r="L12" s="281">
        <f t="shared" si="2"/>
        <v>0</v>
      </c>
      <c r="M12" s="2200"/>
      <c r="N12" s="271" t="b">
        <f t="shared" si="3"/>
        <v>0</v>
      </c>
    </row>
    <row r="13" spans="1:17" ht="14.25" customHeight="1">
      <c r="A13" s="2026"/>
      <c r="B13" s="278"/>
      <c r="C13" s="278"/>
      <c r="D13" s="275"/>
      <c r="E13" s="279"/>
      <c r="F13" s="2029"/>
      <c r="G13" s="280" t="s">
        <v>857</v>
      </c>
      <c r="H13" s="2032"/>
      <c r="I13" s="281">
        <f t="shared" si="0"/>
        <v>0</v>
      </c>
      <c r="J13" s="2026"/>
      <c r="K13" s="281">
        <f t="shared" si="1"/>
        <v>0</v>
      </c>
      <c r="L13" s="281">
        <f t="shared" si="2"/>
        <v>0</v>
      </c>
      <c r="M13" s="2200"/>
      <c r="N13" s="271" t="b">
        <f t="shared" si="3"/>
        <v>0</v>
      </c>
    </row>
    <row r="14" spans="1:17" ht="14.25" customHeight="1">
      <c r="A14" s="2026"/>
      <c r="B14" s="278"/>
      <c r="C14" s="278"/>
      <c r="D14" s="275"/>
      <c r="E14" s="279"/>
      <c r="F14" s="2029"/>
      <c r="G14" s="280" t="s">
        <v>857</v>
      </c>
      <c r="H14" s="2032"/>
      <c r="I14" s="281">
        <f t="shared" si="0"/>
        <v>0</v>
      </c>
      <c r="J14" s="2026"/>
      <c r="K14" s="281">
        <f t="shared" si="1"/>
        <v>0</v>
      </c>
      <c r="L14" s="281">
        <f t="shared" si="2"/>
        <v>0</v>
      </c>
      <c r="M14" s="2200"/>
      <c r="N14" s="271" t="b">
        <f t="shared" si="3"/>
        <v>0</v>
      </c>
    </row>
    <row r="15" spans="1:17" ht="14.25" customHeight="1">
      <c r="A15" s="2026"/>
      <c r="B15" s="278"/>
      <c r="C15" s="278"/>
      <c r="D15" s="275"/>
      <c r="E15" s="279"/>
      <c r="F15" s="2029"/>
      <c r="G15" s="280" t="s">
        <v>857</v>
      </c>
      <c r="H15" s="2032"/>
      <c r="I15" s="281">
        <f t="shared" si="0"/>
        <v>0</v>
      </c>
      <c r="J15" s="2026"/>
      <c r="K15" s="281">
        <f t="shared" si="1"/>
        <v>0</v>
      </c>
      <c r="L15" s="281">
        <f t="shared" si="2"/>
        <v>0</v>
      </c>
      <c r="M15" s="2200"/>
      <c r="N15" s="271" t="b">
        <f t="shared" si="3"/>
        <v>0</v>
      </c>
    </row>
    <row r="16" spans="1:17" ht="14.25" customHeight="1">
      <c r="A16" s="2026"/>
      <c r="B16" s="278"/>
      <c r="C16" s="278"/>
      <c r="D16" s="275"/>
      <c r="E16" s="279"/>
      <c r="F16" s="2029"/>
      <c r="G16" s="280" t="s">
        <v>857</v>
      </c>
      <c r="H16" s="2032"/>
      <c r="I16" s="281">
        <f t="shared" si="0"/>
        <v>0</v>
      </c>
      <c r="J16" s="2026"/>
      <c r="K16" s="281">
        <f t="shared" si="1"/>
        <v>0</v>
      </c>
      <c r="L16" s="281">
        <f t="shared" si="2"/>
        <v>0</v>
      </c>
      <c r="M16" s="2200"/>
      <c r="N16" s="271" t="b">
        <f t="shared" si="3"/>
        <v>0</v>
      </c>
    </row>
    <row r="17" spans="1:14" ht="14.25" customHeight="1">
      <c r="A17" s="2026"/>
      <c r="B17" s="278"/>
      <c r="C17" s="278"/>
      <c r="D17" s="275"/>
      <c r="E17" s="279"/>
      <c r="F17" s="2029"/>
      <c r="G17" s="280" t="s">
        <v>857</v>
      </c>
      <c r="H17" s="2032"/>
      <c r="I17" s="281">
        <f t="shared" si="0"/>
        <v>0</v>
      </c>
      <c r="J17" s="2026"/>
      <c r="K17" s="281">
        <f t="shared" si="1"/>
        <v>0</v>
      </c>
      <c r="L17" s="281">
        <f t="shared" si="2"/>
        <v>0</v>
      </c>
      <c r="M17" s="2200"/>
      <c r="N17" s="271" t="b">
        <f t="shared" si="3"/>
        <v>0</v>
      </c>
    </row>
    <row r="18" spans="1:14" ht="14.25" customHeight="1">
      <c r="A18" s="2026"/>
      <c r="B18" s="278"/>
      <c r="C18" s="278"/>
      <c r="D18" s="275"/>
      <c r="E18" s="279"/>
      <c r="F18" s="2029"/>
      <c r="G18" s="280" t="s">
        <v>857</v>
      </c>
      <c r="H18" s="2032"/>
      <c r="I18" s="281">
        <f t="shared" si="0"/>
        <v>0</v>
      </c>
      <c r="J18" s="2026"/>
      <c r="K18" s="281">
        <f t="shared" si="1"/>
        <v>0</v>
      </c>
      <c r="L18" s="281">
        <f t="shared" si="2"/>
        <v>0</v>
      </c>
      <c r="M18" s="2200"/>
      <c r="N18" s="271" t="b">
        <f t="shared" si="3"/>
        <v>0</v>
      </c>
    </row>
    <row r="19" spans="1:14" ht="14.25" customHeight="1">
      <c r="A19" s="2026"/>
      <c r="B19" s="278"/>
      <c r="C19" s="278"/>
      <c r="D19" s="275"/>
      <c r="E19" s="279"/>
      <c r="F19" s="2029"/>
      <c r="G19" s="280" t="s">
        <v>857</v>
      </c>
      <c r="H19" s="2032"/>
      <c r="I19" s="281">
        <f t="shared" si="0"/>
        <v>0</v>
      </c>
      <c r="J19" s="2026"/>
      <c r="K19" s="281">
        <f t="shared" si="1"/>
        <v>0</v>
      </c>
      <c r="L19" s="281">
        <f t="shared" si="2"/>
        <v>0</v>
      </c>
      <c r="M19" s="2200"/>
      <c r="N19" s="271" t="b">
        <f t="shared" si="3"/>
        <v>0</v>
      </c>
    </row>
    <row r="20" spans="1:14" ht="14.25" customHeight="1">
      <c r="A20" s="2026"/>
      <c r="B20" s="278"/>
      <c r="C20" s="278"/>
      <c r="D20" s="275"/>
      <c r="E20" s="279"/>
      <c r="F20" s="2029"/>
      <c r="G20" s="280" t="s">
        <v>857</v>
      </c>
      <c r="H20" s="2032"/>
      <c r="I20" s="281">
        <f t="shared" si="0"/>
        <v>0</v>
      </c>
      <c r="J20" s="2026"/>
      <c r="K20" s="281">
        <f t="shared" si="1"/>
        <v>0</v>
      </c>
      <c r="L20" s="281">
        <f t="shared" si="2"/>
        <v>0</v>
      </c>
      <c r="M20" s="2200"/>
      <c r="N20" s="271" t="b">
        <f t="shared" si="3"/>
        <v>0</v>
      </c>
    </row>
    <row r="21" spans="1:14" ht="14.25" customHeight="1">
      <c r="A21" s="2026"/>
      <c r="B21" s="278"/>
      <c r="C21" s="278"/>
      <c r="D21" s="275"/>
      <c r="E21" s="279"/>
      <c r="F21" s="2029"/>
      <c r="G21" s="280" t="s">
        <v>857</v>
      </c>
      <c r="H21" s="2032"/>
      <c r="I21" s="281">
        <f t="shared" si="0"/>
        <v>0</v>
      </c>
      <c r="J21" s="2026"/>
      <c r="K21" s="281">
        <f t="shared" si="1"/>
        <v>0</v>
      </c>
      <c r="L21" s="281">
        <f t="shared" si="2"/>
        <v>0</v>
      </c>
      <c r="M21" s="2200"/>
      <c r="N21" s="271" t="b">
        <f t="shared" si="3"/>
        <v>0</v>
      </c>
    </row>
    <row r="22" spans="1:14" ht="14.25" customHeight="1">
      <c r="A22" s="2027"/>
      <c r="B22" s="282"/>
      <c r="C22" s="282"/>
      <c r="D22" s="275"/>
      <c r="E22" s="283"/>
      <c r="F22" s="2030"/>
      <c r="G22" s="284" t="s">
        <v>857</v>
      </c>
      <c r="H22" s="2033"/>
      <c r="I22" s="285">
        <f t="shared" si="0"/>
        <v>0</v>
      </c>
      <c r="J22" s="2027"/>
      <c r="K22" s="285">
        <f t="shared" si="1"/>
        <v>0</v>
      </c>
      <c r="L22" s="285">
        <f t="shared" si="2"/>
        <v>0</v>
      </c>
      <c r="M22" s="2200"/>
      <c r="N22" s="271" t="b">
        <f t="shared" si="3"/>
        <v>0</v>
      </c>
    </row>
    <row r="23" spans="1:14" ht="14.25" customHeight="1">
      <c r="A23" s="1793" t="s">
        <v>5573</v>
      </c>
      <c r="B23" s="1812"/>
      <c r="C23" s="1812"/>
      <c r="D23" s="1812"/>
      <c r="E23" s="1812"/>
      <c r="F23" s="1812"/>
      <c r="G23" s="1812"/>
      <c r="H23" s="1813"/>
      <c r="I23" s="1814"/>
      <c r="J23" s="1815"/>
      <c r="K23" s="1816">
        <f>SUM(K6:K22)</f>
        <v>0</v>
      </c>
      <c r="L23" s="1816">
        <f>SUM(L6:L22)</f>
        <v>0</v>
      </c>
      <c r="M23" s="2200"/>
      <c r="N23" s="271" t="b">
        <f t="shared" ref="N23:N27" si="4">K23&lt;&gt;0</f>
        <v>0</v>
      </c>
    </row>
    <row r="24" spans="1:14" ht="14.25" customHeight="1">
      <c r="A24" s="2034" t="s">
        <v>5575</v>
      </c>
      <c r="B24" s="286"/>
      <c r="C24" s="535"/>
      <c r="D24" s="535"/>
      <c r="E24" s="536"/>
      <c r="F24" s="2035"/>
      <c r="G24" s="287" t="s">
        <v>857</v>
      </c>
      <c r="H24" s="2036"/>
      <c r="I24" s="288">
        <f>ROUNDDOWN(F24*H24,2)</f>
        <v>0</v>
      </c>
      <c r="J24" s="2034"/>
      <c r="K24" s="288">
        <f>I24*J24</f>
        <v>0</v>
      </c>
      <c r="L24" s="288"/>
      <c r="M24" s="2200"/>
      <c r="N24" s="271" t="b">
        <f>I24&lt;&gt;0</f>
        <v>0</v>
      </c>
    </row>
    <row r="25" spans="1:14" ht="14.25" customHeight="1">
      <c r="A25" s="2026" t="s">
        <v>5576</v>
      </c>
      <c r="B25" s="289"/>
      <c r="C25" s="537"/>
      <c r="D25" s="537"/>
      <c r="E25" s="538"/>
      <c r="F25" s="2029"/>
      <c r="G25" s="280" t="s">
        <v>857</v>
      </c>
      <c r="H25" s="2032"/>
      <c r="I25" s="281">
        <f>ROUNDDOWN(F25*H25,2)</f>
        <v>0</v>
      </c>
      <c r="J25" s="2026"/>
      <c r="K25" s="281">
        <f>I25*J25</f>
        <v>0</v>
      </c>
      <c r="L25" s="281"/>
      <c r="M25" s="2200"/>
      <c r="N25" s="271" t="b">
        <f t="shared" ref="N25:N26" si="5">I25&lt;&gt;0</f>
        <v>0</v>
      </c>
    </row>
    <row r="26" spans="1:14" ht="14.25" customHeight="1">
      <c r="A26" s="2027" t="s">
        <v>5577</v>
      </c>
      <c r="B26" s="539"/>
      <c r="C26" s="540"/>
      <c r="D26" s="540"/>
      <c r="E26" s="541"/>
      <c r="F26" s="2030"/>
      <c r="G26" s="284" t="s">
        <v>857</v>
      </c>
      <c r="H26" s="2033"/>
      <c r="I26" s="285">
        <f>ROUNDDOWN(F26*H26,2)</f>
        <v>0</v>
      </c>
      <c r="J26" s="2027"/>
      <c r="K26" s="285">
        <f>I26*J26</f>
        <v>0</v>
      </c>
      <c r="L26" s="285"/>
      <c r="M26" s="2200"/>
      <c r="N26" s="271" t="b">
        <f t="shared" si="5"/>
        <v>0</v>
      </c>
    </row>
    <row r="27" spans="1:14" ht="14.25" customHeight="1">
      <c r="A27" s="1817" t="s">
        <v>5586</v>
      </c>
      <c r="B27" s="1812"/>
      <c r="C27" s="1812"/>
      <c r="D27" s="1812"/>
      <c r="E27" s="1812"/>
      <c r="F27" s="1812"/>
      <c r="G27" s="1812"/>
      <c r="H27" s="1813"/>
      <c r="I27" s="1818">
        <f>K27</f>
        <v>0</v>
      </c>
      <c r="J27" s="1815"/>
      <c r="K27" s="1816">
        <f>SUM(K23:K26)</f>
        <v>0</v>
      </c>
      <c r="L27" s="1816"/>
      <c r="M27" s="2200"/>
      <c r="N27" s="271" t="b">
        <f t="shared" si="4"/>
        <v>0</v>
      </c>
    </row>
    <row r="28" spans="1:14" ht="14.25" customHeight="1">
      <c r="I28" s="272"/>
      <c r="J28" s="272"/>
      <c r="K28" s="290"/>
      <c r="L28" s="290"/>
      <c r="M28" s="2200"/>
      <c r="N28" s="271" t="b">
        <f>OR(K48&lt;&gt;0,K52&lt;&gt;0)</f>
        <v>0</v>
      </c>
    </row>
    <row r="29" spans="1:14" ht="14.25" customHeight="1">
      <c r="A29" s="273" t="s">
        <v>5563</v>
      </c>
      <c r="M29" s="2200"/>
      <c r="N29" s="271" t="b">
        <f>OR(K48&lt;&gt;0,K52&lt;&gt;0)</f>
        <v>0</v>
      </c>
    </row>
    <row r="30" spans="1:14" ht="14.25" customHeight="1">
      <c r="A30" s="1801" t="s">
        <v>5571</v>
      </c>
      <c r="B30" s="1802" t="s">
        <v>77</v>
      </c>
      <c r="C30" s="1802" t="s">
        <v>78</v>
      </c>
      <c r="D30" s="1802" t="s">
        <v>79</v>
      </c>
      <c r="E30" s="1802" t="s">
        <v>1003</v>
      </c>
      <c r="F30" s="3212" t="s">
        <v>80</v>
      </c>
      <c r="G30" s="3213"/>
      <c r="H30" s="3213"/>
      <c r="I30" s="1803" t="s">
        <v>5584</v>
      </c>
      <c r="J30" s="1802" t="s">
        <v>81</v>
      </c>
      <c r="K30" s="1804" t="s">
        <v>84</v>
      </c>
      <c r="L30" s="1805"/>
      <c r="M30" s="2200"/>
      <c r="N30" s="271" t="b">
        <f>OR(K48&lt;&gt;0,K52&lt;&gt;0)</f>
        <v>0</v>
      </c>
    </row>
    <row r="31" spans="1:14" ht="14.25" customHeight="1">
      <c r="A31" s="1806" t="s">
        <v>5570</v>
      </c>
      <c r="B31" s="1806"/>
      <c r="C31" s="1806"/>
      <c r="D31" s="1807"/>
      <c r="E31" s="1807"/>
      <c r="F31" s="1807" t="s">
        <v>5590</v>
      </c>
      <c r="G31" s="1808"/>
      <c r="H31" s="1809" t="s">
        <v>5591</v>
      </c>
      <c r="I31" s="1810" t="s">
        <v>5583</v>
      </c>
      <c r="J31" s="1806"/>
      <c r="K31" s="1806"/>
      <c r="L31" s="1811" t="s">
        <v>83</v>
      </c>
      <c r="M31" s="2200"/>
      <c r="N31" s="271" t="b">
        <f>OR(K48&lt;&gt;0,K52&lt;&gt;0)</f>
        <v>0</v>
      </c>
    </row>
    <row r="32" spans="1:14" ht="14.25" customHeight="1">
      <c r="A32" s="2025"/>
      <c r="B32" s="274"/>
      <c r="C32" s="274"/>
      <c r="D32" s="275"/>
      <c r="E32" s="275"/>
      <c r="F32" s="2028"/>
      <c r="G32" s="276" t="s">
        <v>857</v>
      </c>
      <c r="H32" s="2031"/>
      <c r="I32" s="277">
        <f t="shared" ref="I32:I47" si="6">ROUNDDOWN(F32*H32,2)</f>
        <v>0</v>
      </c>
      <c r="J32" s="2025"/>
      <c r="K32" s="277">
        <f t="shared" ref="K32:K47" si="7">IF(ISBLANK(B32),0,I32*J32)</f>
        <v>0</v>
      </c>
      <c r="L32" s="277">
        <f t="shared" ref="L32:L47" si="8">ROUNDDOWN(I32*J32*IF(RIGHT(D32,2)="全)",1,IF(RIGHT(D32,2)="片)",1/2,0)),2)</f>
        <v>0</v>
      </c>
      <c r="M32" s="2200"/>
      <c r="N32" s="271" t="b">
        <f t="shared" ref="N32:N47" si="9">I32&lt;&gt;0</f>
        <v>0</v>
      </c>
    </row>
    <row r="33" spans="1:14" ht="14.25" customHeight="1">
      <c r="A33" s="2026"/>
      <c r="B33" s="278"/>
      <c r="C33" s="278"/>
      <c r="D33" s="275"/>
      <c r="E33" s="279"/>
      <c r="F33" s="2029"/>
      <c r="G33" s="280" t="s">
        <v>857</v>
      </c>
      <c r="H33" s="2032"/>
      <c r="I33" s="281">
        <f t="shared" si="6"/>
        <v>0</v>
      </c>
      <c r="J33" s="2026"/>
      <c r="K33" s="281">
        <f t="shared" si="7"/>
        <v>0</v>
      </c>
      <c r="L33" s="281">
        <f t="shared" si="8"/>
        <v>0</v>
      </c>
      <c r="M33" s="2200"/>
      <c r="N33" s="271" t="b">
        <f t="shared" si="9"/>
        <v>0</v>
      </c>
    </row>
    <row r="34" spans="1:14" ht="14.25" customHeight="1">
      <c r="A34" s="2026"/>
      <c r="B34" s="278"/>
      <c r="C34" s="278"/>
      <c r="D34" s="275"/>
      <c r="E34" s="279"/>
      <c r="F34" s="2029"/>
      <c r="G34" s="280" t="s">
        <v>857</v>
      </c>
      <c r="H34" s="2032"/>
      <c r="I34" s="281">
        <f t="shared" si="6"/>
        <v>0</v>
      </c>
      <c r="J34" s="2026"/>
      <c r="K34" s="281">
        <f t="shared" si="7"/>
        <v>0</v>
      </c>
      <c r="L34" s="281">
        <f t="shared" si="8"/>
        <v>0</v>
      </c>
      <c r="M34" s="2200"/>
      <c r="N34" s="271" t="b">
        <f t="shared" si="9"/>
        <v>0</v>
      </c>
    </row>
    <row r="35" spans="1:14" ht="14.25" customHeight="1">
      <c r="A35" s="2026"/>
      <c r="B35" s="278"/>
      <c r="C35" s="278"/>
      <c r="D35" s="275"/>
      <c r="E35" s="279"/>
      <c r="F35" s="2029"/>
      <c r="G35" s="280" t="s">
        <v>857</v>
      </c>
      <c r="H35" s="2032"/>
      <c r="I35" s="281">
        <f t="shared" si="6"/>
        <v>0</v>
      </c>
      <c r="J35" s="2026"/>
      <c r="K35" s="281">
        <f t="shared" si="7"/>
        <v>0</v>
      </c>
      <c r="L35" s="281">
        <f t="shared" si="8"/>
        <v>0</v>
      </c>
      <c r="M35" s="2200"/>
      <c r="N35" s="271" t="b">
        <f t="shared" si="9"/>
        <v>0</v>
      </c>
    </row>
    <row r="36" spans="1:14" ht="14.25" customHeight="1">
      <c r="A36" s="2026"/>
      <c r="B36" s="278"/>
      <c r="C36" s="278"/>
      <c r="D36" s="275"/>
      <c r="E36" s="279"/>
      <c r="F36" s="2029"/>
      <c r="G36" s="280" t="s">
        <v>857</v>
      </c>
      <c r="H36" s="2032"/>
      <c r="I36" s="281">
        <f t="shared" si="6"/>
        <v>0</v>
      </c>
      <c r="J36" s="2026"/>
      <c r="K36" s="281">
        <f t="shared" si="7"/>
        <v>0</v>
      </c>
      <c r="L36" s="281">
        <f t="shared" si="8"/>
        <v>0</v>
      </c>
      <c r="M36" s="2200"/>
      <c r="N36" s="271" t="b">
        <f t="shared" si="9"/>
        <v>0</v>
      </c>
    </row>
    <row r="37" spans="1:14" ht="14.25" customHeight="1">
      <c r="A37" s="2026"/>
      <c r="B37" s="278"/>
      <c r="C37" s="278"/>
      <c r="D37" s="275"/>
      <c r="E37" s="279"/>
      <c r="F37" s="2029"/>
      <c r="G37" s="280" t="s">
        <v>857</v>
      </c>
      <c r="H37" s="2032"/>
      <c r="I37" s="281">
        <f t="shared" si="6"/>
        <v>0</v>
      </c>
      <c r="J37" s="2026"/>
      <c r="K37" s="281">
        <f t="shared" si="7"/>
        <v>0</v>
      </c>
      <c r="L37" s="281">
        <f t="shared" si="8"/>
        <v>0</v>
      </c>
      <c r="M37" s="2200"/>
      <c r="N37" s="271" t="b">
        <f t="shared" si="9"/>
        <v>0</v>
      </c>
    </row>
    <row r="38" spans="1:14" ht="14.25" customHeight="1">
      <c r="A38" s="2026"/>
      <c r="B38" s="278"/>
      <c r="C38" s="278"/>
      <c r="D38" s="275"/>
      <c r="E38" s="279"/>
      <c r="F38" s="2029"/>
      <c r="G38" s="280" t="s">
        <v>857</v>
      </c>
      <c r="H38" s="2032"/>
      <c r="I38" s="281">
        <f t="shared" si="6"/>
        <v>0</v>
      </c>
      <c r="J38" s="2026"/>
      <c r="K38" s="281">
        <f t="shared" si="7"/>
        <v>0</v>
      </c>
      <c r="L38" s="281">
        <f t="shared" si="8"/>
        <v>0</v>
      </c>
      <c r="M38" s="2200"/>
      <c r="N38" s="271" t="b">
        <f t="shared" si="9"/>
        <v>0</v>
      </c>
    </row>
    <row r="39" spans="1:14" ht="14.25" customHeight="1">
      <c r="A39" s="2026"/>
      <c r="B39" s="278"/>
      <c r="C39" s="278"/>
      <c r="D39" s="275"/>
      <c r="E39" s="279"/>
      <c r="F39" s="2029"/>
      <c r="G39" s="280" t="s">
        <v>857</v>
      </c>
      <c r="H39" s="2032"/>
      <c r="I39" s="281">
        <f t="shared" si="6"/>
        <v>0</v>
      </c>
      <c r="J39" s="2026"/>
      <c r="K39" s="281">
        <f t="shared" si="7"/>
        <v>0</v>
      </c>
      <c r="L39" s="281">
        <f t="shared" si="8"/>
        <v>0</v>
      </c>
      <c r="M39" s="2200"/>
      <c r="N39" s="271" t="b">
        <f t="shared" si="9"/>
        <v>0</v>
      </c>
    </row>
    <row r="40" spans="1:14" ht="14.25" customHeight="1">
      <c r="A40" s="2026"/>
      <c r="B40" s="278"/>
      <c r="C40" s="278"/>
      <c r="D40" s="275"/>
      <c r="E40" s="279"/>
      <c r="F40" s="2029"/>
      <c r="G40" s="280" t="s">
        <v>857</v>
      </c>
      <c r="H40" s="2032"/>
      <c r="I40" s="281">
        <f t="shared" si="6"/>
        <v>0</v>
      </c>
      <c r="J40" s="2026"/>
      <c r="K40" s="281">
        <f t="shared" si="7"/>
        <v>0</v>
      </c>
      <c r="L40" s="281">
        <f t="shared" si="8"/>
        <v>0</v>
      </c>
      <c r="M40" s="2200"/>
      <c r="N40" s="271" t="b">
        <f t="shared" si="9"/>
        <v>0</v>
      </c>
    </row>
    <row r="41" spans="1:14" ht="14.25" customHeight="1">
      <c r="A41" s="2026"/>
      <c r="B41" s="278"/>
      <c r="C41" s="278"/>
      <c r="D41" s="275"/>
      <c r="E41" s="279"/>
      <c r="F41" s="2029"/>
      <c r="G41" s="280" t="s">
        <v>857</v>
      </c>
      <c r="H41" s="2032"/>
      <c r="I41" s="281">
        <f t="shared" si="6"/>
        <v>0</v>
      </c>
      <c r="J41" s="2026"/>
      <c r="K41" s="281">
        <f t="shared" si="7"/>
        <v>0</v>
      </c>
      <c r="L41" s="281">
        <f t="shared" si="8"/>
        <v>0</v>
      </c>
      <c r="M41" s="2200"/>
      <c r="N41" s="271" t="b">
        <f t="shared" si="9"/>
        <v>0</v>
      </c>
    </row>
    <row r="42" spans="1:14" ht="14.25" customHeight="1">
      <c r="A42" s="2026"/>
      <c r="B42" s="278"/>
      <c r="C42" s="278"/>
      <c r="D42" s="275"/>
      <c r="E42" s="279"/>
      <c r="F42" s="2029"/>
      <c r="G42" s="280" t="s">
        <v>857</v>
      </c>
      <c r="H42" s="2032"/>
      <c r="I42" s="281">
        <f t="shared" si="6"/>
        <v>0</v>
      </c>
      <c r="J42" s="2026"/>
      <c r="K42" s="281">
        <f t="shared" si="7"/>
        <v>0</v>
      </c>
      <c r="L42" s="281">
        <f t="shared" si="8"/>
        <v>0</v>
      </c>
      <c r="M42" s="2200"/>
      <c r="N42" s="271" t="b">
        <f t="shared" si="9"/>
        <v>0</v>
      </c>
    </row>
    <row r="43" spans="1:14" ht="14.25" customHeight="1">
      <c r="A43" s="2026"/>
      <c r="B43" s="278"/>
      <c r="C43" s="278"/>
      <c r="D43" s="275"/>
      <c r="E43" s="279"/>
      <c r="F43" s="2029"/>
      <c r="G43" s="280" t="s">
        <v>857</v>
      </c>
      <c r="H43" s="2032"/>
      <c r="I43" s="281">
        <f t="shared" si="6"/>
        <v>0</v>
      </c>
      <c r="J43" s="2026"/>
      <c r="K43" s="281">
        <f t="shared" si="7"/>
        <v>0</v>
      </c>
      <c r="L43" s="281">
        <f t="shared" si="8"/>
        <v>0</v>
      </c>
      <c r="M43" s="2200"/>
      <c r="N43" s="271" t="b">
        <f t="shared" si="9"/>
        <v>0</v>
      </c>
    </row>
    <row r="44" spans="1:14" ht="14.25" customHeight="1">
      <c r="A44" s="2026"/>
      <c r="B44" s="278"/>
      <c r="C44" s="278"/>
      <c r="D44" s="275"/>
      <c r="E44" s="279"/>
      <c r="F44" s="2029"/>
      <c r="G44" s="280" t="s">
        <v>857</v>
      </c>
      <c r="H44" s="2032"/>
      <c r="I44" s="281">
        <f t="shared" si="6"/>
        <v>0</v>
      </c>
      <c r="J44" s="2026"/>
      <c r="K44" s="281">
        <f t="shared" si="7"/>
        <v>0</v>
      </c>
      <c r="L44" s="281">
        <f t="shared" si="8"/>
        <v>0</v>
      </c>
      <c r="M44" s="2200"/>
      <c r="N44" s="271" t="b">
        <f t="shared" si="9"/>
        <v>0</v>
      </c>
    </row>
    <row r="45" spans="1:14" ht="14.25" customHeight="1">
      <c r="A45" s="2026"/>
      <c r="B45" s="278"/>
      <c r="C45" s="278"/>
      <c r="D45" s="275"/>
      <c r="E45" s="279"/>
      <c r="F45" s="2029"/>
      <c r="G45" s="280" t="s">
        <v>857</v>
      </c>
      <c r="H45" s="2032"/>
      <c r="I45" s="281">
        <f t="shared" si="6"/>
        <v>0</v>
      </c>
      <c r="J45" s="2026"/>
      <c r="K45" s="281">
        <f t="shared" si="7"/>
        <v>0</v>
      </c>
      <c r="L45" s="281">
        <f t="shared" si="8"/>
        <v>0</v>
      </c>
      <c r="M45" s="2200"/>
      <c r="N45" s="271" t="b">
        <f t="shared" si="9"/>
        <v>0</v>
      </c>
    </row>
    <row r="46" spans="1:14" ht="14.25" customHeight="1">
      <c r="A46" s="2026"/>
      <c r="B46" s="278"/>
      <c r="C46" s="278"/>
      <c r="D46" s="275"/>
      <c r="E46" s="279"/>
      <c r="F46" s="2029"/>
      <c r="G46" s="280" t="s">
        <v>857</v>
      </c>
      <c r="H46" s="2032"/>
      <c r="I46" s="281">
        <f t="shared" si="6"/>
        <v>0</v>
      </c>
      <c r="J46" s="2026"/>
      <c r="K46" s="281">
        <f t="shared" si="7"/>
        <v>0</v>
      </c>
      <c r="L46" s="281">
        <f t="shared" si="8"/>
        <v>0</v>
      </c>
      <c r="M46" s="2200"/>
      <c r="N46" s="271" t="b">
        <f t="shared" si="9"/>
        <v>0</v>
      </c>
    </row>
    <row r="47" spans="1:14" ht="14.25" customHeight="1">
      <c r="A47" s="2027"/>
      <c r="B47" s="282"/>
      <c r="C47" s="282"/>
      <c r="D47" s="275"/>
      <c r="E47" s="283"/>
      <c r="F47" s="2030"/>
      <c r="G47" s="284" t="s">
        <v>857</v>
      </c>
      <c r="H47" s="2033"/>
      <c r="I47" s="285">
        <f t="shared" si="6"/>
        <v>0</v>
      </c>
      <c r="J47" s="2027"/>
      <c r="K47" s="285">
        <f t="shared" si="7"/>
        <v>0</v>
      </c>
      <c r="L47" s="285">
        <f t="shared" si="8"/>
        <v>0</v>
      </c>
      <c r="M47" s="2200"/>
      <c r="N47" s="271" t="b">
        <f t="shared" si="9"/>
        <v>0</v>
      </c>
    </row>
    <row r="48" spans="1:14" ht="14.25" customHeight="1">
      <c r="A48" s="1793" t="s">
        <v>5574</v>
      </c>
      <c r="B48" s="1812"/>
      <c r="C48" s="1812"/>
      <c r="D48" s="1812"/>
      <c r="E48" s="1812"/>
      <c r="F48" s="1812"/>
      <c r="G48" s="1812"/>
      <c r="H48" s="1813"/>
      <c r="I48" s="1814"/>
      <c r="J48" s="1815"/>
      <c r="K48" s="1816">
        <f>SUM(K31:K47)</f>
        <v>0</v>
      </c>
      <c r="L48" s="1816">
        <f>SUM(L31:L47)</f>
        <v>0</v>
      </c>
      <c r="M48" s="2200"/>
      <c r="N48" s="271" t="b">
        <f t="shared" ref="N48:N52" si="10">K48&lt;&gt;0</f>
        <v>0</v>
      </c>
    </row>
    <row r="49" spans="1:14" ht="14.25" customHeight="1">
      <c r="A49" s="2025" t="s">
        <v>5578</v>
      </c>
      <c r="B49" s="286"/>
      <c r="C49" s="535"/>
      <c r="D49" s="535"/>
      <c r="E49" s="536"/>
      <c r="F49" s="2028"/>
      <c r="G49" s="276" t="s">
        <v>857</v>
      </c>
      <c r="H49" s="2031"/>
      <c r="I49" s="277">
        <f>ROUNDDOWN(F49*H49,2)</f>
        <v>0</v>
      </c>
      <c r="J49" s="2025"/>
      <c r="K49" s="277">
        <f>I49*J49</f>
        <v>0</v>
      </c>
      <c r="L49" s="277"/>
      <c r="M49" s="2200"/>
      <c r="N49" s="271" t="b">
        <f>I49&lt;&gt;0</f>
        <v>0</v>
      </c>
    </row>
    <row r="50" spans="1:14" ht="14.25" customHeight="1">
      <c r="A50" s="2026" t="s">
        <v>5579</v>
      </c>
      <c r="B50" s="289"/>
      <c r="C50" s="537"/>
      <c r="D50" s="537"/>
      <c r="E50" s="538"/>
      <c r="F50" s="2029"/>
      <c r="G50" s="280" t="s">
        <v>857</v>
      </c>
      <c r="H50" s="2032"/>
      <c r="I50" s="281">
        <f>ROUNDDOWN(F50*H50,2)</f>
        <v>0</v>
      </c>
      <c r="J50" s="2026"/>
      <c r="K50" s="281">
        <f>I50*J50</f>
        <v>0</v>
      </c>
      <c r="L50" s="281"/>
      <c r="M50" s="2200"/>
      <c r="N50" s="271" t="b">
        <f t="shared" ref="N50:N51" si="11">I50&lt;&gt;0</f>
        <v>0</v>
      </c>
    </row>
    <row r="51" spans="1:14" ht="14.25" customHeight="1">
      <c r="A51" s="2027" t="s">
        <v>5580</v>
      </c>
      <c r="B51" s="539"/>
      <c r="C51" s="540"/>
      <c r="D51" s="540"/>
      <c r="E51" s="541"/>
      <c r="F51" s="2030"/>
      <c r="G51" s="284" t="s">
        <v>857</v>
      </c>
      <c r="H51" s="2033"/>
      <c r="I51" s="285">
        <f>ROUNDDOWN(F51*H51,2)</f>
        <v>0</v>
      </c>
      <c r="J51" s="2027"/>
      <c r="K51" s="285">
        <f>I51*J51</f>
        <v>0</v>
      </c>
      <c r="L51" s="285"/>
      <c r="M51" s="2200"/>
      <c r="N51" s="271" t="b">
        <f t="shared" si="11"/>
        <v>0</v>
      </c>
    </row>
    <row r="52" spans="1:14" ht="14.25" customHeight="1">
      <c r="A52" s="1817" t="s">
        <v>5585</v>
      </c>
      <c r="B52" s="1812"/>
      <c r="C52" s="1812"/>
      <c r="D52" s="1812"/>
      <c r="E52" s="1812"/>
      <c r="F52" s="1812"/>
      <c r="G52" s="1812"/>
      <c r="H52" s="1813"/>
      <c r="I52" s="1818">
        <f>K52</f>
        <v>0</v>
      </c>
      <c r="J52" s="1815"/>
      <c r="K52" s="1816">
        <f>SUM(K48:K51)</f>
        <v>0</v>
      </c>
      <c r="L52" s="1816"/>
      <c r="M52" s="2200"/>
      <c r="N52" s="271" t="b">
        <f t="shared" si="10"/>
        <v>0</v>
      </c>
    </row>
    <row r="53" spans="1:14" ht="14.25" customHeight="1" thickBot="1">
      <c r="I53" s="272"/>
      <c r="J53" s="291"/>
      <c r="K53" s="292"/>
      <c r="L53" s="292"/>
      <c r="M53" s="2200"/>
      <c r="N53" s="271" t="b">
        <f>N54</f>
        <v>1</v>
      </c>
    </row>
    <row r="54" spans="1:14" ht="14.25" customHeight="1">
      <c r="A54" s="3203" t="str">
        <f>IF(C54&lt;&gt;C55,"ERR!!","OK!")</f>
        <v>OK!</v>
      </c>
      <c r="B54" s="293" t="s">
        <v>85</v>
      </c>
      <c r="C54" s="294">
        <f>SUM(建具!I134:I149)</f>
        <v>0</v>
      </c>
      <c r="I54" s="1819" t="s">
        <v>86</v>
      </c>
      <c r="J54" s="1820"/>
      <c r="K54" s="295">
        <f>SUM(K55:L57)</f>
        <v>0</v>
      </c>
      <c r="L54" s="296" t="s">
        <v>87</v>
      </c>
      <c r="M54" s="2200"/>
      <c r="N54" s="271" t="b">
        <v>1</v>
      </c>
    </row>
    <row r="55" spans="1:14" ht="14.25" customHeight="1">
      <c r="A55" s="3204"/>
      <c r="B55" s="297" t="s">
        <v>1101</v>
      </c>
      <c r="C55" s="298">
        <f>SUMIF(建具!C6:C149,"窓",建具!I6:I149)</f>
        <v>0</v>
      </c>
      <c r="I55" s="1821"/>
      <c r="J55" s="1822" t="s">
        <v>88</v>
      </c>
      <c r="K55" s="299">
        <f>SUM(K23,K48)</f>
        <v>0</v>
      </c>
      <c r="L55" s="300" t="s">
        <v>89</v>
      </c>
      <c r="M55" s="2200"/>
      <c r="N55" s="271" t="b">
        <v>1</v>
      </c>
    </row>
    <row r="56" spans="1:14" ht="14.25" customHeight="1">
      <c r="A56" s="3203" t="str">
        <f>IF(C56&lt;&gt;C57,"ERR!!","OK!")</f>
        <v>OK!</v>
      </c>
      <c r="B56" s="542" t="s">
        <v>90</v>
      </c>
      <c r="C56" s="294">
        <f>IF(COUNTIF(B5:B52,"*住宅用建具*")&gt;0,0,K54)</f>
        <v>0</v>
      </c>
      <c r="I56" s="1821"/>
      <c r="J56" s="1822" t="s">
        <v>91</v>
      </c>
      <c r="K56" s="299">
        <f>+SUMIF(C7:C22,"*",K7:K22)+SUMIF(C32:C47,"*",K32:K47)</f>
        <v>0</v>
      </c>
      <c r="L56" s="300" t="s">
        <v>89</v>
      </c>
      <c r="M56" s="2200"/>
      <c r="N56" s="271" t="b">
        <v>1</v>
      </c>
    </row>
    <row r="57" spans="1:14" ht="14.25" customHeight="1" thickBot="1">
      <c r="A57" s="3204"/>
      <c r="B57" s="297" t="s">
        <v>92</v>
      </c>
      <c r="C57" s="298">
        <f>IF(COUNTIF(B5:B52,"*住宅用建具*")&gt;0,0,建具!I151)</f>
        <v>0</v>
      </c>
      <c r="I57" s="1823"/>
      <c r="J57" s="1824" t="s">
        <v>83</v>
      </c>
      <c r="K57" s="301">
        <f>SUM(L23,L48)</f>
        <v>0</v>
      </c>
      <c r="L57" s="302" t="s">
        <v>89</v>
      </c>
      <c r="M57" s="2200"/>
      <c r="N57" s="271" t="b">
        <v>1</v>
      </c>
    </row>
    <row r="58" spans="1:14" ht="14.25" customHeight="1">
      <c r="I58" s="272"/>
      <c r="J58" s="272"/>
      <c r="K58" s="290"/>
      <c r="L58" s="290"/>
      <c r="M58" s="2200"/>
      <c r="N58" s="271" t="b">
        <v>1</v>
      </c>
    </row>
    <row r="59" spans="1:14" ht="14.25" customHeight="1">
      <c r="A59" s="273" t="s">
        <v>93</v>
      </c>
      <c r="M59" s="2200"/>
      <c r="N59" s="271" t="b">
        <f>SUM(J61:J65)&lt;&gt;0</f>
        <v>0</v>
      </c>
    </row>
    <row r="60" spans="1:14" ht="14.25" customHeight="1">
      <c r="A60" s="3209" t="s">
        <v>76</v>
      </c>
      <c r="B60" s="3210"/>
      <c r="C60" s="3209" t="s">
        <v>42</v>
      </c>
      <c r="D60" s="3220"/>
      <c r="E60" s="3210"/>
      <c r="F60" s="1825" t="s">
        <v>80</v>
      </c>
      <c r="G60" s="1826"/>
      <c r="H60" s="1827"/>
      <c r="I60" s="1811" t="s">
        <v>94</v>
      </c>
      <c r="J60" s="1811" t="s">
        <v>95</v>
      </c>
      <c r="K60" s="3230" t="s">
        <v>1001</v>
      </c>
      <c r="L60" s="3231"/>
      <c r="M60" s="2200"/>
      <c r="N60" s="271" t="b">
        <f>SUM(J61:J65)&lt;&gt;0</f>
        <v>0</v>
      </c>
    </row>
    <row r="61" spans="1:14" ht="14.25" customHeight="1">
      <c r="A61" s="3205"/>
      <c r="B61" s="3206"/>
      <c r="C61" s="3214"/>
      <c r="D61" s="3215"/>
      <c r="E61" s="3216"/>
      <c r="F61" s="2028"/>
      <c r="G61" s="276" t="s">
        <v>857</v>
      </c>
      <c r="H61" s="2031"/>
      <c r="I61" s="277">
        <f>ROUNDDOWN(F61*H61,2)</f>
        <v>0</v>
      </c>
      <c r="J61" s="2025"/>
      <c r="K61" s="3232">
        <f>IF(ISNA(MATCH(C61,建具!$B$173:$B$178,0)),I61,1)*J61</f>
        <v>0</v>
      </c>
      <c r="L61" s="3232"/>
      <c r="M61" s="2200"/>
      <c r="N61" s="271" t="b">
        <f>J61&lt;&gt;0</f>
        <v>0</v>
      </c>
    </row>
    <row r="62" spans="1:14" ht="14.25" customHeight="1">
      <c r="A62" s="3207"/>
      <c r="B62" s="3208"/>
      <c r="C62" s="3217"/>
      <c r="D62" s="3218"/>
      <c r="E62" s="3219"/>
      <c r="F62" s="2029"/>
      <c r="G62" s="280" t="s">
        <v>857</v>
      </c>
      <c r="H62" s="2032"/>
      <c r="I62" s="281">
        <f>ROUNDDOWN(F62*H62,2)</f>
        <v>0</v>
      </c>
      <c r="J62" s="2026"/>
      <c r="K62" s="3223">
        <f>IF(ISNA(MATCH(C62,建具!$B$173:$B$178,0)),I62,1)*J62</f>
        <v>0</v>
      </c>
      <c r="L62" s="3223"/>
      <c r="M62" s="2200"/>
      <c r="N62" s="271" t="b">
        <f>J62&lt;&gt;0</f>
        <v>0</v>
      </c>
    </row>
    <row r="63" spans="1:14" ht="14.25" customHeight="1">
      <c r="A63" s="3207"/>
      <c r="B63" s="3208"/>
      <c r="C63" s="3217"/>
      <c r="D63" s="3218"/>
      <c r="E63" s="3219"/>
      <c r="F63" s="2029"/>
      <c r="G63" s="280" t="s">
        <v>857</v>
      </c>
      <c r="H63" s="2032"/>
      <c r="I63" s="281">
        <f>ROUNDDOWN(F63*H63,2)</f>
        <v>0</v>
      </c>
      <c r="J63" s="2026"/>
      <c r="K63" s="3223">
        <f>IF(ISNA(MATCH(C63,建具!$B$173:$B$178,0)),I63,1)*J63</f>
        <v>0</v>
      </c>
      <c r="L63" s="3223"/>
      <c r="M63" s="2200"/>
      <c r="N63" s="271" t="b">
        <f>J63&lt;&gt;0</f>
        <v>0</v>
      </c>
    </row>
    <row r="64" spans="1:14" ht="14.25" customHeight="1">
      <c r="A64" s="3207"/>
      <c r="B64" s="3208"/>
      <c r="C64" s="3217"/>
      <c r="D64" s="3218"/>
      <c r="E64" s="3219"/>
      <c r="F64" s="2029"/>
      <c r="G64" s="280" t="s">
        <v>857</v>
      </c>
      <c r="H64" s="2032"/>
      <c r="I64" s="281">
        <f>ROUNDDOWN(F64*H64,2)</f>
        <v>0</v>
      </c>
      <c r="J64" s="2026"/>
      <c r="K64" s="3223">
        <f>IF(ISNA(MATCH(C64,建具!$B$173:$B$178,0)),I64,1)*J64</f>
        <v>0</v>
      </c>
      <c r="L64" s="3223"/>
      <c r="M64" s="2200"/>
      <c r="N64" s="271" t="b">
        <f>J64&lt;&gt;0</f>
        <v>0</v>
      </c>
    </row>
    <row r="65" spans="1:14" ht="14.25" customHeight="1" thickBot="1">
      <c r="A65" s="3221"/>
      <c r="B65" s="3222"/>
      <c r="C65" s="3227"/>
      <c r="D65" s="3228"/>
      <c r="E65" s="3229"/>
      <c r="F65" s="2030"/>
      <c r="G65" s="284" t="s">
        <v>857</v>
      </c>
      <c r="H65" s="2033"/>
      <c r="I65" s="285">
        <f>ROUNDDOWN(F65*H65,2)</f>
        <v>0</v>
      </c>
      <c r="J65" s="2027"/>
      <c r="K65" s="3224">
        <f>IF(ISNA(MATCH(C65,建具!$B$173:$B$178,0)),I65,1)*J65</f>
        <v>0</v>
      </c>
      <c r="L65" s="3224"/>
      <c r="M65" s="2200"/>
      <c r="N65" s="271" t="b">
        <f>J65&lt;&gt;0</f>
        <v>0</v>
      </c>
    </row>
    <row r="66" spans="1:14" ht="14.25" customHeight="1" thickBot="1">
      <c r="A66" s="1817"/>
      <c r="B66" s="1812"/>
      <c r="C66" s="1812"/>
      <c r="D66" s="1812"/>
      <c r="E66" s="1812"/>
      <c r="F66" s="1812"/>
      <c r="G66" s="1812"/>
      <c r="H66" s="1812"/>
      <c r="I66" s="1828" t="s">
        <v>96</v>
      </c>
      <c r="J66" s="1829"/>
      <c r="K66" s="3225">
        <f>SUM(K60:K65)</f>
        <v>0</v>
      </c>
      <c r="L66" s="3226"/>
      <c r="M66" s="2200"/>
      <c r="N66" s="271" t="b">
        <f>SUM(J61:J65)&lt;&gt;0</f>
        <v>0</v>
      </c>
    </row>
    <row r="67" spans="1:14" ht="14.25" customHeight="1">
      <c r="A67" s="228" t="s">
        <v>1000</v>
      </c>
      <c r="M67" s="2200"/>
      <c r="N67" s="271" t="b">
        <f>+N66</f>
        <v>0</v>
      </c>
    </row>
    <row r="68" spans="1:14" ht="14.25" customHeight="1">
      <c r="A68" s="228" t="s">
        <v>1044</v>
      </c>
      <c r="M68" s="2200"/>
      <c r="N68" s="271" t="b">
        <f>+N66</f>
        <v>0</v>
      </c>
    </row>
    <row r="69" spans="1:14" ht="14.25" customHeight="1">
      <c r="A69" s="228"/>
      <c r="M69" s="2200"/>
      <c r="N69" s="271" t="b">
        <v>0</v>
      </c>
    </row>
    <row r="70" spans="1:14" ht="14.25" customHeight="1">
      <c r="A70" s="228"/>
      <c r="M70" s="2200"/>
      <c r="N70" s="271" t="b">
        <v>0</v>
      </c>
    </row>
    <row r="71" spans="1:14" ht="14.25" customHeight="1">
      <c r="M71" s="2200"/>
      <c r="N71" s="271" t="b">
        <f>N$66</f>
        <v>0</v>
      </c>
    </row>
    <row r="72" spans="1:14" ht="14.25" customHeight="1">
      <c r="A72" s="3203" t="str">
        <f>IF(C72&lt;&gt;C73,"ERR!!","OK!")</f>
        <v>OK!</v>
      </c>
      <c r="B72" s="542" t="s">
        <v>97</v>
      </c>
      <c r="C72" s="294">
        <f>K66</f>
        <v>0</v>
      </c>
      <c r="M72" s="2200"/>
      <c r="N72" s="271" t="b">
        <f>N$66</f>
        <v>0</v>
      </c>
    </row>
    <row r="73" spans="1:14" ht="14.25" customHeight="1">
      <c r="A73" s="3204"/>
      <c r="B73" s="297" t="s">
        <v>98</v>
      </c>
      <c r="C73" s="298">
        <f>+SUM(建具!I170:I186)</f>
        <v>0</v>
      </c>
      <c r="M73" s="2200"/>
      <c r="N73" s="271" t="b">
        <f>N$66</f>
        <v>0</v>
      </c>
    </row>
  </sheetData>
  <autoFilter ref="N2:N73" xr:uid="{00000000-0009-0000-0000-00000A000000}"/>
  <customSheetViews>
    <customSheetView guid="{6CFAA980-29D1-42A9-8342-BF14629EBE3B}" showGridLines="0" fitToPage="1" showAutoFilter="1">
      <pane ySplit="3" topLeftCell="A4" activePane="bottomLeft" state="frozen"/>
      <selection pane="bottomLeft" activeCell="C3" sqref="C3"/>
      <pageMargins left="0.63" right="0.2" top="0.6" bottom="0.39" header="0.51200000000000001" footer="0.19"/>
      <pageSetup paperSize="9" scale="80" orientation="portrait" r:id="rId1"/>
      <headerFooter alignWithMargins="0">
        <oddFooter>&amp;R&amp;"ＭＳ ゴシック,標準"&amp;D　&amp;T</oddFooter>
      </headerFooter>
      <autoFilter ref="M2:M73" xr:uid="{A7FD7C23-4312-4E90-B4A6-ABE2C307D2DA}"/>
    </customSheetView>
  </customSheetViews>
  <mergeCells count="25">
    <mergeCell ref="C64:E64"/>
    <mergeCell ref="C60:E60"/>
    <mergeCell ref="A72:A73"/>
    <mergeCell ref="A65:B65"/>
    <mergeCell ref="K64:L64"/>
    <mergeCell ref="K65:L65"/>
    <mergeCell ref="K66:L66"/>
    <mergeCell ref="C65:E65"/>
    <mergeCell ref="A64:B64"/>
    <mergeCell ref="K60:L60"/>
    <mergeCell ref="K61:L61"/>
    <mergeCell ref="K62:L62"/>
    <mergeCell ref="K63:L63"/>
    <mergeCell ref="C63:E63"/>
    <mergeCell ref="C2:H2"/>
    <mergeCell ref="F5:H5"/>
    <mergeCell ref="F30:H30"/>
    <mergeCell ref="C61:E61"/>
    <mergeCell ref="C62:E62"/>
    <mergeCell ref="A54:A55"/>
    <mergeCell ref="A56:A57"/>
    <mergeCell ref="A61:B61"/>
    <mergeCell ref="A62:B62"/>
    <mergeCell ref="A63:B63"/>
    <mergeCell ref="A60:B60"/>
  </mergeCells>
  <phoneticPr fontId="8"/>
  <conditionalFormatting sqref="A54">
    <cfRule type="expression" dxfId="73" priority="4" stopIfTrue="1">
      <formula>$C$54&lt;&gt;$C$55</formula>
    </cfRule>
  </conditionalFormatting>
  <conditionalFormatting sqref="A56">
    <cfRule type="expression" dxfId="72" priority="3" stopIfTrue="1">
      <formula>$C$56&lt;&gt;$C$57</formula>
    </cfRule>
  </conditionalFormatting>
  <conditionalFormatting sqref="A72:A73">
    <cfRule type="expression" dxfId="71" priority="5" stopIfTrue="1">
      <formula>$C$72&lt;&gt;$C$73</formula>
    </cfRule>
  </conditionalFormatting>
  <conditionalFormatting sqref="D7:D22">
    <cfRule type="expression" dxfId="70" priority="2">
      <formula>OR(AND(COUNTIF($B7,"*引き*"),COUNTIF($D7,"*全*")),AND(COUNTIF($B7,"*固定*"),COUNTIF($D7,"*網*")),AND(COUNTIF($B7,"*その他*"),COUNTIF($D7,"*片*")))</formula>
    </cfRule>
  </conditionalFormatting>
  <conditionalFormatting sqref="D32:D47">
    <cfRule type="expression" dxfId="69" priority="1">
      <formula>OR(AND(COUNTIF($B32,"*引き*"),COUNTIF($D32,"*全*")),AND(COUNTIF($B32,"*固定*"),COUNTIF($D32,"*網*")),AND(COUNTIF($B32,"*その他*"),COUNTIF($D32,"*片*")))</formula>
    </cfRule>
  </conditionalFormatting>
  <dataValidations disablePrompts="1" count="5">
    <dataValidation type="list" allowBlank="1" showInputMessage="1" showErrorMessage="1" sqref="C61:C65" xr:uid="{00000000-0002-0000-0A00-000000000000}">
      <formula1>特殊設備名称</formula1>
    </dataValidation>
    <dataValidation type="list" allowBlank="1" showInputMessage="1" showErrorMessage="1" error="建具シートで追加（又は修正）した後、再度選択してくだい。" sqref="B32:B47 B7:B22" xr:uid="{00000000-0002-0000-0A00-000001000000}">
      <formula1>建具名称</formula1>
    </dataValidation>
    <dataValidation type="list" allowBlank="1" showInputMessage="1" showErrorMessage="1" error="建具シートで追加（又は修正）した後、再度選択してくだい。" sqref="C7:C22 C32:C47" xr:uid="{00000000-0002-0000-0A00-000002000000}">
      <formula1>硝子名称</formula1>
    </dataValidation>
    <dataValidation type="list" allowBlank="1" showInputMessage="1" showErrorMessage="1" error="建具シートで追加（又は修正）した後、再度選択してくだい。" sqref="D7:D22 D32:D47" xr:uid="{00000000-0002-0000-0A00-000003000000}">
      <formula1>網戸名称</formula1>
    </dataValidation>
    <dataValidation imeMode="off" allowBlank="1" showInputMessage="1" showErrorMessage="1" sqref="F7:F22 H7:H22 J7:J22 F24:F26 H24:H26 J24:J26 F49:F51 H49:H51 J49:J51 F61:F65 H61:H65 J61:J65 J32:J47 H32:H47 F32:F47" xr:uid="{00000000-0002-0000-0A00-000004000000}"/>
  </dataValidations>
  <pageMargins left="0.63" right="0.2" top="0.6" bottom="0.39" header="0.51200000000000001" footer="0.19"/>
  <pageSetup paperSize="9" scale="80" orientation="portrait" r:id="rId2"/>
  <headerFooter alignWithMargins="0">
    <oddFooter>&amp;R&amp;"ＭＳ ゴシック,標準"&amp;D　&amp;T</oddFooter>
  </headerFooter>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建具シートで追加（又は修正）した後、再度選択してくだい。" xr:uid="{00000000-0002-0000-0A00-000005000000}">
          <x14:formula1>
            <xm:f>建具!$B$126:$B$132</xm:f>
          </x14:formula1>
          <xm:sqref>E7:E22</xm:sqref>
        </x14:dataValidation>
        <x14:dataValidation type="list" allowBlank="1" showInputMessage="1" showErrorMessage="1" error="建具シートで追加（又は修正）した後、再度選択してくだい。" xr:uid="{00000000-0002-0000-0A00-000006000000}">
          <x14:formula1>
            <xm:f>建具!$B$124:$B$132</xm:f>
          </x14:formula1>
          <xm:sqref>E32:E47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3"/>
    <pageSetUpPr fitToPage="1"/>
  </sheetPr>
  <dimension ref="B1:U547"/>
  <sheetViews>
    <sheetView showGridLines="0" zoomScaleNormal="100" zoomScaleSheetLayoutView="85" workbookViewId="0">
      <pane xSplit="1" ySplit="6" topLeftCell="B7" activePane="bottomRight" state="frozen"/>
      <selection pane="topRight" activeCell="B1" sqref="B1"/>
      <selection pane="bottomLeft" activeCell="A7" sqref="A7"/>
      <selection pane="bottomRight" activeCell="V1" sqref="V1:V1048576"/>
    </sheetView>
  </sheetViews>
  <sheetFormatPr defaultColWidth="10.44140625" defaultRowHeight="13.5" customHeight="1"/>
  <cols>
    <col min="1" max="1" width="1.77734375" customWidth="1"/>
    <col min="2" max="2" width="5.44140625" style="409" customWidth="1"/>
    <col min="3" max="4" width="5.44140625" style="303" customWidth="1"/>
    <col min="5" max="5" width="1.33203125" customWidth="1"/>
    <col min="6" max="18" width="11.44140625" customWidth="1"/>
    <col min="19" max="19" width="1.6640625" customWidth="1"/>
    <col min="20" max="20" width="5.6640625" bestFit="1" customWidth="1"/>
    <col min="21" max="21" width="7.77734375" style="4" bestFit="1" customWidth="1"/>
  </cols>
  <sheetData>
    <row r="1" spans="2:21" ht="13.5" customHeight="1" thickBot="1">
      <c r="B1" s="1830"/>
      <c r="C1" s="1831"/>
      <c r="D1" s="1831"/>
      <c r="E1" s="1524"/>
      <c r="F1" s="1524"/>
      <c r="G1" s="1524"/>
      <c r="H1" s="1524"/>
      <c r="I1" s="1524"/>
      <c r="J1" s="1524"/>
      <c r="K1" s="1524"/>
      <c r="L1" s="1524"/>
      <c r="M1" s="1524"/>
      <c r="N1" s="1524"/>
      <c r="O1" s="1524"/>
      <c r="P1" s="1524"/>
      <c r="Q1" s="1524"/>
      <c r="R1" s="1524"/>
      <c r="S1" s="1524"/>
      <c r="T1" s="2198"/>
    </row>
    <row r="2" spans="2:21" ht="13.5" customHeight="1">
      <c r="B2" s="1524"/>
      <c r="C2" s="1831"/>
      <c r="D2" s="1831"/>
      <c r="E2" s="1524"/>
      <c r="F2" s="1006" t="s">
        <v>99</v>
      </c>
      <c r="G2" s="1007"/>
      <c r="H2" s="1008"/>
      <c r="I2" s="1006" t="s">
        <v>100</v>
      </c>
      <c r="J2" s="1007"/>
      <c r="K2" s="1007"/>
      <c r="L2" s="1007"/>
      <c r="M2" s="1008"/>
      <c r="N2" s="1006" t="s">
        <v>101</v>
      </c>
      <c r="O2" s="1007"/>
      <c r="P2" s="1008"/>
      <c r="Q2" s="1009" t="s">
        <v>102</v>
      </c>
      <c r="R2" s="1009" t="s">
        <v>103</v>
      </c>
      <c r="S2" s="1524"/>
      <c r="T2" s="2198"/>
      <c r="U2" s="956" t="s">
        <v>5540</v>
      </c>
    </row>
    <row r="3" spans="2:21" ht="13.5" customHeight="1">
      <c r="B3" s="3233" t="s">
        <v>104</v>
      </c>
      <c r="C3" s="3234"/>
      <c r="D3" s="3234"/>
      <c r="E3" s="3234"/>
      <c r="F3" s="999" t="s">
        <v>5500</v>
      </c>
      <c r="G3" s="998" t="s">
        <v>5502</v>
      </c>
      <c r="H3" s="1000" t="s">
        <v>5503</v>
      </c>
      <c r="I3" s="999" t="s">
        <v>5504</v>
      </c>
      <c r="J3" s="998" t="s">
        <v>5505</v>
      </c>
      <c r="K3" s="998" t="s">
        <v>5531</v>
      </c>
      <c r="L3" s="998" t="s">
        <v>5532</v>
      </c>
      <c r="M3" s="1000" t="s">
        <v>5533</v>
      </c>
      <c r="N3" s="999" t="s">
        <v>5534</v>
      </c>
      <c r="O3" s="998" t="s">
        <v>5506</v>
      </c>
      <c r="P3" s="1000" t="s">
        <v>5507</v>
      </c>
      <c r="Q3" s="1004" t="s">
        <v>5508</v>
      </c>
      <c r="R3" s="1004" t="s">
        <v>5509</v>
      </c>
      <c r="S3" s="1524"/>
      <c r="T3" s="2198"/>
      <c r="U3" s="956" t="s">
        <v>5540</v>
      </c>
    </row>
    <row r="4" spans="2:21" ht="13.5" customHeight="1">
      <c r="B4" s="3233" t="s">
        <v>105</v>
      </c>
      <c r="C4" s="3234"/>
      <c r="D4" s="3234"/>
      <c r="E4" s="3234"/>
      <c r="F4" s="999" t="s">
        <v>5510</v>
      </c>
      <c r="G4" s="998" t="s">
        <v>5511</v>
      </c>
      <c r="H4" s="1000" t="s">
        <v>5512</v>
      </c>
      <c r="I4" s="999" t="s">
        <v>5513</v>
      </c>
      <c r="J4" s="998" t="s">
        <v>5514</v>
      </c>
      <c r="K4" s="998" t="s">
        <v>5515</v>
      </c>
      <c r="L4" s="998" t="s">
        <v>5516</v>
      </c>
      <c r="M4" s="1000" t="s">
        <v>5517</v>
      </c>
      <c r="N4" s="999" t="s">
        <v>5535</v>
      </c>
      <c r="O4" s="998" t="s">
        <v>5518</v>
      </c>
      <c r="P4" s="1000" t="s">
        <v>5519</v>
      </c>
      <c r="Q4" s="1004" t="s">
        <v>5520</v>
      </c>
      <c r="R4" s="1004" t="s">
        <v>5521</v>
      </c>
      <c r="S4" s="1524"/>
      <c r="T4" s="2198"/>
      <c r="U4" s="956" t="s">
        <v>5540</v>
      </c>
    </row>
    <row r="5" spans="2:21" ht="13.5" customHeight="1" thickBot="1">
      <c r="B5" s="1832"/>
      <c r="C5" s="1831"/>
      <c r="D5" s="1831"/>
      <c r="E5" s="1524"/>
      <c r="F5" s="1001" t="s">
        <v>5522</v>
      </c>
      <c r="G5" s="1002" t="s">
        <v>5523</v>
      </c>
      <c r="H5" s="1003" t="s">
        <v>5524</v>
      </c>
      <c r="I5" s="1001" t="s">
        <v>5525</v>
      </c>
      <c r="J5" s="1002" t="s">
        <v>5501</v>
      </c>
      <c r="K5" s="1002" t="s">
        <v>5539</v>
      </c>
      <c r="L5" s="1002" t="s">
        <v>5526</v>
      </c>
      <c r="M5" s="1003" t="s">
        <v>5527</v>
      </c>
      <c r="N5" s="1001" t="s">
        <v>5528</v>
      </c>
      <c r="O5" s="1002" t="s">
        <v>5529</v>
      </c>
      <c r="P5" s="1003" t="s">
        <v>200</v>
      </c>
      <c r="Q5" s="1005" t="s">
        <v>222</v>
      </c>
      <c r="R5" s="1005" t="s">
        <v>5530</v>
      </c>
      <c r="S5" s="1524"/>
      <c r="T5" s="2201" t="s">
        <v>5814</v>
      </c>
      <c r="U5" s="956" t="s">
        <v>5540</v>
      </c>
    </row>
    <row r="6" spans="2:21" ht="6" customHeight="1">
      <c r="B6" s="1832"/>
      <c r="C6" s="1831"/>
      <c r="D6" s="1831"/>
      <c r="E6" s="1524"/>
      <c r="F6" s="1524"/>
      <c r="G6" s="1524"/>
      <c r="H6" s="1524"/>
      <c r="I6" s="1524"/>
      <c r="J6" s="1524"/>
      <c r="K6" s="1524"/>
      <c r="L6" s="1524"/>
      <c r="M6" s="1524"/>
      <c r="N6" s="1524"/>
      <c r="O6" s="1524"/>
      <c r="P6" s="1524"/>
      <c r="Q6" s="1524"/>
      <c r="R6" s="1524"/>
      <c r="S6" s="1524"/>
      <c r="T6" s="2200"/>
      <c r="U6" s="956" t="s">
        <v>5540</v>
      </c>
    </row>
    <row r="7" spans="2:21" ht="13.5" customHeight="1">
      <c r="B7" s="997" t="s">
        <v>5737</v>
      </c>
      <c r="T7" s="2200"/>
      <c r="U7" s="4" t="b">
        <v>0</v>
      </c>
    </row>
    <row r="8" spans="2:21" ht="13.5" customHeight="1">
      <c r="B8" s="2550" t="s">
        <v>106</v>
      </c>
      <c r="C8" s="2550"/>
      <c r="D8" s="2550"/>
      <c r="E8" s="2550"/>
      <c r="F8" s="2550"/>
      <c r="G8" s="2550"/>
      <c r="T8" s="2200"/>
      <c r="U8" s="4" t="b">
        <v>0</v>
      </c>
    </row>
    <row r="9" spans="2:21" ht="13.5" customHeight="1" thickBot="1">
      <c r="B9" s="191"/>
      <c r="T9" s="2200"/>
      <c r="U9" s="4" t="s">
        <v>5540</v>
      </c>
    </row>
    <row r="10" spans="2:21" ht="13.5" customHeight="1">
      <c r="B10" s="2429" t="s">
        <v>755</v>
      </c>
      <c r="C10" s="3353"/>
      <c r="D10" s="3354"/>
      <c r="E10" s="3348" t="s">
        <v>107</v>
      </c>
      <c r="F10" s="3349"/>
      <c r="G10" s="3340">
        <f>調書!F7</f>
        <v>0</v>
      </c>
      <c r="H10" s="3341"/>
      <c r="I10" s="3341"/>
      <c r="J10" s="3342"/>
      <c r="K10" s="3338" t="s">
        <v>108</v>
      </c>
      <c r="L10" s="3340">
        <f>調書!AD7</f>
        <v>0</v>
      </c>
      <c r="M10" s="3341"/>
      <c r="N10" s="3342"/>
      <c r="O10" s="3338" t="s">
        <v>460</v>
      </c>
      <c r="P10" s="3334">
        <f>調書!E10</f>
        <v>0</v>
      </c>
      <c r="Q10" s="3335"/>
      <c r="R10" s="3403" t="s">
        <v>109</v>
      </c>
      <c r="S10" s="3404"/>
      <c r="T10" s="2200"/>
      <c r="U10" s="4" t="b">
        <v>1</v>
      </c>
    </row>
    <row r="11" spans="2:21" ht="13.5" customHeight="1" thickBot="1">
      <c r="B11" s="3355"/>
      <c r="C11" s="3356"/>
      <c r="D11" s="3357"/>
      <c r="E11" s="3350"/>
      <c r="F11" s="3351"/>
      <c r="G11" s="3343"/>
      <c r="H11" s="3344"/>
      <c r="I11" s="3344"/>
      <c r="J11" s="3345"/>
      <c r="K11" s="3339"/>
      <c r="L11" s="3343"/>
      <c r="M11" s="3344"/>
      <c r="N11" s="3345"/>
      <c r="O11" s="3339"/>
      <c r="P11" s="3336"/>
      <c r="Q11" s="3337"/>
      <c r="R11" s="3405"/>
      <c r="S11" s="3406"/>
      <c r="T11" s="2200"/>
      <c r="U11" s="4" t="b">
        <v>1</v>
      </c>
    </row>
    <row r="12" spans="2:21" ht="13.5" customHeight="1">
      <c r="B12" s="3366" t="s">
        <v>110</v>
      </c>
      <c r="C12" s="1578"/>
      <c r="D12" s="1580"/>
      <c r="E12" s="3346" t="s">
        <v>111</v>
      </c>
      <c r="F12" s="3347"/>
      <c r="G12" s="1612" t="s">
        <v>112</v>
      </c>
      <c r="H12" s="1611"/>
      <c r="I12" s="1611"/>
      <c r="J12" s="1611"/>
      <c r="K12" s="1611"/>
      <c r="L12" s="1611"/>
      <c r="M12" s="1613"/>
      <c r="N12" s="1834" t="s">
        <v>458</v>
      </c>
      <c r="O12" s="1834" t="s">
        <v>113</v>
      </c>
      <c r="P12" s="1835" t="s">
        <v>114</v>
      </c>
      <c r="Q12" s="1836" t="s">
        <v>685</v>
      </c>
      <c r="R12" s="3409" t="s">
        <v>686</v>
      </c>
      <c r="S12" s="3055"/>
      <c r="T12" s="2200"/>
      <c r="U12" s="4" t="b">
        <f>COUNTA(H13,H15,H17)&lt;&gt;0</f>
        <v>0</v>
      </c>
    </row>
    <row r="13" spans="2:21" ht="13.5" customHeight="1">
      <c r="B13" s="3367"/>
      <c r="C13" s="2443" t="s">
        <v>687</v>
      </c>
      <c r="D13" s="2444"/>
      <c r="E13" s="2418" t="e">
        <f>VLOOKUP($L$10,動力,2,0)</f>
        <v>#N/A</v>
      </c>
      <c r="F13" s="2420"/>
      <c r="G13" s="3352" t="s">
        <v>688</v>
      </c>
      <c r="H13" s="304"/>
      <c r="I13" s="313" t="e">
        <f>VLOOKUP($L$10,動力,5,0)</f>
        <v>#N/A</v>
      </c>
      <c r="J13" s="314" t="e">
        <f>VLOOKUP($L$10,動力,7,0)</f>
        <v>#N/A</v>
      </c>
      <c r="K13" s="315" t="e">
        <f>VLOOKUP($L$10,動力,9,0)</f>
        <v>#N/A</v>
      </c>
      <c r="L13" s="126"/>
      <c r="M13" s="306"/>
      <c r="N13" s="3238" t="e">
        <f>ROUNDDOWN(H14*H16*H19*H21,2)</f>
        <v>#N/A</v>
      </c>
      <c r="O13" s="3235" t="e">
        <f>INT(E13*N13)</f>
        <v>#N/A</v>
      </c>
      <c r="P13" s="2513">
        <f>$P$10</f>
        <v>0</v>
      </c>
      <c r="Q13" s="3306" t="s">
        <v>1286</v>
      </c>
      <c r="R13" s="2418">
        <f>IF(ISERROR(INT(O13*P13)),0,INT(O13*P13))</f>
        <v>0</v>
      </c>
      <c r="S13" s="2420"/>
      <c r="T13" s="2200"/>
      <c r="U13" s="4" t="b">
        <f t="shared" ref="U13:U21" si="0">U$12</f>
        <v>0</v>
      </c>
    </row>
    <row r="14" spans="2:21" ht="13.5" customHeight="1">
      <c r="B14" s="3367"/>
      <c r="C14" s="2445"/>
      <c r="D14" s="2444"/>
      <c r="E14" s="2448"/>
      <c r="F14" s="2450"/>
      <c r="G14" s="3275"/>
      <c r="H14" s="307" t="e">
        <f>HLOOKUP(H13,I13:M14,2,0)</f>
        <v>#N/A</v>
      </c>
      <c r="I14" s="308" t="e">
        <f>VLOOKUP($L$10,動力,6,0)</f>
        <v>#N/A</v>
      </c>
      <c r="J14" s="316" t="e">
        <f>VLOOKUP($L$10,動力,8,0)</f>
        <v>#N/A</v>
      </c>
      <c r="K14" s="309" t="e">
        <f>VLOOKUP($L$10,動力,10,0)</f>
        <v>#N/A</v>
      </c>
      <c r="L14" s="311"/>
      <c r="M14" s="311"/>
      <c r="N14" s="3239"/>
      <c r="O14" s="3236"/>
      <c r="P14" s="2459"/>
      <c r="Q14" s="2461"/>
      <c r="R14" s="2448"/>
      <c r="S14" s="2450"/>
      <c r="T14" s="2200"/>
      <c r="U14" s="4" t="b">
        <f t="shared" si="0"/>
        <v>0</v>
      </c>
    </row>
    <row r="15" spans="2:21" ht="13.5" customHeight="1">
      <c r="B15" s="3367"/>
      <c r="C15" s="2445"/>
      <c r="D15" s="2444"/>
      <c r="E15" s="2448"/>
      <c r="F15" s="2450"/>
      <c r="G15" s="3274" t="s">
        <v>689</v>
      </c>
      <c r="H15" s="312"/>
      <c r="I15" s="313" t="e">
        <f>VLOOKUP($L$10,動力,20,0)</f>
        <v>#N/A</v>
      </c>
      <c r="J15" s="314" t="e">
        <f>VLOOKUP($L$10,動力,22,0)</f>
        <v>#N/A</v>
      </c>
      <c r="K15" s="315" t="e">
        <f>VLOOKUP($L$10,動力,24,0)</f>
        <v>#N/A</v>
      </c>
      <c r="L15" s="305"/>
      <c r="M15" s="126"/>
      <c r="N15" s="3239"/>
      <c r="O15" s="3236"/>
      <c r="P15" s="2459"/>
      <c r="Q15" s="2461"/>
      <c r="R15" s="2448"/>
      <c r="S15" s="2450"/>
      <c r="T15" s="2200"/>
      <c r="U15" s="4" t="b">
        <f t="shared" si="0"/>
        <v>0</v>
      </c>
    </row>
    <row r="16" spans="2:21" ht="13.5" customHeight="1">
      <c r="B16" s="3367"/>
      <c r="C16" s="2445"/>
      <c r="D16" s="2444"/>
      <c r="E16" s="2448"/>
      <c r="F16" s="2450"/>
      <c r="G16" s="3275"/>
      <c r="H16" s="307" t="e">
        <f>HLOOKUP(H15,I15:M16,2,0)</f>
        <v>#N/A</v>
      </c>
      <c r="I16" s="308" t="e">
        <f>VLOOKUP($L$10,動力,21,0)</f>
        <v>#N/A</v>
      </c>
      <c r="J16" s="316" t="e">
        <f>VLOOKUP($L$10,動力,23,0)</f>
        <v>#N/A</v>
      </c>
      <c r="K16" s="309" t="e">
        <f>VLOOKUP($L$10,動力,25,0)</f>
        <v>#N/A</v>
      </c>
      <c r="L16" s="317"/>
      <c r="M16" s="311"/>
      <c r="N16" s="3239"/>
      <c r="O16" s="3236"/>
      <c r="P16" s="2459"/>
      <c r="Q16" s="2461"/>
      <c r="R16" s="2448"/>
      <c r="S16" s="2450"/>
      <c r="T16" s="2200"/>
      <c r="U16" s="4" t="b">
        <f t="shared" si="0"/>
        <v>0</v>
      </c>
    </row>
    <row r="17" spans="2:21" ht="13.5" customHeight="1">
      <c r="B17" s="3367"/>
      <c r="C17" s="2445"/>
      <c r="D17" s="2444"/>
      <c r="E17" s="2448"/>
      <c r="F17" s="2450"/>
      <c r="G17" s="3274" t="s">
        <v>690</v>
      </c>
      <c r="H17" s="312"/>
      <c r="I17" s="313" t="e">
        <f>VLOOKUP($L$10,動力,26,0)</f>
        <v>#N/A</v>
      </c>
      <c r="J17" s="314" t="e">
        <f>VLOOKUP($L$10,動力,29,0)</f>
        <v>#N/A</v>
      </c>
      <c r="K17" s="318" t="e">
        <f>VLOOKUP($L$10,動力,32,0)</f>
        <v>#N/A</v>
      </c>
      <c r="L17" s="315" t="s">
        <v>736</v>
      </c>
      <c r="M17" s="126"/>
      <c r="N17" s="3239"/>
      <c r="O17" s="3236"/>
      <c r="P17" s="2459"/>
      <c r="Q17" s="2461"/>
      <c r="R17" s="2448"/>
      <c r="S17" s="2450"/>
      <c r="T17" s="2200"/>
      <c r="U17" s="4" t="b">
        <f t="shared" si="0"/>
        <v>0</v>
      </c>
    </row>
    <row r="18" spans="2:21" ht="13.5" customHeight="1">
      <c r="B18" s="3367"/>
      <c r="C18" s="2445"/>
      <c r="D18" s="2444"/>
      <c r="E18" s="2448"/>
      <c r="F18" s="2450"/>
      <c r="G18" s="3275"/>
      <c r="H18" s="671" t="e">
        <f>HLOOKUP(H17,I17:L19,2,0)</f>
        <v>#N/A</v>
      </c>
      <c r="I18" s="672" t="e">
        <f>VLOOKUP($L$10,動力,27,0)</f>
        <v>#N/A</v>
      </c>
      <c r="J18" s="673" t="e">
        <f>VLOOKUP($L$10,動力,30,0)</f>
        <v>#N/A</v>
      </c>
      <c r="K18" s="674" t="e">
        <f>VLOOKUP($L$10,動力,33,0)</f>
        <v>#N/A</v>
      </c>
      <c r="L18" s="675" t="str">
        <f>IF(H24&lt;&gt;0,Q24,"-")</f>
        <v>-</v>
      </c>
      <c r="M18" s="311"/>
      <c r="N18" s="3239"/>
      <c r="O18" s="3236"/>
      <c r="P18" s="2459"/>
      <c r="Q18" s="2461"/>
      <c r="R18" s="2448"/>
      <c r="S18" s="2450"/>
      <c r="T18" s="2200"/>
      <c r="U18" s="4" t="b">
        <f t="shared" si="0"/>
        <v>0</v>
      </c>
    </row>
    <row r="19" spans="2:21" ht="13.5" customHeight="1">
      <c r="B19" s="3367"/>
      <c r="C19" s="2445"/>
      <c r="D19" s="2444"/>
      <c r="E19" s="2448"/>
      <c r="F19" s="2450"/>
      <c r="G19" s="3275"/>
      <c r="H19" s="307" t="e">
        <f>HLOOKUP(H17,I17:L19,3,0)</f>
        <v>#N/A</v>
      </c>
      <c r="I19" s="308" t="e">
        <f>VLOOKUP($L$10,動力,28,0)</f>
        <v>#N/A</v>
      </c>
      <c r="J19" s="316" t="e">
        <f>VLOOKUP($L$10,動力,31,0)</f>
        <v>#N/A</v>
      </c>
      <c r="K19" s="324" t="e">
        <f>VLOOKUP($L$10,動力,34,0)</f>
        <v>#N/A</v>
      </c>
      <c r="L19" s="309" t="str">
        <f>IF(H24&lt;&gt;0,ROUNDDOWN(IF(L18&gt;J18,(I19-J19)/(I18-J18),(J19-K19)/(J18-K18))*(L18-J18)+1,2),"-")</f>
        <v>-</v>
      </c>
      <c r="M19" s="311"/>
      <c r="N19" s="3239"/>
      <c r="O19" s="3236"/>
      <c r="P19" s="2459"/>
      <c r="Q19" s="2461"/>
      <c r="R19" s="2448"/>
      <c r="S19" s="2450"/>
      <c r="T19" s="2200"/>
      <c r="U19" s="4" t="b">
        <f t="shared" si="0"/>
        <v>0</v>
      </c>
    </row>
    <row r="20" spans="2:21" ht="13.5" customHeight="1">
      <c r="B20" s="3367"/>
      <c r="C20" s="2445"/>
      <c r="D20" s="2444"/>
      <c r="E20" s="2448"/>
      <c r="F20" s="2450"/>
      <c r="G20" s="3274" t="s">
        <v>667</v>
      </c>
      <c r="H20" s="325">
        <f>$P$10</f>
        <v>0</v>
      </c>
      <c r="I20" s="326" t="e">
        <f>VLOOKUP($L$10,動力,35,0)</f>
        <v>#N/A</v>
      </c>
      <c r="J20" s="327" t="e">
        <f>VLOOKUP($L$10,動力,37,0)</f>
        <v>#N/A</v>
      </c>
      <c r="K20" s="328" t="e">
        <f>VLOOKUP($L$10,動力,39,0)</f>
        <v>#N/A</v>
      </c>
      <c r="L20" s="305"/>
      <c r="M20" s="126"/>
      <c r="N20" s="3239"/>
      <c r="O20" s="3236"/>
      <c r="P20" s="2459"/>
      <c r="Q20" s="2461"/>
      <c r="R20" s="2448"/>
      <c r="S20" s="2450"/>
      <c r="T20" s="2200"/>
      <c r="U20" s="4" t="b">
        <f t="shared" si="0"/>
        <v>0</v>
      </c>
    </row>
    <row r="21" spans="2:21" ht="13.5" customHeight="1">
      <c r="B21" s="3367"/>
      <c r="C21" s="2445"/>
      <c r="D21" s="2444"/>
      <c r="E21" s="2421"/>
      <c r="F21" s="2423"/>
      <c r="G21" s="3275"/>
      <c r="H21" s="307" t="e">
        <f>MIN(I21,MAX(K21,ROUNDDOWN(J21+(H20-J20)*IF(H20&lt;J20,(I21-J21)/(I20-J20),(J21-K21)/(J20-K20)),2)))</f>
        <v>#N/A</v>
      </c>
      <c r="I21" s="308" t="e">
        <f>VLOOKUP($L$10,動力,36,0)</f>
        <v>#N/A</v>
      </c>
      <c r="J21" s="316" t="e">
        <f>VLOOKUP($L$10,動力,38,0)</f>
        <v>#N/A</v>
      </c>
      <c r="K21" s="309" t="e">
        <f>VLOOKUP($L$10,動力,40,0)</f>
        <v>#N/A</v>
      </c>
      <c r="L21" s="310"/>
      <c r="M21" s="329"/>
      <c r="N21" s="3240"/>
      <c r="O21" s="3237"/>
      <c r="P21" s="2470"/>
      <c r="Q21" s="2516"/>
      <c r="R21" s="2421"/>
      <c r="S21" s="2423"/>
      <c r="T21" s="2200"/>
      <c r="U21" s="4" t="b">
        <f t="shared" si="0"/>
        <v>0</v>
      </c>
    </row>
    <row r="22" spans="2:21" ht="6" customHeight="1">
      <c r="B22" s="3367"/>
      <c r="C22" s="2445"/>
      <c r="D22" s="2444"/>
      <c r="E22" s="189"/>
      <c r="F22" s="9"/>
      <c r="G22" s="9"/>
      <c r="H22" s="9"/>
      <c r="I22" s="9"/>
      <c r="J22" s="9"/>
      <c r="K22" s="9"/>
      <c r="L22" s="9"/>
      <c r="M22" s="9"/>
      <c r="N22" s="9"/>
      <c r="O22" s="9"/>
      <c r="P22" s="9"/>
      <c r="Q22" s="9"/>
      <c r="R22" s="9"/>
      <c r="S22" s="10"/>
      <c r="T22" s="2200"/>
      <c r="U22" s="4" t="b">
        <f>+$H$24&lt;&gt;0</f>
        <v>0</v>
      </c>
    </row>
    <row r="23" spans="2:21" ht="13.5" customHeight="1">
      <c r="B23" s="3367"/>
      <c r="C23" s="2445"/>
      <c r="D23" s="2444"/>
      <c r="E23" s="189"/>
      <c r="F23" s="9"/>
      <c r="G23" s="3274" t="s">
        <v>736</v>
      </c>
      <c r="H23" s="1837" t="s">
        <v>692</v>
      </c>
      <c r="I23" s="1838" t="s">
        <v>693</v>
      </c>
      <c r="J23" s="1839" t="s">
        <v>115</v>
      </c>
      <c r="K23" s="1840" t="s">
        <v>5498</v>
      </c>
      <c r="L23" s="1839" t="s">
        <v>116</v>
      </c>
      <c r="M23" s="2037" t="s">
        <v>43</v>
      </c>
      <c r="N23" s="2037" t="s">
        <v>43</v>
      </c>
      <c r="O23" s="2037" t="s">
        <v>43</v>
      </c>
      <c r="P23" s="1837" t="s">
        <v>460</v>
      </c>
      <c r="Q23" s="1841" t="s">
        <v>1199</v>
      </c>
      <c r="S23" s="10"/>
      <c r="T23" s="2200"/>
      <c r="U23" s="4" t="b">
        <f>+$U$22</f>
        <v>0</v>
      </c>
    </row>
    <row r="24" spans="2:21" ht="13.5" customHeight="1">
      <c r="B24" s="3367"/>
      <c r="C24" s="2445"/>
      <c r="D24" s="2444"/>
      <c r="E24" s="189"/>
      <c r="F24" s="9"/>
      <c r="G24" s="3275"/>
      <c r="H24" s="669">
        <f>SUM(I24:O24)</f>
        <v>0</v>
      </c>
      <c r="I24" s="2038"/>
      <c r="J24" s="2039"/>
      <c r="K24" s="2039"/>
      <c r="L24" s="2039"/>
      <c r="M24" s="2039"/>
      <c r="N24" s="2039"/>
      <c r="O24" s="2039"/>
      <c r="P24" s="330">
        <f>$P$10</f>
        <v>0</v>
      </c>
      <c r="Q24" s="670" t="e">
        <f>ROUNDDOWN(H24/P24*100,2)</f>
        <v>#DIV/0!</v>
      </c>
      <c r="S24" s="10"/>
      <c r="T24" s="2200"/>
      <c r="U24" s="4" t="b">
        <f>+$U$22</f>
        <v>0</v>
      </c>
    </row>
    <row r="25" spans="2:21" ht="6" customHeight="1">
      <c r="B25" s="3367"/>
      <c r="C25" s="2446"/>
      <c r="D25" s="2447"/>
      <c r="E25" s="190"/>
      <c r="F25" s="44"/>
      <c r="G25" s="44"/>
      <c r="H25" s="44"/>
      <c r="I25" s="44"/>
      <c r="J25" s="44"/>
      <c r="K25" s="44"/>
      <c r="L25" s="44"/>
      <c r="M25" s="44"/>
      <c r="N25" s="44"/>
      <c r="O25" s="44"/>
      <c r="P25" s="44"/>
      <c r="Q25" s="44"/>
      <c r="R25" s="44"/>
      <c r="S25" s="69"/>
      <c r="T25" s="2200"/>
      <c r="U25" s="4" t="b">
        <f>+$U$22</f>
        <v>0</v>
      </c>
    </row>
    <row r="26" spans="2:21" ht="13.5" customHeight="1">
      <c r="B26" s="3367"/>
      <c r="C26" s="1578"/>
      <c r="D26" s="1580"/>
      <c r="E26" s="3243" t="s">
        <v>111</v>
      </c>
      <c r="F26" s="3244"/>
      <c r="G26" s="1549" t="s">
        <v>112</v>
      </c>
      <c r="H26" s="1547"/>
      <c r="I26" s="1547"/>
      <c r="J26" s="1547"/>
      <c r="K26" s="1547"/>
      <c r="L26" s="1547"/>
      <c r="M26" s="1548"/>
      <c r="N26" s="1556" t="s">
        <v>458</v>
      </c>
      <c r="O26" s="1556" t="s">
        <v>113</v>
      </c>
      <c r="P26" s="1842" t="s">
        <v>114</v>
      </c>
      <c r="Q26" s="1843" t="s">
        <v>1200</v>
      </c>
      <c r="R26" s="2498" t="s">
        <v>686</v>
      </c>
      <c r="S26" s="3082"/>
      <c r="T26" s="2200"/>
      <c r="U26" s="4" t="b">
        <f>COUNTA(H27,H30,I34:P34)&lt;&gt;0</f>
        <v>0</v>
      </c>
    </row>
    <row r="27" spans="2:21" ht="13.5" customHeight="1">
      <c r="B27" s="3367"/>
      <c r="C27" s="2443" t="s">
        <v>5703</v>
      </c>
      <c r="D27" s="3358"/>
      <c r="E27" s="2418" t="e">
        <f>VLOOKUP($L$10,動力,2,0)</f>
        <v>#N/A</v>
      </c>
      <c r="F27" s="2420"/>
      <c r="G27" s="3274" t="s">
        <v>117</v>
      </c>
      <c r="H27" s="312"/>
      <c r="I27" s="331" t="e">
        <f>VLOOKUP($L$10,動力,11,0)</f>
        <v>#N/A</v>
      </c>
      <c r="J27" s="314" t="e">
        <f>VLOOKUP($L$10,動力,14,0)</f>
        <v>#N/A</v>
      </c>
      <c r="K27" s="314" t="e">
        <f>VLOOKUP($L$10,動力,17,0)</f>
        <v>#N/A</v>
      </c>
      <c r="L27" s="315" t="s">
        <v>736</v>
      </c>
      <c r="M27" s="332"/>
      <c r="N27" s="3238" t="e">
        <f>ROUNDDOWN(H29*H31,2)</f>
        <v>#N/A</v>
      </c>
      <c r="O27" s="3235" t="e">
        <f>INT(E27*N27)</f>
        <v>#N/A</v>
      </c>
      <c r="P27" s="2513">
        <f>H34</f>
        <v>0</v>
      </c>
      <c r="Q27" s="3306" t="s">
        <v>1287</v>
      </c>
      <c r="R27" s="2418">
        <f>IF(ISERROR(INT(O27*P27)),0,INT(O27*P27))</f>
        <v>0</v>
      </c>
      <c r="S27" s="2420"/>
      <c r="T27" s="2200"/>
      <c r="U27" s="4" t="b">
        <f t="shared" ref="U27:U31" si="1">U$26</f>
        <v>0</v>
      </c>
    </row>
    <row r="28" spans="2:21" ht="13.5" customHeight="1">
      <c r="B28" s="3367"/>
      <c r="C28" s="3359"/>
      <c r="D28" s="3358"/>
      <c r="E28" s="2448"/>
      <c r="F28" s="2450"/>
      <c r="G28" s="3275"/>
      <c r="H28" s="671" t="e">
        <f>HLOOKUP(H27,I27:M29,2,0)</f>
        <v>#N/A</v>
      </c>
      <c r="I28" s="676" t="e">
        <f>VLOOKUP($L$10,動力,12,0)</f>
        <v>#N/A</v>
      </c>
      <c r="J28" s="673" t="e">
        <f>VLOOKUP($L$10,動力,15,0)</f>
        <v>#N/A</v>
      </c>
      <c r="K28" s="673" t="e">
        <f>VLOOKUP($L$10,動力,18,0)</f>
        <v>#N/A</v>
      </c>
      <c r="L28" s="675" t="str">
        <f>IF(H34&lt;&gt;0,H34,"-")</f>
        <v>-</v>
      </c>
      <c r="M28" s="333"/>
      <c r="N28" s="3239"/>
      <c r="O28" s="3236"/>
      <c r="P28" s="2459"/>
      <c r="Q28" s="2461"/>
      <c r="R28" s="2448"/>
      <c r="S28" s="2450"/>
      <c r="T28" s="2200"/>
      <c r="U28" s="4" t="b">
        <f t="shared" si="1"/>
        <v>0</v>
      </c>
    </row>
    <row r="29" spans="2:21" ht="13.5" customHeight="1">
      <c r="B29" s="3367"/>
      <c r="C29" s="3359"/>
      <c r="D29" s="3358"/>
      <c r="E29" s="2448"/>
      <c r="F29" s="2450"/>
      <c r="G29" s="3275"/>
      <c r="H29" s="307" t="e">
        <f>HLOOKUP(H27,I27:L29,3,0)</f>
        <v>#N/A</v>
      </c>
      <c r="I29" s="334" t="e">
        <f>VLOOKUP($L$10,動力,13,0)</f>
        <v>#N/A</v>
      </c>
      <c r="J29" s="316" t="e">
        <f>VLOOKUP($L$10,動力,16,0)</f>
        <v>#N/A</v>
      </c>
      <c r="K29" s="316" t="e">
        <f>VLOOKUP($L$10,動力,19,0)</f>
        <v>#N/A</v>
      </c>
      <c r="L29" s="309" t="str">
        <f>IF(H34&lt;&gt;0,ROUNDDOWN(1+(L28-J28)*IF(L28&lt;J28,(I29-J29)/(I28-J28),(J29-K29)/(J28-K28)),2),"-")</f>
        <v>-</v>
      </c>
      <c r="M29" s="333"/>
      <c r="N29" s="3239"/>
      <c r="O29" s="3236"/>
      <c r="P29" s="2459"/>
      <c r="Q29" s="2461"/>
      <c r="R29" s="2448"/>
      <c r="S29" s="2450"/>
      <c r="T29" s="2200"/>
      <c r="U29" s="4" t="b">
        <f t="shared" si="1"/>
        <v>0</v>
      </c>
    </row>
    <row r="30" spans="2:21" ht="13.5" customHeight="1">
      <c r="B30" s="3367"/>
      <c r="C30" s="3359"/>
      <c r="D30" s="3358"/>
      <c r="E30" s="2448"/>
      <c r="F30" s="2450"/>
      <c r="G30" s="3274" t="s">
        <v>689</v>
      </c>
      <c r="H30" s="312"/>
      <c r="I30" s="313" t="e">
        <f>VLOOKUP($L$10,動力,20,0)</f>
        <v>#N/A</v>
      </c>
      <c r="J30" s="314" t="e">
        <f>VLOOKUP($L$10,動力,22,0)</f>
        <v>#N/A</v>
      </c>
      <c r="K30" s="315" t="e">
        <f>VLOOKUP($L$10,動力,24,0)</f>
        <v>#N/A</v>
      </c>
      <c r="L30" s="311"/>
      <c r="M30" s="333"/>
      <c r="N30" s="3239"/>
      <c r="O30" s="3236"/>
      <c r="P30" s="2459"/>
      <c r="Q30" s="2461"/>
      <c r="R30" s="2448"/>
      <c r="S30" s="2450"/>
      <c r="T30" s="2200"/>
      <c r="U30" s="4" t="b">
        <f t="shared" si="1"/>
        <v>0</v>
      </c>
    </row>
    <row r="31" spans="2:21" ht="13.5" customHeight="1">
      <c r="B31" s="3367"/>
      <c r="C31" s="3359"/>
      <c r="D31" s="3358"/>
      <c r="E31" s="2421"/>
      <c r="F31" s="2423"/>
      <c r="G31" s="3275"/>
      <c r="H31" s="307" t="e">
        <f>HLOOKUP(H30,I30:M31,2,0)</f>
        <v>#N/A</v>
      </c>
      <c r="I31" s="308" t="e">
        <f>VLOOKUP($L$10,動力,21,0)</f>
        <v>#N/A</v>
      </c>
      <c r="J31" s="316" t="e">
        <f>VLOOKUP($L$10,動力,23,0)</f>
        <v>#N/A</v>
      </c>
      <c r="K31" s="309" t="e">
        <f>VLOOKUP($L$10,動力,25,0)</f>
        <v>#N/A</v>
      </c>
      <c r="L31" s="329"/>
      <c r="M31" s="335"/>
      <c r="N31" s="3240"/>
      <c r="O31" s="3237"/>
      <c r="P31" s="2470"/>
      <c r="Q31" s="2516"/>
      <c r="R31" s="2421"/>
      <c r="S31" s="2423"/>
      <c r="T31" s="2200"/>
      <c r="U31" s="4" t="b">
        <f t="shared" si="1"/>
        <v>0</v>
      </c>
    </row>
    <row r="32" spans="2:21" ht="6" customHeight="1">
      <c r="B32" s="3367"/>
      <c r="C32" s="3359"/>
      <c r="D32" s="3358"/>
      <c r="E32" s="9"/>
      <c r="F32" s="9"/>
      <c r="G32" s="9"/>
      <c r="H32" s="9"/>
      <c r="I32" s="9"/>
      <c r="J32" s="9"/>
      <c r="K32" s="9"/>
      <c r="L32" s="9"/>
      <c r="M32" s="9"/>
      <c r="N32" s="9"/>
      <c r="O32" s="9"/>
      <c r="P32" s="9"/>
      <c r="Q32" s="9"/>
      <c r="R32" s="9"/>
      <c r="S32" s="10"/>
      <c r="T32" s="2200"/>
      <c r="U32" s="4" t="b">
        <f>+$H$34&lt;&gt;0</f>
        <v>0</v>
      </c>
    </row>
    <row r="33" spans="2:21" ht="13.5" customHeight="1">
      <c r="B33" s="3367"/>
      <c r="C33" s="3359"/>
      <c r="D33" s="3358"/>
      <c r="E33" s="9"/>
      <c r="F33" s="9"/>
      <c r="G33" s="3274" t="s">
        <v>736</v>
      </c>
      <c r="H33" s="1837" t="s">
        <v>692</v>
      </c>
      <c r="I33" s="1838" t="s">
        <v>693</v>
      </c>
      <c r="J33" s="1839" t="s">
        <v>115</v>
      </c>
      <c r="K33" s="1839" t="s">
        <v>116</v>
      </c>
      <c r="L33" s="2037" t="s">
        <v>43</v>
      </c>
      <c r="M33" s="2037" t="s">
        <v>43</v>
      </c>
      <c r="N33" s="2037" t="s">
        <v>43</v>
      </c>
      <c r="O33" s="2040" t="s">
        <v>43</v>
      </c>
      <c r="P33" s="9"/>
      <c r="Q33" s="9"/>
      <c r="R33" s="9"/>
      <c r="S33" s="10"/>
      <c r="T33" s="2200"/>
      <c r="U33" s="4" t="b">
        <f>+$U$32</f>
        <v>0</v>
      </c>
    </row>
    <row r="34" spans="2:21" ht="13.5" customHeight="1">
      <c r="B34" s="3367"/>
      <c r="C34" s="3359"/>
      <c r="D34" s="3358"/>
      <c r="E34" s="9"/>
      <c r="F34" s="9"/>
      <c r="G34" s="3275"/>
      <c r="H34" s="677">
        <f>SUM(I34:O34)</f>
        <v>0</v>
      </c>
      <c r="I34" s="2038"/>
      <c r="J34" s="2039"/>
      <c r="K34" s="2039"/>
      <c r="L34" s="2039"/>
      <c r="M34" s="2039"/>
      <c r="N34" s="2039"/>
      <c r="O34" s="2041"/>
      <c r="P34" s="9"/>
      <c r="Q34" s="9"/>
      <c r="R34" s="9"/>
      <c r="S34" s="10"/>
      <c r="T34" s="2200"/>
      <c r="U34" s="4" t="b">
        <f t="shared" ref="U34:U35" si="2">+$U$32</f>
        <v>0</v>
      </c>
    </row>
    <row r="35" spans="2:21" ht="6" customHeight="1">
      <c r="B35" s="3367"/>
      <c r="C35" s="3360"/>
      <c r="D35" s="3361"/>
      <c r="E35" s="44"/>
      <c r="F35" s="44"/>
      <c r="G35" s="44"/>
      <c r="H35" s="44"/>
      <c r="I35" s="44"/>
      <c r="J35" s="44"/>
      <c r="K35" s="44"/>
      <c r="L35" s="44"/>
      <c r="M35" s="44"/>
      <c r="N35" s="44"/>
      <c r="O35" s="44"/>
      <c r="P35" s="44"/>
      <c r="Q35" s="44"/>
      <c r="R35" s="44"/>
      <c r="S35" s="69"/>
      <c r="T35" s="2200"/>
      <c r="U35" s="4" t="b">
        <f t="shared" si="2"/>
        <v>0</v>
      </c>
    </row>
    <row r="36" spans="2:21" ht="13.5" customHeight="1">
      <c r="B36" s="3367"/>
      <c r="C36" s="2578" t="s">
        <v>5704</v>
      </c>
      <c r="D36" s="3362"/>
      <c r="E36" s="3243" t="s">
        <v>111</v>
      </c>
      <c r="F36" s="3244"/>
      <c r="G36" s="1549" t="s">
        <v>112</v>
      </c>
      <c r="H36" s="1547"/>
      <c r="I36" s="1547"/>
      <c r="J36" s="1547"/>
      <c r="K36" s="1547"/>
      <c r="L36" s="1547"/>
      <c r="M36" s="1548"/>
      <c r="N36" s="1556" t="s">
        <v>458</v>
      </c>
      <c r="O36" s="1556" t="s">
        <v>113</v>
      </c>
      <c r="P36" s="1842" t="s">
        <v>114</v>
      </c>
      <c r="Q36" s="1843" t="s">
        <v>685</v>
      </c>
      <c r="R36" s="2498" t="s">
        <v>686</v>
      </c>
      <c r="S36" s="3082"/>
      <c r="T36" s="2200"/>
      <c r="U36" s="4" t="b">
        <f>R37&lt;&gt;0</f>
        <v>0</v>
      </c>
    </row>
    <row r="37" spans="2:21" ht="13.5" customHeight="1">
      <c r="B37" s="3367"/>
      <c r="C37" s="3359"/>
      <c r="D37" s="3363"/>
      <c r="E37" s="2764" t="e">
        <f>IF((L10="工場・倉庫"),"-",VLOOKUP($L$10,電灯,2,0))</f>
        <v>#N/A</v>
      </c>
      <c r="F37" s="2766"/>
      <c r="G37" s="2498" t="s">
        <v>5475</v>
      </c>
      <c r="H37" s="312"/>
      <c r="I37" s="920" t="s">
        <v>5481</v>
      </c>
      <c r="J37" s="921"/>
      <c r="K37" s="921"/>
      <c r="L37" s="922"/>
      <c r="M37" s="827"/>
      <c r="N37" s="3282">
        <v>1</v>
      </c>
      <c r="O37" s="3246" t="e">
        <f>INT(E37*N37)</f>
        <v>#N/A</v>
      </c>
      <c r="P37" s="2659" t="e">
        <f>H38</f>
        <v>#N/A</v>
      </c>
      <c r="Q37" s="3291" t="s">
        <v>118</v>
      </c>
      <c r="R37" s="2764">
        <f>IF(ISERROR(INT(O37*P37)),0,INT(O37*P37))</f>
        <v>0</v>
      </c>
      <c r="S37" s="2766"/>
      <c r="T37" s="2200"/>
      <c r="U37" s="4" t="b">
        <f t="shared" ref="U37:U38" si="3">U$36</f>
        <v>0</v>
      </c>
    </row>
    <row r="38" spans="2:21" ht="13.5" customHeight="1">
      <c r="B38" s="3367"/>
      <c r="C38" s="3364"/>
      <c r="D38" s="3365"/>
      <c r="E38" s="2770"/>
      <c r="F38" s="2772"/>
      <c r="G38" s="3082"/>
      <c r="H38" s="307" t="e">
        <f>HLOOKUP(H37,I37:M38,2,0)</f>
        <v>#N/A</v>
      </c>
      <c r="I38" s="923">
        <f>$P$10</f>
        <v>0</v>
      </c>
      <c r="J38" s="813"/>
      <c r="K38" s="813"/>
      <c r="L38" s="828"/>
      <c r="M38" s="829"/>
      <c r="N38" s="3283"/>
      <c r="O38" s="3248"/>
      <c r="P38" s="2665"/>
      <c r="Q38" s="3292"/>
      <c r="R38" s="2770"/>
      <c r="S38" s="2772"/>
      <c r="T38" s="2200"/>
      <c r="U38" s="4" t="b">
        <f t="shared" si="3"/>
        <v>0</v>
      </c>
    </row>
    <row r="39" spans="2:21" ht="13.5" customHeight="1">
      <c r="B39" s="3367"/>
      <c r="C39" s="2578" t="s">
        <v>5705</v>
      </c>
      <c r="D39" s="3362"/>
      <c r="E39" s="3243" t="s">
        <v>111</v>
      </c>
      <c r="F39" s="3244"/>
      <c r="G39" s="1549" t="s">
        <v>112</v>
      </c>
      <c r="H39" s="1547"/>
      <c r="I39" s="1547"/>
      <c r="J39" s="1547"/>
      <c r="K39" s="1547"/>
      <c r="L39" s="1547"/>
      <c r="M39" s="1548"/>
      <c r="N39" s="1556" t="s">
        <v>458</v>
      </c>
      <c r="O39" s="1556" t="s">
        <v>113</v>
      </c>
      <c r="P39" s="1842" t="s">
        <v>114</v>
      </c>
      <c r="Q39" s="1843" t="s">
        <v>685</v>
      </c>
      <c r="R39" s="2498" t="s">
        <v>686</v>
      </c>
      <c r="S39" s="3082"/>
      <c r="T39" s="2200"/>
      <c r="U39" s="4" t="b">
        <f>R40&lt;&gt;0</f>
        <v>0</v>
      </c>
    </row>
    <row r="40" spans="2:21" ht="13.5" customHeight="1">
      <c r="B40" s="3367"/>
      <c r="C40" s="3359"/>
      <c r="D40" s="3363"/>
      <c r="E40" s="2764" t="e">
        <f>VLOOKUP($L$10,電灯,2,0)</f>
        <v>#N/A</v>
      </c>
      <c r="F40" s="2766"/>
      <c r="G40" s="2498" t="s">
        <v>5326</v>
      </c>
      <c r="H40" s="312"/>
      <c r="I40" s="313" t="e">
        <f>VLOOKUP($L$10,電灯,3,0)</f>
        <v>#N/A</v>
      </c>
      <c r="J40" s="314" t="e">
        <f>VLOOKUP($L$10,電灯,5,0)</f>
        <v>#N/A</v>
      </c>
      <c r="K40" s="315" t="e">
        <f>VLOOKUP($L$10,電灯,7,0)</f>
        <v>#N/A</v>
      </c>
      <c r="L40" s="9"/>
      <c r="M40" s="9"/>
      <c r="N40" s="3399" t="e">
        <f>ROUNDDOWN(H41,2)</f>
        <v>#N/A</v>
      </c>
      <c r="O40" s="3401" t="e">
        <f>INT(E40*N40)</f>
        <v>#N/A</v>
      </c>
      <c r="P40" s="2659">
        <f>$P$10</f>
        <v>0</v>
      </c>
      <c r="Q40" s="3291" t="s">
        <v>44</v>
      </c>
      <c r="R40" s="2764">
        <f>IF(ISERROR(INT(O40*P40)),0,INT(O40*P40))</f>
        <v>0</v>
      </c>
      <c r="S40" s="2766"/>
      <c r="T40" s="2200"/>
      <c r="U40" s="4" t="b">
        <f>U$39</f>
        <v>0</v>
      </c>
    </row>
    <row r="41" spans="2:21" ht="13.5" customHeight="1">
      <c r="B41" s="3367"/>
      <c r="C41" s="3364"/>
      <c r="D41" s="3365"/>
      <c r="E41" s="2770"/>
      <c r="F41" s="2772"/>
      <c r="G41" s="3082"/>
      <c r="H41" s="307" t="e">
        <f>HLOOKUP(H40,I40:M41,2,0)</f>
        <v>#N/A</v>
      </c>
      <c r="I41" s="308" t="e">
        <f>VLOOKUP($L$10,電灯,4,0)</f>
        <v>#N/A</v>
      </c>
      <c r="J41" s="316" t="e">
        <f>VLOOKUP($L$10,電灯,6,0)</f>
        <v>#N/A</v>
      </c>
      <c r="K41" s="309" t="e">
        <f>VLOOKUP($L$10,電灯,8,0)</f>
        <v>#N/A</v>
      </c>
      <c r="L41" s="9"/>
      <c r="M41" s="9"/>
      <c r="N41" s="3400"/>
      <c r="O41" s="3402"/>
      <c r="P41" s="2665"/>
      <c r="Q41" s="3292"/>
      <c r="R41" s="2770"/>
      <c r="S41" s="2772"/>
      <c r="T41" s="2200"/>
      <c r="U41" s="4" t="b">
        <f>U$39</f>
        <v>0</v>
      </c>
    </row>
    <row r="42" spans="2:21" ht="13.5" customHeight="1">
      <c r="B42" s="3367"/>
      <c r="C42" s="1578"/>
      <c r="D42" s="1580"/>
      <c r="E42" s="3243" t="s">
        <v>111</v>
      </c>
      <c r="F42" s="3244"/>
      <c r="G42" s="1549" t="s">
        <v>112</v>
      </c>
      <c r="H42" s="1547"/>
      <c r="I42" s="1547"/>
      <c r="J42" s="1547"/>
      <c r="K42" s="1547"/>
      <c r="L42" s="1547"/>
      <c r="M42" s="1548"/>
      <c r="N42" s="1556"/>
      <c r="O42" s="1556" t="s">
        <v>113</v>
      </c>
      <c r="P42" s="1842" t="s">
        <v>114</v>
      </c>
      <c r="Q42" s="1843" t="s">
        <v>5482</v>
      </c>
      <c r="R42" s="2498" t="s">
        <v>686</v>
      </c>
      <c r="S42" s="3082"/>
      <c r="T42" s="2200"/>
      <c r="U42" s="4" t="b">
        <f>COUNTA(H43,H48)&lt;&gt;0</f>
        <v>0</v>
      </c>
    </row>
    <row r="43" spans="2:21" ht="13.5" customHeight="1">
      <c r="B43" s="3367"/>
      <c r="C43" s="2443" t="s">
        <v>130</v>
      </c>
      <c r="D43" s="2444"/>
      <c r="E43" s="2418" t="e">
        <f>VLOOKUP($L$10,電話,2,0)</f>
        <v>#N/A</v>
      </c>
      <c r="F43" s="2420"/>
      <c r="G43" s="3067" t="s">
        <v>119</v>
      </c>
      <c r="H43" s="312"/>
      <c r="I43" s="313" t="e">
        <f>VLOOKUP($L$10,電話,3,0)</f>
        <v>#N/A</v>
      </c>
      <c r="J43" s="314" t="e">
        <f>VLOOKUP($L$10,電話,6,0)</f>
        <v>#N/A</v>
      </c>
      <c r="K43" s="318" t="e">
        <f>VLOOKUP($L$10,電話,9,0)</f>
        <v>#N/A</v>
      </c>
      <c r="L43" s="315" t="s">
        <v>736</v>
      </c>
      <c r="M43" s="892"/>
      <c r="N43" s="3238" t="e">
        <f>ROUNDDOWN(H45,2)</f>
        <v>#N/A</v>
      </c>
      <c r="O43" s="3235" t="e">
        <f>INT(E43*N43)</f>
        <v>#N/A</v>
      </c>
      <c r="P43" s="2513">
        <f>$P$10</f>
        <v>0</v>
      </c>
      <c r="Q43" s="2515" t="s">
        <v>44</v>
      </c>
      <c r="R43" s="2418">
        <f>IF(ISERROR(INT(O43*P43)),0,INT(O43*P43))</f>
        <v>0</v>
      </c>
      <c r="S43" s="2420"/>
      <c r="T43" s="2200"/>
      <c r="U43" s="4" t="b">
        <f t="shared" ref="U43:U45" si="4">U$42</f>
        <v>0</v>
      </c>
    </row>
    <row r="44" spans="2:21" ht="13.5" customHeight="1">
      <c r="B44" s="3367"/>
      <c r="C44" s="2445"/>
      <c r="D44" s="2444"/>
      <c r="E44" s="2448"/>
      <c r="F44" s="2450"/>
      <c r="G44" s="3054"/>
      <c r="H44" s="722" t="e">
        <f>HLOOKUP(H43,I43:M45,2,0)</f>
        <v>#N/A</v>
      </c>
      <c r="I44" s="723" t="e">
        <f>VLOOKUP($L$10,電話,4,0)</f>
        <v>#N/A</v>
      </c>
      <c r="J44" s="724" t="e">
        <f>VLOOKUP($L$10,電話,7,0)</f>
        <v>#N/A</v>
      </c>
      <c r="K44" s="725" t="e">
        <f>VLOOKUP($L$10,電話,10,0)</f>
        <v>#N/A</v>
      </c>
      <c r="L44" s="726" t="str">
        <f>+IF(H48&lt;&gt;0,J48,"-")</f>
        <v>-</v>
      </c>
      <c r="M44" s="189"/>
      <c r="N44" s="3239"/>
      <c r="O44" s="3236"/>
      <c r="P44" s="2459"/>
      <c r="Q44" s="2461"/>
      <c r="R44" s="2448"/>
      <c r="S44" s="2450"/>
      <c r="T44" s="2200"/>
      <c r="U44" s="4" t="b">
        <f t="shared" si="4"/>
        <v>0</v>
      </c>
    </row>
    <row r="45" spans="2:21" ht="13.5" customHeight="1">
      <c r="B45" s="3367"/>
      <c r="C45" s="2445"/>
      <c r="D45" s="2444"/>
      <c r="E45" s="2421"/>
      <c r="F45" s="2423"/>
      <c r="G45" s="3055"/>
      <c r="H45" s="307" t="e">
        <f>HLOOKUP(H43,I43:L45,3,0)</f>
        <v>#N/A</v>
      </c>
      <c r="I45" s="308" t="e">
        <f>VLOOKUP($L$10,電話,5,0)</f>
        <v>#N/A</v>
      </c>
      <c r="J45" s="316" t="e">
        <f>VLOOKUP($L$10,電話,8,0)</f>
        <v>#N/A</v>
      </c>
      <c r="K45" s="324" t="e">
        <f>VLOOKUP($L$10,電話,11,0)</f>
        <v>#N/A</v>
      </c>
      <c r="L45" s="309" t="str">
        <f>IF(H48&lt;&gt;0,ROUNDDOWN(1+(L44-J44)*IF(L44&gt;J44,(I45-J45)/(I44-J44),(J45-K45)/(J44-K44)),2),"-")</f>
        <v>-</v>
      </c>
      <c r="M45" s="190"/>
      <c r="N45" s="3240"/>
      <c r="O45" s="3237"/>
      <c r="P45" s="2470"/>
      <c r="Q45" s="2516"/>
      <c r="R45" s="2421"/>
      <c r="S45" s="2423"/>
      <c r="T45" s="2200"/>
      <c r="U45" s="4" t="b">
        <f t="shared" si="4"/>
        <v>0</v>
      </c>
    </row>
    <row r="46" spans="2:21" ht="6" customHeight="1">
      <c r="B46" s="3367"/>
      <c r="C46" s="2445"/>
      <c r="D46" s="2444"/>
      <c r="E46" s="9"/>
      <c r="F46" s="9"/>
      <c r="G46" s="9"/>
      <c r="H46" s="9"/>
      <c r="I46" s="9"/>
      <c r="J46" s="9"/>
      <c r="K46" s="9"/>
      <c r="L46" s="9"/>
      <c r="M46" s="9"/>
      <c r="N46" s="9"/>
      <c r="O46" s="9"/>
      <c r="P46" s="9"/>
      <c r="Q46" s="9"/>
      <c r="R46" s="9"/>
      <c r="S46" s="10"/>
      <c r="T46" s="2200"/>
      <c r="U46" s="4" t="b">
        <f>+$H$48&lt;&gt;0</f>
        <v>0</v>
      </c>
    </row>
    <row r="47" spans="2:21" ht="13.5" customHeight="1">
      <c r="B47" s="3367"/>
      <c r="C47" s="2445"/>
      <c r="D47" s="2444"/>
      <c r="E47" s="9"/>
      <c r="F47" s="9"/>
      <c r="G47" s="2498" t="s">
        <v>736</v>
      </c>
      <c r="H47" s="1556" t="s">
        <v>131</v>
      </c>
      <c r="I47" s="1556" t="s">
        <v>5483</v>
      </c>
      <c r="J47" s="1841" t="s">
        <v>120</v>
      </c>
      <c r="K47" s="9"/>
      <c r="L47" s="9"/>
      <c r="M47" s="9"/>
      <c r="N47" s="9"/>
      <c r="O47" s="9"/>
      <c r="P47" s="9"/>
      <c r="Q47" s="9"/>
      <c r="R47" s="9"/>
      <c r="S47" s="924"/>
      <c r="T47" s="2200"/>
      <c r="U47" s="4" t="b">
        <f>+$U$46</f>
        <v>0</v>
      </c>
    </row>
    <row r="48" spans="2:21" ht="13.5" customHeight="1">
      <c r="B48" s="3367"/>
      <c r="C48" s="2445"/>
      <c r="D48" s="2444"/>
      <c r="E48" s="9"/>
      <c r="F48" s="9"/>
      <c r="G48" s="3082"/>
      <c r="H48" s="2042"/>
      <c r="I48" s="330">
        <f>$P$10</f>
        <v>0</v>
      </c>
      <c r="J48" s="721" t="e">
        <f>ROUNDDOWN(H48/I48,3)</f>
        <v>#DIV/0!</v>
      </c>
      <c r="K48" s="9"/>
      <c r="L48" s="9"/>
      <c r="M48" s="9"/>
      <c r="N48" s="9"/>
      <c r="O48" s="9"/>
      <c r="P48" s="9"/>
      <c r="Q48" s="9"/>
      <c r="R48" s="9"/>
      <c r="S48" s="924"/>
      <c r="T48" s="2200"/>
      <c r="U48" s="4" t="b">
        <f t="shared" ref="U48:U49" si="5">+$U$46</f>
        <v>0</v>
      </c>
    </row>
    <row r="49" spans="2:21" ht="6" customHeight="1">
      <c r="B49" s="3367"/>
      <c r="C49" s="2446"/>
      <c r="D49" s="2447"/>
      <c r="E49" s="44"/>
      <c r="F49" s="44"/>
      <c r="G49" s="44"/>
      <c r="H49" s="44"/>
      <c r="I49" s="44"/>
      <c r="J49" s="44"/>
      <c r="K49" s="44"/>
      <c r="L49" s="44"/>
      <c r="M49" s="44"/>
      <c r="N49" s="44"/>
      <c r="O49" s="44"/>
      <c r="P49" s="44"/>
      <c r="Q49" s="44"/>
      <c r="R49" s="44"/>
      <c r="S49" s="69"/>
      <c r="T49" s="2200"/>
      <c r="U49" s="4" t="b">
        <f t="shared" si="5"/>
        <v>0</v>
      </c>
    </row>
    <row r="50" spans="2:21" ht="13.5" customHeight="1">
      <c r="B50" s="3367"/>
      <c r="C50" s="1578"/>
      <c r="D50" s="1580"/>
      <c r="E50" s="3243" t="s">
        <v>111</v>
      </c>
      <c r="F50" s="3244"/>
      <c r="G50" s="1549" t="s">
        <v>112</v>
      </c>
      <c r="H50" s="1547"/>
      <c r="I50" s="1547"/>
      <c r="J50" s="1547"/>
      <c r="K50" s="1547"/>
      <c r="L50" s="1547"/>
      <c r="M50" s="1548"/>
      <c r="N50" s="1556" t="s">
        <v>458</v>
      </c>
      <c r="O50" s="1556" t="s">
        <v>113</v>
      </c>
      <c r="P50" s="1842" t="s">
        <v>114</v>
      </c>
      <c r="Q50" s="1843" t="s">
        <v>5467</v>
      </c>
      <c r="R50" s="2498" t="s">
        <v>686</v>
      </c>
      <c r="S50" s="3082"/>
      <c r="T50" s="2200"/>
      <c r="U50" s="4" t="b">
        <f>P51&lt;&gt;0</f>
        <v>0</v>
      </c>
    </row>
    <row r="51" spans="2:21" ht="13.5" customHeight="1">
      <c r="B51" s="3367"/>
      <c r="C51" s="2443" t="s">
        <v>5329</v>
      </c>
      <c r="D51" s="2500"/>
      <c r="E51" s="2764" t="e">
        <f>VLOOKUP($L$10,呼出,2,0)</f>
        <v>#N/A</v>
      </c>
      <c r="F51" s="2766"/>
      <c r="G51" s="792"/>
      <c r="H51" s="814"/>
      <c r="I51" s="814"/>
      <c r="J51" s="814"/>
      <c r="K51" s="814"/>
      <c r="L51" s="126"/>
      <c r="M51" s="126"/>
      <c r="N51" s="3282">
        <v>1</v>
      </c>
      <c r="O51" s="3246" t="e">
        <f>INT(E51*N51)</f>
        <v>#N/A</v>
      </c>
      <c r="P51" s="3407"/>
      <c r="Q51" s="2895" t="s">
        <v>5330</v>
      </c>
      <c r="R51" s="2764">
        <f>IF(ISERROR(INT(O51*P51)),0,INT(O51*P51))</f>
        <v>0</v>
      </c>
      <c r="S51" s="2766"/>
      <c r="T51" s="2200"/>
      <c r="U51" s="4" t="b">
        <f t="shared" ref="U51:U52" si="6">U$50</f>
        <v>0</v>
      </c>
    </row>
    <row r="52" spans="2:21" ht="13.5" customHeight="1">
      <c r="B52" s="3367"/>
      <c r="C52" s="2581"/>
      <c r="D52" s="2502"/>
      <c r="E52" s="2770"/>
      <c r="F52" s="2772"/>
      <c r="G52" s="925"/>
      <c r="H52" s="813"/>
      <c r="I52" s="813"/>
      <c r="J52" s="813"/>
      <c r="K52" s="813"/>
      <c r="L52" s="813"/>
      <c r="M52" s="329"/>
      <c r="N52" s="3283"/>
      <c r="O52" s="3248"/>
      <c r="P52" s="3408"/>
      <c r="Q52" s="2898"/>
      <c r="R52" s="2770"/>
      <c r="S52" s="2772"/>
      <c r="T52" s="2200"/>
      <c r="U52" s="4" t="b">
        <f t="shared" si="6"/>
        <v>0</v>
      </c>
    </row>
    <row r="53" spans="2:21" ht="13.5" customHeight="1">
      <c r="B53" s="3367"/>
      <c r="C53" s="1578"/>
      <c r="D53" s="1580"/>
      <c r="E53" s="3243" t="s">
        <v>111</v>
      </c>
      <c r="F53" s="3244"/>
      <c r="G53" s="1549" t="s">
        <v>112</v>
      </c>
      <c r="H53" s="1547"/>
      <c r="I53" s="1547"/>
      <c r="J53" s="1547"/>
      <c r="K53" s="1547"/>
      <c r="L53" s="1547"/>
      <c r="M53" s="1548"/>
      <c r="N53" s="1556" t="s">
        <v>458</v>
      </c>
      <c r="O53" s="1556" t="s">
        <v>113</v>
      </c>
      <c r="P53" s="1842" t="s">
        <v>114</v>
      </c>
      <c r="Q53" s="1843" t="s">
        <v>134</v>
      </c>
      <c r="R53" s="2498" t="s">
        <v>686</v>
      </c>
      <c r="S53" s="3082"/>
      <c r="T53" s="2200"/>
      <c r="U53" s="4" t="b">
        <f>COUNTA(P54,H56)&lt;&gt;0</f>
        <v>0</v>
      </c>
    </row>
    <row r="54" spans="2:21" ht="13.5" customHeight="1">
      <c r="B54" s="3367"/>
      <c r="C54" s="2443" t="s">
        <v>135</v>
      </c>
      <c r="D54" s="2444"/>
      <c r="E54" s="2448" t="e">
        <f>VLOOKUP($L$10,自動車,2,0)</f>
        <v>#N/A</v>
      </c>
      <c r="F54" s="2450"/>
      <c r="G54" s="3327" t="s">
        <v>136</v>
      </c>
      <c r="H54" s="557">
        <f>+P54</f>
        <v>0</v>
      </c>
      <c r="I54" s="326" t="e">
        <f>VLOOKUP($L$10,自動車,3,0)</f>
        <v>#N/A</v>
      </c>
      <c r="J54" s="327" t="e">
        <f>VLOOKUP($L$10,自動車,5,0)</f>
        <v>#N/A</v>
      </c>
      <c r="K54" s="328" t="e">
        <f>VLOOKUP($L$10,自動車,7,0)</f>
        <v>#N/A</v>
      </c>
      <c r="M54" s="9"/>
      <c r="N54" s="3238" t="e">
        <f>ROUNDDOWN(H55*H57,2)</f>
        <v>#N/A</v>
      </c>
      <c r="O54" s="3235" t="e">
        <f>INT(E54*N54)</f>
        <v>#N/A</v>
      </c>
      <c r="P54" s="3310"/>
      <c r="Q54" s="2515" t="s">
        <v>137</v>
      </c>
      <c r="R54" s="2418">
        <f>IF(ISERROR(INT(O54*P54)),0,INT(O54*P54))</f>
        <v>0</v>
      </c>
      <c r="S54" s="2420"/>
      <c r="T54" s="2200"/>
      <c r="U54" s="4" t="b">
        <f>U$53</f>
        <v>0</v>
      </c>
    </row>
    <row r="55" spans="2:21" ht="13.5" customHeight="1">
      <c r="B55" s="3367"/>
      <c r="C55" s="2445"/>
      <c r="D55" s="2444"/>
      <c r="E55" s="2448"/>
      <c r="F55" s="2450"/>
      <c r="G55" s="3275"/>
      <c r="H55" s="309" t="e">
        <f>MIN(I55,MAX(K55,ROUNDDOWN(J55+(H54-J54)*IF(H54&lt;J54,(I55-J55)/(I54-J54),(J55-K55)/(J54-K54)),2)))</f>
        <v>#N/A</v>
      </c>
      <c r="I55" s="308" t="e">
        <f>VLOOKUP($L$10,自動車,4,0)</f>
        <v>#N/A</v>
      </c>
      <c r="J55" s="316" t="e">
        <f>VLOOKUP($L$10,自動車,6,0)</f>
        <v>#N/A</v>
      </c>
      <c r="K55" s="309" t="e">
        <f>VLOOKUP($L$10,自動車,8,0)</f>
        <v>#N/A</v>
      </c>
      <c r="M55" s="9"/>
      <c r="N55" s="3239"/>
      <c r="O55" s="3236"/>
      <c r="P55" s="3323"/>
      <c r="Q55" s="2461"/>
      <c r="R55" s="2448"/>
      <c r="S55" s="2450"/>
      <c r="T55" s="2200"/>
      <c r="U55" s="4" t="b">
        <f>U$53</f>
        <v>0</v>
      </c>
    </row>
    <row r="56" spans="2:21" ht="13.5" customHeight="1">
      <c r="B56" s="3367"/>
      <c r="C56" s="2445"/>
      <c r="D56" s="2444"/>
      <c r="E56" s="2448"/>
      <c r="F56" s="2450"/>
      <c r="G56" s="3279" t="s">
        <v>689</v>
      </c>
      <c r="H56" s="312"/>
      <c r="I56" s="313" t="e">
        <f>VLOOKUP($L$10,自動車,9,0)</f>
        <v>#N/A</v>
      </c>
      <c r="J56" s="314" t="e">
        <f>VLOOKUP($L$10,自動車,11,0)</f>
        <v>#N/A</v>
      </c>
      <c r="K56" s="315" t="e">
        <f>VLOOKUP($L$10,自動車,13,0)</f>
        <v>#N/A</v>
      </c>
      <c r="L56" s="9"/>
      <c r="M56" s="9"/>
      <c r="N56" s="3239"/>
      <c r="O56" s="3236"/>
      <c r="P56" s="3323"/>
      <c r="Q56" s="2461"/>
      <c r="R56" s="2448"/>
      <c r="S56" s="2450"/>
      <c r="T56" s="2200"/>
      <c r="U56" s="4" t="b">
        <f>U$53</f>
        <v>0</v>
      </c>
    </row>
    <row r="57" spans="2:21" ht="13.5" customHeight="1">
      <c r="B57" s="3367"/>
      <c r="C57" s="2446"/>
      <c r="D57" s="2447"/>
      <c r="E57" s="2421"/>
      <c r="F57" s="2423"/>
      <c r="G57" s="3278"/>
      <c r="H57" s="307" t="e">
        <f>HLOOKUP(H56,I56:M57,2,0)</f>
        <v>#N/A</v>
      </c>
      <c r="I57" s="308" t="e">
        <f>VLOOKUP($L$10,自動車,10,0)</f>
        <v>#N/A</v>
      </c>
      <c r="J57" s="316" t="e">
        <f>VLOOKUP($L$10,自動車,12,0)</f>
        <v>#N/A</v>
      </c>
      <c r="K57" s="309" t="e">
        <f>VLOOKUP($L$10,自動車,14,0)</f>
        <v>#N/A</v>
      </c>
      <c r="L57" s="44"/>
      <c r="M57" s="44"/>
      <c r="N57" s="3240"/>
      <c r="O57" s="3237"/>
      <c r="P57" s="3324"/>
      <c r="Q57" s="2516"/>
      <c r="R57" s="2421"/>
      <c r="S57" s="2423"/>
      <c r="T57" s="2200"/>
      <c r="U57" s="4" t="b">
        <f>U$53</f>
        <v>0</v>
      </c>
    </row>
    <row r="58" spans="2:21" ht="13.5" customHeight="1">
      <c r="B58" s="3367"/>
      <c r="C58" s="1578"/>
      <c r="D58" s="1580"/>
      <c r="E58" s="3243" t="s">
        <v>111</v>
      </c>
      <c r="F58" s="3244"/>
      <c r="G58" s="1549" t="s">
        <v>112</v>
      </c>
      <c r="H58" s="1547"/>
      <c r="I58" s="1547"/>
      <c r="J58" s="1547"/>
      <c r="K58" s="1547"/>
      <c r="L58" s="1547"/>
      <c r="M58" s="1548"/>
      <c r="N58" s="1556" t="s">
        <v>458</v>
      </c>
      <c r="O58" s="1556" t="s">
        <v>113</v>
      </c>
      <c r="P58" s="1842" t="s">
        <v>114</v>
      </c>
      <c r="Q58" s="1843" t="s">
        <v>138</v>
      </c>
      <c r="R58" s="2498" t="s">
        <v>686</v>
      </c>
      <c r="S58" s="3082"/>
      <c r="T58" s="2200"/>
      <c r="U58" s="4" t="b">
        <f>COUNTA(H59,H61,P59)&lt;&gt;0</f>
        <v>0</v>
      </c>
    </row>
    <row r="59" spans="2:21" ht="13.5" customHeight="1">
      <c r="B59" s="3367"/>
      <c r="C59" s="2443" t="s">
        <v>1115</v>
      </c>
      <c r="D59" s="2444"/>
      <c r="E59" s="2418" t="e">
        <f>VLOOKUP($L$10,インターホン,2,0)</f>
        <v>#N/A</v>
      </c>
      <c r="F59" s="2420"/>
      <c r="G59" s="3067" t="s">
        <v>667</v>
      </c>
      <c r="H59" s="564"/>
      <c r="I59" s="561" t="e">
        <f>VLOOKUP($L$10,インターホン,3,0)</f>
        <v>#N/A</v>
      </c>
      <c r="J59" s="562" t="e">
        <f>VLOOKUP($L$10,インターホン,5,0)</f>
        <v>#N/A</v>
      </c>
      <c r="K59" s="562" t="e">
        <f>VLOOKUP($L$10,インターホン,7,0)</f>
        <v>#N/A</v>
      </c>
      <c r="L59" s="563" t="s">
        <v>1120</v>
      </c>
      <c r="M59" s="179"/>
      <c r="N59" s="3238" t="e">
        <f>ROUNDDOWN(H60*H62,2)</f>
        <v>#N/A</v>
      </c>
      <c r="O59" s="3235" t="e">
        <f>INT(E59*N59)</f>
        <v>#N/A</v>
      </c>
      <c r="P59" s="3271"/>
      <c r="Q59" s="531"/>
      <c r="R59" s="2418">
        <f>IF(ISERROR(INT(O59*P59)),0,INT(O59*P59))</f>
        <v>0</v>
      </c>
      <c r="S59" s="2420"/>
      <c r="T59" s="2200"/>
      <c r="U59" s="4" t="b">
        <f t="shared" ref="U59:U62" si="7">U$58</f>
        <v>0</v>
      </c>
    </row>
    <row r="60" spans="2:21" ht="13.5" customHeight="1">
      <c r="B60" s="3367"/>
      <c r="C60" s="2445"/>
      <c r="D60" s="2444"/>
      <c r="E60" s="2448"/>
      <c r="F60" s="2450"/>
      <c r="G60" s="3278"/>
      <c r="H60" s="307" t="e">
        <f>HLOOKUP(H59,I59:L60,2,0)</f>
        <v>#N/A</v>
      </c>
      <c r="I60" s="308" t="e">
        <f>VLOOKUP($L$10,インターホン,4,0)</f>
        <v>#N/A</v>
      </c>
      <c r="J60" s="316" t="e">
        <f>VLOOKUP($L$10,インターホン,6,0)</f>
        <v>#N/A</v>
      </c>
      <c r="K60" s="316" t="e">
        <f>VLOOKUP($L$10,インターホン,8,0)</f>
        <v>#N/A</v>
      </c>
      <c r="L60" s="309" t="e">
        <f>MAX(J60,ROUNDDOWN(J60+(I60-J60)*(P59-J59)/(I59-J59),2))</f>
        <v>#N/A</v>
      </c>
      <c r="M60" s="9"/>
      <c r="N60" s="3239"/>
      <c r="O60" s="3236"/>
      <c r="P60" s="3294"/>
      <c r="Q60" s="10" t="s">
        <v>1118</v>
      </c>
      <c r="R60" s="2448"/>
      <c r="S60" s="2450"/>
      <c r="T60" s="2200"/>
      <c r="U60" s="4" t="b">
        <f t="shared" si="7"/>
        <v>0</v>
      </c>
    </row>
    <row r="61" spans="2:21" ht="13.5" customHeight="1">
      <c r="B61" s="3367"/>
      <c r="C61" s="2445"/>
      <c r="D61" s="2444"/>
      <c r="E61" s="2448"/>
      <c r="F61" s="2450"/>
      <c r="G61" s="3279" t="s">
        <v>689</v>
      </c>
      <c r="H61" s="312"/>
      <c r="I61" s="314" t="e">
        <f>VLOOKUP($L$10,インターホン,9,0)</f>
        <v>#N/A</v>
      </c>
      <c r="J61" s="314" t="e">
        <f>VLOOKUP($L$10,インターホン,11,0)</f>
        <v>#N/A</v>
      </c>
      <c r="K61" s="315" t="e">
        <f>VLOOKUP($L$10,インターホン,13,0)</f>
        <v>#N/A</v>
      </c>
      <c r="L61" s="305"/>
      <c r="M61" s="126"/>
      <c r="N61" s="3239"/>
      <c r="O61" s="3236"/>
      <c r="P61" s="3294"/>
      <c r="Q61" s="2450"/>
      <c r="R61" s="2448"/>
      <c r="S61" s="2450"/>
      <c r="T61" s="2200"/>
      <c r="U61" s="4" t="b">
        <f t="shared" si="7"/>
        <v>0</v>
      </c>
    </row>
    <row r="62" spans="2:21" ht="13.5" customHeight="1">
      <c r="B62" s="3367"/>
      <c r="C62" s="2445"/>
      <c r="D62" s="2444"/>
      <c r="E62" s="2421"/>
      <c r="F62" s="2423"/>
      <c r="G62" s="3278"/>
      <c r="H62" s="307" t="e">
        <f>HLOOKUP(H61,I61:M62,2,0)</f>
        <v>#N/A</v>
      </c>
      <c r="I62" s="316" t="e">
        <f>VLOOKUP($L$10,インターホン,10,0)</f>
        <v>#N/A</v>
      </c>
      <c r="J62" s="316" t="e">
        <f>VLOOKUP($L$10,インターホン,12,0)</f>
        <v>#N/A</v>
      </c>
      <c r="K62" s="309" t="e">
        <f>VLOOKUP($L$10,インターホン,14,0)</f>
        <v>#N/A</v>
      </c>
      <c r="L62" s="310"/>
      <c r="M62" s="329"/>
      <c r="N62" s="3240"/>
      <c r="O62" s="3237"/>
      <c r="P62" s="3295"/>
      <c r="Q62" s="2423"/>
      <c r="R62" s="2421"/>
      <c r="S62" s="2423"/>
      <c r="T62" s="2200"/>
      <c r="U62" s="4" t="b">
        <f t="shared" si="7"/>
        <v>0</v>
      </c>
    </row>
    <row r="63" spans="2:21" ht="13.5" customHeight="1">
      <c r="B63" s="3367"/>
      <c r="C63" s="1578"/>
      <c r="D63" s="1580"/>
      <c r="E63" s="3243" t="s">
        <v>111</v>
      </c>
      <c r="F63" s="3244"/>
      <c r="G63" s="1549" t="s">
        <v>112</v>
      </c>
      <c r="H63" s="1547"/>
      <c r="I63" s="1547"/>
      <c r="J63" s="1547"/>
      <c r="K63" s="1547"/>
      <c r="L63" s="1547"/>
      <c r="M63" s="1548"/>
      <c r="N63" s="1556" t="s">
        <v>458</v>
      </c>
      <c r="O63" s="1556" t="s">
        <v>113</v>
      </c>
      <c r="P63" s="1842" t="s">
        <v>114</v>
      </c>
      <c r="Q63" s="1843" t="s">
        <v>138</v>
      </c>
      <c r="R63" s="2498" t="s">
        <v>686</v>
      </c>
      <c r="S63" s="3082"/>
      <c r="T63" s="2200"/>
      <c r="U63" s="4" t="b">
        <f>COUNTA(H64,L64,P64)&lt;&gt;0</f>
        <v>0</v>
      </c>
    </row>
    <row r="64" spans="2:21" ht="13.5" customHeight="1">
      <c r="B64" s="3367"/>
      <c r="C64" s="2443" t="s">
        <v>1116</v>
      </c>
      <c r="D64" s="2444"/>
      <c r="E64" s="2418" t="e">
        <f>VLOOKUP($L$10,ドアホン,2,0)</f>
        <v>#N/A</v>
      </c>
      <c r="F64" s="2420"/>
      <c r="G64" s="2498" t="s">
        <v>689</v>
      </c>
      <c r="H64" s="336"/>
      <c r="I64" s="326" t="e">
        <f>VLOOKUP($L$10,ドアホン,3,0)</f>
        <v>#N/A</v>
      </c>
      <c r="J64" s="326" t="e">
        <f>VLOOKUP($L$10,ドアホン,5,0)</f>
        <v>#N/A</v>
      </c>
      <c r="K64" s="328" t="e">
        <f>VLOOKUP($L$10,ドアホン,7,0)</f>
        <v>#N/A</v>
      </c>
      <c r="L64" s="558"/>
      <c r="M64" s="531"/>
      <c r="N64" s="3238" t="e">
        <f>H65</f>
        <v>#N/A</v>
      </c>
      <c r="O64" s="3235" t="e">
        <f>INT(E64*N64)</f>
        <v>#N/A</v>
      </c>
      <c r="P64" s="3410"/>
      <c r="Q64" s="3306" t="s">
        <v>139</v>
      </c>
      <c r="R64" s="2418">
        <f>IF(ISERROR(INT(O64*P64)),0,INT(O64*P64))</f>
        <v>0</v>
      </c>
      <c r="S64" s="2420"/>
      <c r="T64" s="2200"/>
      <c r="U64" s="4" t="b">
        <f>U$63</f>
        <v>0</v>
      </c>
    </row>
    <row r="65" spans="2:21" ht="13.5" customHeight="1">
      <c r="B65" s="3367"/>
      <c r="C65" s="2446"/>
      <c r="D65" s="2447"/>
      <c r="E65" s="2421"/>
      <c r="F65" s="2423"/>
      <c r="G65" s="3275"/>
      <c r="H65" s="307" t="e">
        <f>HLOOKUP(H64,J64:M65,2,0)</f>
        <v>#N/A</v>
      </c>
      <c r="I65" s="308" t="e">
        <f>VLOOKUP($L$10,ドアホン,4,0)</f>
        <v>#N/A</v>
      </c>
      <c r="J65" s="308" t="e">
        <f>VLOOKUP($L$10,ドアホン,6,0)</f>
        <v>#N/A</v>
      </c>
      <c r="K65" s="309" t="e">
        <f>VLOOKUP($L$10,ドアホン,8,0)</f>
        <v>#N/A</v>
      </c>
      <c r="L65" s="329"/>
      <c r="M65" s="69"/>
      <c r="N65" s="3240"/>
      <c r="O65" s="3237"/>
      <c r="P65" s="3411"/>
      <c r="Q65" s="2516"/>
      <c r="R65" s="2421"/>
      <c r="S65" s="2423"/>
      <c r="T65" s="2200"/>
      <c r="U65" s="4" t="b">
        <f>U$63</f>
        <v>0</v>
      </c>
    </row>
    <row r="66" spans="2:21" ht="13.5" customHeight="1">
      <c r="B66" s="3367"/>
      <c r="C66" s="1578"/>
      <c r="D66" s="1580"/>
      <c r="E66" s="3243" t="s">
        <v>111</v>
      </c>
      <c r="F66" s="3244"/>
      <c r="G66" s="1549" t="s">
        <v>112</v>
      </c>
      <c r="H66" s="1547"/>
      <c r="I66" s="1547"/>
      <c r="J66" s="1547"/>
      <c r="K66" s="1547"/>
      <c r="L66" s="1547"/>
      <c r="M66" s="1548"/>
      <c r="N66" s="1556" t="s">
        <v>458</v>
      </c>
      <c r="O66" s="1556" t="s">
        <v>113</v>
      </c>
      <c r="P66" s="1842" t="s">
        <v>114</v>
      </c>
      <c r="Q66" s="1843" t="s">
        <v>121</v>
      </c>
      <c r="R66" s="2498" t="s">
        <v>686</v>
      </c>
      <c r="S66" s="3082"/>
      <c r="T66" s="2200"/>
      <c r="U66" s="4" t="b">
        <f>COUNTA(H67,H70,H74)&lt;&gt;0</f>
        <v>0</v>
      </c>
    </row>
    <row r="67" spans="2:21" ht="13.5" customHeight="1">
      <c r="B67" s="3367"/>
      <c r="C67" s="2443" t="s">
        <v>140</v>
      </c>
      <c r="D67" s="2444"/>
      <c r="E67" s="2418" t="e">
        <f>VLOOKUP($L$10,拡声器,2,0)</f>
        <v>#N/A</v>
      </c>
      <c r="F67" s="2420"/>
      <c r="G67" s="3279" t="s">
        <v>141</v>
      </c>
      <c r="H67" s="312"/>
      <c r="I67" s="313" t="e">
        <f>VLOOKUP($L$10,拡声器,3,0)</f>
        <v>#N/A</v>
      </c>
      <c r="J67" s="314" t="e">
        <f>VLOOKUP($L$10,拡声器,6,0)</f>
        <v>#N/A</v>
      </c>
      <c r="K67" s="318" t="e">
        <f>VLOOKUP($L$10,拡声器,9,0)</f>
        <v>#N/A</v>
      </c>
      <c r="L67" s="315" t="s">
        <v>736</v>
      </c>
      <c r="M67" s="179"/>
      <c r="N67" s="3238" t="e">
        <f>ROUNDDOWN(H69*H71,2)</f>
        <v>#N/A</v>
      </c>
      <c r="O67" s="3235" t="e">
        <f>INT(E67*N67)</f>
        <v>#N/A</v>
      </c>
      <c r="P67" s="2513">
        <f>I74</f>
        <v>0</v>
      </c>
      <c r="Q67" s="2420" t="s">
        <v>44</v>
      </c>
      <c r="R67" s="2418">
        <f>IF(ISERROR(INT(O67*P67)),0,INT(O67*P67))</f>
        <v>0</v>
      </c>
      <c r="S67" s="2420"/>
      <c r="T67" s="2200"/>
      <c r="U67" s="4" t="b">
        <f t="shared" ref="U67:U71" si="8">U$66</f>
        <v>0</v>
      </c>
    </row>
    <row r="68" spans="2:21" ht="13.5" customHeight="1">
      <c r="B68" s="3367"/>
      <c r="C68" s="2445"/>
      <c r="D68" s="2444"/>
      <c r="E68" s="2448"/>
      <c r="F68" s="2450"/>
      <c r="G68" s="3370"/>
      <c r="H68" s="337" t="e">
        <f>HLOOKUP(H67,I67:M69,2,0)</f>
        <v>#N/A</v>
      </c>
      <c r="I68" s="338" t="e">
        <f>VLOOKUP($L$10,拡声器,4,0)</f>
        <v>#N/A</v>
      </c>
      <c r="J68" s="339" t="e">
        <f>VLOOKUP($L$10,拡声器,7,0)</f>
        <v>#N/A</v>
      </c>
      <c r="K68" s="340" t="e">
        <f>VLOOKUP($L$10,拡声器,10,0)</f>
        <v>#N/A</v>
      </c>
      <c r="L68" s="341" t="str">
        <f>IF(H74&lt;&gt;0,J74,"-")</f>
        <v>-</v>
      </c>
      <c r="M68" s="9"/>
      <c r="N68" s="3239"/>
      <c r="O68" s="3236"/>
      <c r="P68" s="2459"/>
      <c r="Q68" s="2450"/>
      <c r="R68" s="2448"/>
      <c r="S68" s="2450"/>
      <c r="T68" s="2200"/>
      <c r="U68" s="4" t="b">
        <f t="shared" si="8"/>
        <v>0</v>
      </c>
    </row>
    <row r="69" spans="2:21" ht="13.5" customHeight="1">
      <c r="B69" s="3367"/>
      <c r="C69" s="2445"/>
      <c r="D69" s="2444"/>
      <c r="E69" s="2448"/>
      <c r="F69" s="2450"/>
      <c r="G69" s="3368"/>
      <c r="H69" s="307" t="e">
        <f>HLOOKUP(H67,I67:M69,3,0)</f>
        <v>#N/A</v>
      </c>
      <c r="I69" s="308" t="e">
        <f>VLOOKUP($L$10,拡声器,5,0)</f>
        <v>#N/A</v>
      </c>
      <c r="J69" s="316" t="e">
        <f>VLOOKUP($L$10,拡声器,8,0)</f>
        <v>#N/A</v>
      </c>
      <c r="K69" s="324" t="e">
        <f>VLOOKUP($L$10,拡声器,11,0)</f>
        <v>#N/A</v>
      </c>
      <c r="L69" s="309" t="str">
        <f>IF(H74&lt;&gt;0,MAX(0,ROUNDDOWN(1+(L68-J68)*IF(L68&lt;J68,(I69-J69)/(I68-J68),(J69-K69)/(J68-K68)),2)),"-")</f>
        <v>-</v>
      </c>
      <c r="M69" s="9"/>
      <c r="N69" s="3239"/>
      <c r="O69" s="3236"/>
      <c r="P69" s="2459"/>
      <c r="Q69" s="2450"/>
      <c r="R69" s="2448"/>
      <c r="S69" s="2450"/>
      <c r="T69" s="2200"/>
      <c r="U69" s="4" t="b">
        <f t="shared" si="8"/>
        <v>0</v>
      </c>
    </row>
    <row r="70" spans="2:21" ht="13.5" customHeight="1">
      <c r="B70" s="3367"/>
      <c r="C70" s="2445"/>
      <c r="D70" s="2444"/>
      <c r="E70" s="2448"/>
      <c r="F70" s="2450"/>
      <c r="G70" s="3279" t="s">
        <v>689</v>
      </c>
      <c r="H70" s="312"/>
      <c r="I70" s="313" t="e">
        <f>VLOOKUP($L$10,拡声器,12,0)</f>
        <v>#N/A</v>
      </c>
      <c r="J70" s="314" t="e">
        <f>VLOOKUP($L$10,拡声器,14,0)</f>
        <v>#N/A</v>
      </c>
      <c r="K70" s="315" t="e">
        <f>VLOOKUP($L$10,拡声器,16,0)</f>
        <v>#N/A</v>
      </c>
      <c r="L70" s="305"/>
      <c r="M70" s="126"/>
      <c r="N70" s="3239"/>
      <c r="O70" s="3236"/>
      <c r="P70" s="2459"/>
      <c r="Q70" s="2450"/>
      <c r="R70" s="2448"/>
      <c r="S70" s="2450"/>
      <c r="T70" s="2200"/>
      <c r="U70" s="4" t="b">
        <f t="shared" si="8"/>
        <v>0</v>
      </c>
    </row>
    <row r="71" spans="2:21" ht="13.5" customHeight="1">
      <c r="B71" s="3367"/>
      <c r="C71" s="2445"/>
      <c r="D71" s="2444"/>
      <c r="E71" s="2421"/>
      <c r="F71" s="2423"/>
      <c r="G71" s="3278"/>
      <c r="H71" s="307" t="e">
        <f>HLOOKUP(H70,I70:M71,2,0)</f>
        <v>#N/A</v>
      </c>
      <c r="I71" s="308" t="e">
        <f>VLOOKUP($L$10,拡声器,13,0)</f>
        <v>#N/A</v>
      </c>
      <c r="J71" s="316" t="e">
        <f>VLOOKUP($L$10,拡声器,15,0)</f>
        <v>#N/A</v>
      </c>
      <c r="K71" s="309" t="e">
        <f>VLOOKUP($L$10,拡声器,17,0)</f>
        <v>#N/A</v>
      </c>
      <c r="L71" s="310"/>
      <c r="M71" s="329"/>
      <c r="N71" s="3240"/>
      <c r="O71" s="3237"/>
      <c r="P71" s="2470"/>
      <c r="Q71" s="2423"/>
      <c r="R71" s="2421"/>
      <c r="S71" s="2423"/>
      <c r="T71" s="2200"/>
      <c r="U71" s="4" t="b">
        <f t="shared" si="8"/>
        <v>0</v>
      </c>
    </row>
    <row r="72" spans="2:21" ht="6" customHeight="1">
      <c r="B72" s="3367"/>
      <c r="C72" s="2445"/>
      <c r="D72" s="2444"/>
      <c r="E72" s="9"/>
      <c r="F72" s="9"/>
      <c r="G72" s="9"/>
      <c r="H72" s="9"/>
      <c r="I72" s="9"/>
      <c r="J72" s="9"/>
      <c r="K72" s="9"/>
      <c r="L72" s="9"/>
      <c r="M72" s="9"/>
      <c r="N72" s="9"/>
      <c r="O72" s="9"/>
      <c r="P72" s="9"/>
      <c r="Q72" s="9"/>
      <c r="R72" s="9"/>
      <c r="S72" s="10"/>
      <c r="T72" s="2200"/>
      <c r="U72" s="4" t="b">
        <f>+$H$74&lt;&gt;0</f>
        <v>0</v>
      </c>
    </row>
    <row r="73" spans="2:21" ht="13.5" customHeight="1">
      <c r="B73" s="3367"/>
      <c r="C73" s="2445"/>
      <c r="D73" s="2444"/>
      <c r="E73" s="9"/>
      <c r="F73" s="9"/>
      <c r="G73" s="3279" t="s">
        <v>736</v>
      </c>
      <c r="H73" s="1659" t="s">
        <v>748</v>
      </c>
      <c r="I73" s="1659" t="s">
        <v>142</v>
      </c>
      <c r="J73" s="1659" t="s">
        <v>143</v>
      </c>
      <c r="K73" s="9"/>
      <c r="L73" s="9"/>
      <c r="M73" s="9"/>
      <c r="N73" s="9"/>
      <c r="O73" s="9"/>
      <c r="P73" s="9"/>
      <c r="Q73" s="9"/>
      <c r="R73" s="9"/>
      <c r="S73" s="10"/>
      <c r="T73" s="2200"/>
      <c r="U73" s="4" t="b">
        <f>+$U$72</f>
        <v>0</v>
      </c>
    </row>
    <row r="74" spans="2:21" ht="13.5" customHeight="1">
      <c r="B74" s="3367"/>
      <c r="C74" s="2445"/>
      <c r="D74" s="2444"/>
      <c r="E74" s="9"/>
      <c r="F74" s="9"/>
      <c r="G74" s="3368"/>
      <c r="H74" s="2043"/>
      <c r="I74" s="342">
        <f>床・天井!J91</f>
        <v>0</v>
      </c>
      <c r="J74" s="342" t="e">
        <f>ROUNDDOWN(I74/H74,2)</f>
        <v>#DIV/0!</v>
      </c>
      <c r="K74" s="9"/>
      <c r="L74" s="9"/>
      <c r="M74" s="9"/>
      <c r="N74" s="9"/>
      <c r="O74" s="9"/>
      <c r="P74" s="9"/>
      <c r="Q74" s="9"/>
      <c r="R74" s="9"/>
      <c r="S74" s="10"/>
      <c r="T74" s="2200"/>
      <c r="U74" s="4" t="b">
        <f t="shared" ref="U74:U75" si="9">+$U$72</f>
        <v>0</v>
      </c>
    </row>
    <row r="75" spans="2:21" ht="6" customHeight="1">
      <c r="B75" s="3367"/>
      <c r="C75" s="2446"/>
      <c r="D75" s="2447"/>
      <c r="E75" s="44"/>
      <c r="F75" s="44"/>
      <c r="G75" s="44"/>
      <c r="H75" s="44"/>
      <c r="I75" s="44"/>
      <c r="J75" s="44"/>
      <c r="K75" s="44"/>
      <c r="L75" s="44"/>
      <c r="M75" s="44"/>
      <c r="N75" s="44"/>
      <c r="O75" s="44"/>
      <c r="P75" s="44"/>
      <c r="Q75" s="44"/>
      <c r="R75" s="44"/>
      <c r="S75" s="69"/>
      <c r="T75" s="2200"/>
      <c r="U75" s="4" t="b">
        <f t="shared" si="9"/>
        <v>0</v>
      </c>
    </row>
    <row r="76" spans="2:21" ht="13.5" customHeight="1">
      <c r="B76" s="3367"/>
      <c r="C76" s="1578"/>
      <c r="D76" s="1580"/>
      <c r="E76" s="3243" t="s">
        <v>111</v>
      </c>
      <c r="F76" s="3244"/>
      <c r="G76" s="1549" t="s">
        <v>112</v>
      </c>
      <c r="H76" s="1547"/>
      <c r="I76" s="1547"/>
      <c r="J76" s="1547"/>
      <c r="K76" s="1547"/>
      <c r="L76" s="1547"/>
      <c r="M76" s="1548"/>
      <c r="N76" s="1556" t="s">
        <v>458</v>
      </c>
      <c r="O76" s="1556" t="s">
        <v>113</v>
      </c>
      <c r="P76" s="1842" t="s">
        <v>114</v>
      </c>
      <c r="Q76" s="1843" t="s">
        <v>138</v>
      </c>
      <c r="R76" s="2498" t="s">
        <v>686</v>
      </c>
      <c r="S76" s="3082"/>
      <c r="T76" s="2200"/>
      <c r="U76" s="4" t="b">
        <f>P77&lt;&gt;0</f>
        <v>0</v>
      </c>
    </row>
    <row r="77" spans="2:21" ht="13.5" customHeight="1">
      <c r="B77" s="3367"/>
      <c r="C77" s="2443" t="s">
        <v>5466</v>
      </c>
      <c r="D77" s="2500"/>
      <c r="E77" s="2764" t="e">
        <f>VLOOKUP($L$10,監視カメラ,2,0)</f>
        <v>#N/A</v>
      </c>
      <c r="F77" s="2766"/>
      <c r="G77" s="792"/>
      <c r="H77" s="814"/>
      <c r="I77" s="814"/>
      <c r="J77" s="814"/>
      <c r="K77" s="814"/>
      <c r="L77" s="126"/>
      <c r="M77" s="126"/>
      <c r="N77" s="3282">
        <v>1</v>
      </c>
      <c r="O77" s="3246" t="e">
        <f>INT(E77*N77)</f>
        <v>#N/A</v>
      </c>
      <c r="P77" s="3407"/>
      <c r="Q77" s="2895" t="s">
        <v>139</v>
      </c>
      <c r="R77" s="2764">
        <f>IF(ISERROR(INT(O77*P77)),0,INT(O77*P77))</f>
        <v>0</v>
      </c>
      <c r="S77" s="2766"/>
      <c r="T77" s="2200"/>
      <c r="U77" s="4" t="b">
        <f t="shared" ref="U77:U78" si="10">U$76</f>
        <v>0</v>
      </c>
    </row>
    <row r="78" spans="2:21" ht="13.5" customHeight="1">
      <c r="B78" s="3367"/>
      <c r="C78" s="2581"/>
      <c r="D78" s="2502"/>
      <c r="E78" s="2770"/>
      <c r="F78" s="2772"/>
      <c r="G78" s="925"/>
      <c r="H78" s="813"/>
      <c r="I78" s="813"/>
      <c r="J78" s="813"/>
      <c r="K78" s="813"/>
      <c r="L78" s="813"/>
      <c r="M78" s="329"/>
      <c r="N78" s="3283"/>
      <c r="O78" s="3248"/>
      <c r="P78" s="3408"/>
      <c r="Q78" s="2898"/>
      <c r="R78" s="2770"/>
      <c r="S78" s="2772"/>
      <c r="T78" s="2200"/>
      <c r="U78" s="4" t="b">
        <f t="shared" si="10"/>
        <v>0</v>
      </c>
    </row>
    <row r="79" spans="2:21" ht="13.5" customHeight="1">
      <c r="B79" s="3367"/>
      <c r="C79" s="1555"/>
      <c r="D79" s="1718"/>
      <c r="E79" s="3243" t="s">
        <v>111</v>
      </c>
      <c r="F79" s="3244"/>
      <c r="G79" s="1549" t="s">
        <v>112</v>
      </c>
      <c r="H79" s="1547"/>
      <c r="I79" s="1547"/>
      <c r="J79" s="1547"/>
      <c r="K79" s="1547"/>
      <c r="L79" s="1547"/>
      <c r="M79" s="1548"/>
      <c r="N79" s="1556" t="s">
        <v>458</v>
      </c>
      <c r="O79" s="1556" t="s">
        <v>113</v>
      </c>
      <c r="P79" s="1842" t="s">
        <v>114</v>
      </c>
      <c r="Q79" s="1843" t="s">
        <v>685</v>
      </c>
      <c r="R79" s="2498" t="s">
        <v>686</v>
      </c>
      <c r="S79" s="3082"/>
      <c r="T79" s="2200"/>
      <c r="U79" s="4" t="b">
        <f>COUNTA(H80,H83,H89)&lt;&gt;0</f>
        <v>0</v>
      </c>
    </row>
    <row r="80" spans="2:21" ht="13.5" customHeight="1">
      <c r="B80" s="3367"/>
      <c r="C80" s="2840" t="s">
        <v>144</v>
      </c>
      <c r="D80" s="2840" t="s">
        <v>145</v>
      </c>
      <c r="E80" s="2418" t="e">
        <f>VLOOKUP($L$10,ＴＶ総体,2,0)</f>
        <v>#N/A</v>
      </c>
      <c r="F80" s="2420"/>
      <c r="G80" s="3067" t="s">
        <v>141</v>
      </c>
      <c r="H80" s="312"/>
      <c r="I80" s="313" t="e">
        <f>VLOOKUP($L$10,ＴＶ総体,3,0)</f>
        <v>#N/A</v>
      </c>
      <c r="J80" s="314" t="e">
        <f>VLOOKUP($L$10,ＴＶ総体,6,0)</f>
        <v>#N/A</v>
      </c>
      <c r="K80" s="318" t="e">
        <f>VLOOKUP($L$10,ＴＶ総体,9,0)</f>
        <v>#N/A</v>
      </c>
      <c r="L80" s="315" t="s">
        <v>736</v>
      </c>
      <c r="M80" s="179"/>
      <c r="N80" s="3238" t="e">
        <f>ROUNDDOWN(H82*H84*H86,2)</f>
        <v>#N/A</v>
      </c>
      <c r="O80" s="3235" t="e">
        <f>INT(E80*N80)</f>
        <v>#N/A</v>
      </c>
      <c r="P80" s="2513">
        <f>$P$10</f>
        <v>0</v>
      </c>
      <c r="Q80" s="2420" t="s">
        <v>44</v>
      </c>
      <c r="R80" s="2418">
        <f>IF(ISERROR(INT(O80*P80)),0,INT(O80*P80))</f>
        <v>0</v>
      </c>
      <c r="S80" s="2420"/>
      <c r="T80" s="2200"/>
      <c r="U80" s="4" t="b">
        <f t="shared" ref="U80:U86" si="11">U$79</f>
        <v>0</v>
      </c>
    </row>
    <row r="81" spans="2:21" ht="13.5" customHeight="1">
      <c r="B81" s="3367"/>
      <c r="C81" s="2885"/>
      <c r="D81" s="2885"/>
      <c r="E81" s="2448"/>
      <c r="F81" s="2450"/>
      <c r="G81" s="3054"/>
      <c r="H81" s="343" t="e">
        <f>HLOOKUP(H80,I80:M82,2,0)</f>
        <v>#N/A</v>
      </c>
      <c r="I81" s="344" t="e">
        <f>VLOOKUP($L$10,ＴＶ総体,4,0)</f>
        <v>#N/A</v>
      </c>
      <c r="J81" s="345" t="e">
        <f>VLOOKUP($L$10,ＴＶ総体,7,0)</f>
        <v>#N/A</v>
      </c>
      <c r="K81" s="346" t="e">
        <f>VLOOKUP($L$10,ＴＶ総体,10,0)</f>
        <v>#N/A</v>
      </c>
      <c r="L81" s="347" t="str">
        <f>IF(H89&lt;&gt;0,J89,"-")</f>
        <v>-</v>
      </c>
      <c r="M81" s="9" t="s">
        <v>1192</v>
      </c>
      <c r="N81" s="3239"/>
      <c r="O81" s="3236"/>
      <c r="P81" s="2459"/>
      <c r="Q81" s="2450"/>
      <c r="R81" s="2448"/>
      <c r="S81" s="2450"/>
      <c r="T81" s="2200"/>
      <c r="U81" s="4" t="b">
        <f t="shared" si="11"/>
        <v>0</v>
      </c>
    </row>
    <row r="82" spans="2:21" ht="13.5" customHeight="1">
      <c r="B82" s="3367"/>
      <c r="C82" s="2885"/>
      <c r="D82" s="2885"/>
      <c r="E82" s="2448"/>
      <c r="F82" s="2450"/>
      <c r="G82" s="3055"/>
      <c r="H82" s="307" t="e">
        <f>HLOOKUP(H80,I80:M82,3,0)</f>
        <v>#N/A</v>
      </c>
      <c r="I82" s="308" t="e">
        <f>VLOOKUP($L$10,ＴＶ総体,5,0)</f>
        <v>#N/A</v>
      </c>
      <c r="J82" s="316" t="e">
        <f>VLOOKUP($L$10,ＴＶ総体,8,0)</f>
        <v>#N/A</v>
      </c>
      <c r="K82" s="324" t="e">
        <f>VLOOKUP($L$10,ＴＶ総体,11,0)</f>
        <v>#N/A</v>
      </c>
      <c r="L82" s="309" t="str">
        <f>IF(H89&lt;&gt;0,ROUNDDOWN(1+(L81-J81)*IF(L81&gt;J81,(I82-J82)/(I81-J81),(J82-K82)/(J81-K81)),2),"-")</f>
        <v>-</v>
      </c>
      <c r="M82" s="9"/>
      <c r="N82" s="3239"/>
      <c r="O82" s="3236"/>
      <c r="P82" s="2459"/>
      <c r="Q82" s="2450"/>
      <c r="R82" s="2448"/>
      <c r="S82" s="2450"/>
      <c r="T82" s="2200"/>
      <c r="U82" s="4" t="b">
        <f t="shared" si="11"/>
        <v>0</v>
      </c>
    </row>
    <row r="83" spans="2:21" ht="13.5" customHeight="1">
      <c r="B83" s="3367"/>
      <c r="C83" s="2885"/>
      <c r="D83" s="2885"/>
      <c r="E83" s="2448"/>
      <c r="F83" s="2450"/>
      <c r="G83" s="3067" t="s">
        <v>146</v>
      </c>
      <c r="H83" s="312"/>
      <c r="I83" s="313" t="e">
        <f>VLOOKUP($L$10,ＴＶ総体,14,0)</f>
        <v>#N/A</v>
      </c>
      <c r="J83" s="315" t="e">
        <f>VLOOKUP($L$10,ＴＶ総体,16,0)</f>
        <v>#N/A</v>
      </c>
      <c r="K83" s="926"/>
      <c r="L83" s="348"/>
      <c r="M83" s="9"/>
      <c r="N83" s="3239"/>
      <c r="O83" s="3236"/>
      <c r="P83" s="2459"/>
      <c r="Q83" s="2450"/>
      <c r="R83" s="2448"/>
      <c r="S83" s="2450"/>
      <c r="T83" s="2200"/>
      <c r="U83" s="4" t="b">
        <f t="shared" si="11"/>
        <v>0</v>
      </c>
    </row>
    <row r="84" spans="2:21" ht="13.5" customHeight="1">
      <c r="B84" s="3367"/>
      <c r="C84" s="2885"/>
      <c r="D84" s="2885"/>
      <c r="E84" s="2448"/>
      <c r="F84" s="2450"/>
      <c r="G84" s="3055"/>
      <c r="H84" s="307" t="e">
        <f>HLOOKUP(H83,I83:M84,2,0)</f>
        <v>#N/A</v>
      </c>
      <c r="I84" s="308" t="e">
        <f>VLOOKUP($L$10,ＴＶ総体,15,0)</f>
        <v>#N/A</v>
      </c>
      <c r="J84" s="309" t="e">
        <f>VLOOKUP($L$10,ＴＶ総体,17,0)</f>
        <v>#N/A</v>
      </c>
      <c r="K84" s="311"/>
      <c r="L84" s="311"/>
      <c r="M84" s="9"/>
      <c r="N84" s="3239"/>
      <c r="O84" s="3236"/>
      <c r="P84" s="2459"/>
      <c r="Q84" s="2450"/>
      <c r="R84" s="2448"/>
      <c r="S84" s="2450"/>
      <c r="T84" s="2200"/>
      <c r="U84" s="4" t="b">
        <f t="shared" si="11"/>
        <v>0</v>
      </c>
    </row>
    <row r="85" spans="2:21" ht="13.5" customHeight="1">
      <c r="B85" s="3367"/>
      <c r="C85" s="2885"/>
      <c r="D85" s="2885"/>
      <c r="E85" s="2448"/>
      <c r="F85" s="2450"/>
      <c r="G85" s="2498" t="s">
        <v>667</v>
      </c>
      <c r="H85" s="325" t="e">
        <f>IF(J85="補正無",J85,$P$10)</f>
        <v>#N/A</v>
      </c>
      <c r="I85" s="326" t="e">
        <f>VLOOKUP($L$10,ＴＶ総体,18,0)</f>
        <v>#N/A</v>
      </c>
      <c r="J85" s="327" t="e">
        <f>VLOOKUP($L$10,ＴＶ総体,20,0)</f>
        <v>#N/A</v>
      </c>
      <c r="K85" s="327" t="e">
        <f>VLOOKUP($L$10,ＴＶ総体,22,0)</f>
        <v>#N/A</v>
      </c>
      <c r="L85" s="328" t="e">
        <f>VLOOKUP($L$10,ＴＶ総体,24,0)</f>
        <v>#N/A</v>
      </c>
      <c r="M85" s="126"/>
      <c r="N85" s="3239"/>
      <c r="O85" s="3236"/>
      <c r="P85" s="2459"/>
      <c r="Q85" s="2450"/>
      <c r="R85" s="2448"/>
      <c r="S85" s="2450"/>
      <c r="T85" s="2200"/>
      <c r="U85" s="4" t="b">
        <f t="shared" si="11"/>
        <v>0</v>
      </c>
    </row>
    <row r="86" spans="2:21" ht="13.5" customHeight="1">
      <c r="B86" s="3367"/>
      <c r="C86" s="2885"/>
      <c r="D86" s="2885"/>
      <c r="E86" s="2421"/>
      <c r="F86" s="2423"/>
      <c r="G86" s="3082"/>
      <c r="H86" s="307" t="e">
        <f>IF(J85="補正無",1,MIN(I86,MAX(L86,ROUNDDOWN(IF(H85&lt;J85,J86+(I86-J86)/(I85-J85)*(H85-J85),IF(H85&lt;K85,J86-(J86-K86)/(J85-K85)*(J85-H85),K86-(K86-L86)/(K85-L85)*(K85-H85))),2))))</f>
        <v>#N/A</v>
      </c>
      <c r="I86" s="308" t="e">
        <f>VLOOKUP($L$10,ＴＶ総体,19,0)</f>
        <v>#N/A</v>
      </c>
      <c r="J86" s="316" t="e">
        <f>VLOOKUP($L$10,ＴＶ総体,21,0)</f>
        <v>#N/A</v>
      </c>
      <c r="K86" s="316" t="e">
        <f>VLOOKUP($L$10,ＴＶ総体,23,0)</f>
        <v>#N/A</v>
      </c>
      <c r="L86" s="309" t="e">
        <f>VLOOKUP($L$10,ＴＶ総体,25,0)</f>
        <v>#N/A</v>
      </c>
      <c r="M86" s="329"/>
      <c r="N86" s="3240"/>
      <c r="O86" s="3237"/>
      <c r="P86" s="2470"/>
      <c r="Q86" s="2423"/>
      <c r="R86" s="2421"/>
      <c r="S86" s="2423"/>
      <c r="T86" s="2200"/>
      <c r="U86" s="4" t="b">
        <f t="shared" si="11"/>
        <v>0</v>
      </c>
    </row>
    <row r="87" spans="2:21" ht="6" customHeight="1">
      <c r="B87" s="3367"/>
      <c r="C87" s="2885"/>
      <c r="D87" s="2885"/>
      <c r="E87" s="9"/>
      <c r="F87" s="9"/>
      <c r="G87" s="9"/>
      <c r="H87" s="9"/>
      <c r="I87" s="9"/>
      <c r="J87" s="9"/>
      <c r="K87" s="9"/>
      <c r="L87" s="9"/>
      <c r="M87" s="9"/>
      <c r="N87" s="9"/>
      <c r="O87" s="9"/>
      <c r="P87" s="9"/>
      <c r="Q87" s="9"/>
      <c r="R87" s="9"/>
      <c r="S87" s="10"/>
      <c r="T87" s="2200"/>
      <c r="U87" s="4" t="b">
        <f>+H89&lt;&gt;0</f>
        <v>0</v>
      </c>
    </row>
    <row r="88" spans="2:21" ht="13.5" customHeight="1">
      <c r="B88" s="3367"/>
      <c r="C88" s="2885"/>
      <c r="D88" s="2885"/>
      <c r="E88" s="9"/>
      <c r="F88" s="9"/>
      <c r="G88" s="2498" t="s">
        <v>736</v>
      </c>
      <c r="H88" s="1556" t="s">
        <v>147</v>
      </c>
      <c r="I88" s="1556" t="s">
        <v>460</v>
      </c>
      <c r="J88" s="1841" t="s">
        <v>1191</v>
      </c>
      <c r="K88" s="9"/>
      <c r="L88" s="9"/>
      <c r="M88" s="9"/>
      <c r="N88" s="9"/>
      <c r="O88" s="9"/>
      <c r="P88" s="9"/>
      <c r="Q88" s="9"/>
      <c r="R88" s="9"/>
      <c r="S88" s="10"/>
      <c r="T88" s="2200"/>
      <c r="U88" s="4" t="b">
        <f>+$U$87</f>
        <v>0</v>
      </c>
    </row>
    <row r="89" spans="2:21" ht="13.5" customHeight="1">
      <c r="B89" s="3367"/>
      <c r="C89" s="2885"/>
      <c r="D89" s="2885"/>
      <c r="E89" s="9"/>
      <c r="F89" s="9"/>
      <c r="G89" s="3082"/>
      <c r="H89" s="2044"/>
      <c r="I89" s="330">
        <f>$P$10</f>
        <v>0</v>
      </c>
      <c r="J89" s="349" t="e">
        <f>ROUNDDOWN(H89/I89*100,3)</f>
        <v>#DIV/0!</v>
      </c>
      <c r="K89" s="9"/>
      <c r="L89" s="9"/>
      <c r="M89" s="9"/>
      <c r="N89" s="9"/>
      <c r="O89" s="9"/>
      <c r="P89" s="9"/>
      <c r="Q89" s="9"/>
      <c r="R89" s="9"/>
      <c r="S89" s="10"/>
      <c r="T89" s="2200"/>
      <c r="U89" s="4" t="b">
        <f t="shared" ref="U89:U90" si="12">+$U$87</f>
        <v>0</v>
      </c>
    </row>
    <row r="90" spans="2:21" ht="5.5" customHeight="1">
      <c r="B90" s="3367"/>
      <c r="C90" s="2885"/>
      <c r="D90" s="3371"/>
      <c r="E90" s="44"/>
      <c r="F90" s="44"/>
      <c r="G90" s="44"/>
      <c r="H90" s="44"/>
      <c r="I90" s="44"/>
      <c r="J90" s="44"/>
      <c r="K90" s="44"/>
      <c r="L90" s="44"/>
      <c r="M90" s="44"/>
      <c r="N90" s="44"/>
      <c r="O90" s="44"/>
      <c r="P90" s="44"/>
      <c r="Q90" s="44"/>
      <c r="R90" s="44"/>
      <c r="S90" s="69"/>
      <c r="T90" s="2200"/>
      <c r="U90" s="4" t="b">
        <f t="shared" si="12"/>
        <v>0</v>
      </c>
    </row>
    <row r="91" spans="2:21" ht="13.5" customHeight="1">
      <c r="B91" s="3367"/>
      <c r="C91" s="2885"/>
      <c r="D91" s="1844"/>
      <c r="E91" s="3243" t="s">
        <v>111</v>
      </c>
      <c r="F91" s="3244"/>
      <c r="G91" s="1549" t="s">
        <v>112</v>
      </c>
      <c r="H91" s="1547"/>
      <c r="I91" s="1547"/>
      <c r="J91" s="1547"/>
      <c r="K91" s="1547"/>
      <c r="L91" s="1547"/>
      <c r="M91" s="1548"/>
      <c r="N91" s="1556" t="s">
        <v>458</v>
      </c>
      <c r="O91" s="1556" t="s">
        <v>113</v>
      </c>
      <c r="P91" s="1842" t="s">
        <v>114</v>
      </c>
      <c r="Q91" s="1843" t="s">
        <v>132</v>
      </c>
      <c r="R91" s="2498" t="s">
        <v>686</v>
      </c>
      <c r="S91" s="3082"/>
      <c r="T91" s="2200"/>
      <c r="U91" s="4" t="b">
        <f>COUNTA(H92,H95,H99)&lt;&gt;0</f>
        <v>0</v>
      </c>
    </row>
    <row r="92" spans="2:21" ht="13.5" customHeight="1">
      <c r="B92" s="3367"/>
      <c r="C92" s="2885"/>
      <c r="D92" s="2840" t="s">
        <v>148</v>
      </c>
      <c r="E92" s="2418" t="e">
        <f>VLOOKUP($L$10,ＴＶ局所,2,0)</f>
        <v>#N/A</v>
      </c>
      <c r="F92" s="2420"/>
      <c r="G92" s="3067" t="s">
        <v>141</v>
      </c>
      <c r="H92" s="312"/>
      <c r="I92" s="313" t="e">
        <f>VLOOKUP($L$10,ＴＶ局所,3,0)</f>
        <v>#N/A</v>
      </c>
      <c r="J92" s="314" t="e">
        <f>VLOOKUP($L$10,ＴＶ局所,6,0)</f>
        <v>#N/A</v>
      </c>
      <c r="K92" s="318" t="e">
        <f>VLOOKUP($L$10,ＴＶ局所,9,0)</f>
        <v>#N/A</v>
      </c>
      <c r="L92" s="315" t="s">
        <v>736</v>
      </c>
      <c r="M92" s="179"/>
      <c r="N92" s="3238" t="e">
        <f>ROUNDDOWN(H94*H96,2)</f>
        <v>#N/A</v>
      </c>
      <c r="O92" s="3235" t="e">
        <f>INT(E92*N92)</f>
        <v>#N/A</v>
      </c>
      <c r="P92" s="3271"/>
      <c r="Q92" s="2420" t="s">
        <v>133</v>
      </c>
      <c r="R92" s="2418">
        <f>IF(ISERROR(INT(O92*P92)),0,INT(O92*P92))</f>
        <v>0</v>
      </c>
      <c r="S92" s="2420"/>
      <c r="T92" s="2200"/>
      <c r="U92" s="4" t="b">
        <f t="shared" ref="U92:U96" si="13">U$91</f>
        <v>0</v>
      </c>
    </row>
    <row r="93" spans="2:21" ht="13.5" customHeight="1">
      <c r="B93" s="3367"/>
      <c r="C93" s="2885"/>
      <c r="D93" s="2885"/>
      <c r="E93" s="2448"/>
      <c r="F93" s="2450"/>
      <c r="G93" s="3054"/>
      <c r="H93" s="350" t="e">
        <f>HLOOKUP(H92,I92:M94,2,0)</f>
        <v>#N/A</v>
      </c>
      <c r="I93" s="351" t="e">
        <f>VLOOKUP($L$10,ＴＶ局所,4,0)</f>
        <v>#N/A</v>
      </c>
      <c r="J93" s="352" t="e">
        <f>VLOOKUP($L$10,ＴＶ局所,7,0)</f>
        <v>#N/A</v>
      </c>
      <c r="K93" s="353" t="e">
        <f>VLOOKUP($L$10,ＴＶ局所,10,0)</f>
        <v>#N/A</v>
      </c>
      <c r="L93" s="354" t="e">
        <f>J99</f>
        <v>#DIV/0!</v>
      </c>
      <c r="M93" s="9"/>
      <c r="N93" s="3239"/>
      <c r="O93" s="3236"/>
      <c r="P93" s="3294"/>
      <c r="Q93" s="2450"/>
      <c r="R93" s="2448"/>
      <c r="S93" s="2450"/>
      <c r="T93" s="2200"/>
      <c r="U93" s="4" t="b">
        <f t="shared" si="13"/>
        <v>0</v>
      </c>
    </row>
    <row r="94" spans="2:21" ht="13.5" customHeight="1">
      <c r="B94" s="3367"/>
      <c r="C94" s="2885"/>
      <c r="D94" s="2885"/>
      <c r="E94" s="2448"/>
      <c r="F94" s="2450"/>
      <c r="G94" s="3055"/>
      <c r="H94" s="307" t="e">
        <f>HLOOKUP(H92,I92:M94,3,0)</f>
        <v>#N/A</v>
      </c>
      <c r="I94" s="308" t="e">
        <f>VLOOKUP($L$10,ＴＶ局所,5,0)</f>
        <v>#N/A</v>
      </c>
      <c r="J94" s="316" t="e">
        <f>VLOOKUP($L$10,ＴＶ局所,8,0)</f>
        <v>#N/A</v>
      </c>
      <c r="K94" s="324" t="e">
        <f>VLOOKUP($L$10,ＴＶ局所,11,0)</f>
        <v>#N/A</v>
      </c>
      <c r="L94" s="309" t="e">
        <f>ROUNDDOWN(IF(L93&gt;J93,1+(I94-J94)/(I93-J93)*(L93-J93),1-(J94-K94)/(J93-K93)*(J93-L93)),2)</f>
        <v>#DIV/0!</v>
      </c>
      <c r="M94" s="9"/>
      <c r="N94" s="3239"/>
      <c r="O94" s="3236"/>
      <c r="P94" s="3294"/>
      <c r="Q94" s="2450"/>
      <c r="R94" s="2448"/>
      <c r="S94" s="2450"/>
      <c r="T94" s="2200"/>
      <c r="U94" s="4" t="b">
        <f t="shared" si="13"/>
        <v>0</v>
      </c>
    </row>
    <row r="95" spans="2:21" ht="13.5" customHeight="1">
      <c r="B95" s="3367"/>
      <c r="C95" s="2885"/>
      <c r="D95" s="2885"/>
      <c r="E95" s="2448"/>
      <c r="F95" s="2450"/>
      <c r="G95" s="3067" t="s">
        <v>146</v>
      </c>
      <c r="H95" s="312"/>
      <c r="I95" s="313" t="e">
        <f>VLOOKUP($L$10,ＴＶ局所,14,0)</f>
        <v>#N/A</v>
      </c>
      <c r="J95" s="315" t="e">
        <f>VLOOKUP($L$10,ＴＶ局所,16,0)</f>
        <v>#N/A</v>
      </c>
      <c r="K95" s="311"/>
      <c r="L95" s="355"/>
      <c r="M95" s="9"/>
      <c r="N95" s="3239"/>
      <c r="O95" s="3236"/>
      <c r="P95" s="3294"/>
      <c r="Q95" s="2450"/>
      <c r="R95" s="2448"/>
      <c r="S95" s="2450"/>
      <c r="T95" s="2200"/>
      <c r="U95" s="4" t="b">
        <f t="shared" si="13"/>
        <v>0</v>
      </c>
    </row>
    <row r="96" spans="2:21" ht="13.5" customHeight="1">
      <c r="B96" s="3367"/>
      <c r="C96" s="2885"/>
      <c r="D96" s="2885"/>
      <c r="E96" s="2421"/>
      <c r="F96" s="2423"/>
      <c r="G96" s="3055"/>
      <c r="H96" s="307" t="e">
        <f>HLOOKUP(H95,I95:M96,2,0)</f>
        <v>#N/A</v>
      </c>
      <c r="I96" s="308" t="e">
        <f>VLOOKUP($L$10,ＴＶ局所,15,0)</f>
        <v>#N/A</v>
      </c>
      <c r="J96" s="309" t="e">
        <f>VLOOKUP($L$10,ＴＶ局所,17,0)</f>
        <v>#N/A</v>
      </c>
      <c r="K96" s="329"/>
      <c r="L96" s="329"/>
      <c r="M96" s="44"/>
      <c r="N96" s="3240"/>
      <c r="O96" s="3237"/>
      <c r="P96" s="3295"/>
      <c r="Q96" s="2423"/>
      <c r="R96" s="2421"/>
      <c r="S96" s="2423"/>
      <c r="T96" s="2200"/>
      <c r="U96" s="4" t="b">
        <f t="shared" si="13"/>
        <v>0</v>
      </c>
    </row>
    <row r="97" spans="2:21" ht="6" customHeight="1">
      <c r="B97" s="3367"/>
      <c r="C97" s="2885"/>
      <c r="D97" s="2885"/>
      <c r="E97" s="9"/>
      <c r="F97" s="9"/>
      <c r="G97" s="9"/>
      <c r="H97" s="9"/>
      <c r="I97" s="9"/>
      <c r="J97" s="9"/>
      <c r="K97" s="9"/>
      <c r="L97" s="9"/>
      <c r="M97" s="9"/>
      <c r="N97" s="9"/>
      <c r="O97" s="9"/>
      <c r="P97" s="9"/>
      <c r="Q97" s="9"/>
      <c r="R97" s="9"/>
      <c r="S97" s="10"/>
      <c r="T97" s="2200"/>
      <c r="U97" s="4" t="b">
        <f>H$99&lt;&gt;0</f>
        <v>0</v>
      </c>
    </row>
    <row r="98" spans="2:21" ht="13.5" customHeight="1">
      <c r="B98" s="3367"/>
      <c r="C98" s="2885"/>
      <c r="D98" s="2885"/>
      <c r="E98" s="9"/>
      <c r="F98" s="9"/>
      <c r="G98" s="2498" t="s">
        <v>736</v>
      </c>
      <c r="H98" s="1556" t="s">
        <v>149</v>
      </c>
      <c r="I98" s="1556" t="s">
        <v>150</v>
      </c>
      <c r="J98" s="1841" t="s">
        <v>151</v>
      </c>
      <c r="K98" s="9"/>
      <c r="L98" s="9"/>
      <c r="M98" s="9"/>
      <c r="N98" s="9"/>
      <c r="O98" s="9"/>
      <c r="P98" s="9"/>
      <c r="Q98" s="9"/>
      <c r="R98" s="9"/>
      <c r="S98" s="10"/>
      <c r="T98" s="2200"/>
      <c r="U98" s="4" t="b">
        <f>+$U$97</f>
        <v>0</v>
      </c>
    </row>
    <row r="99" spans="2:21" ht="13.5" customHeight="1">
      <c r="B99" s="3367"/>
      <c r="C99" s="2885"/>
      <c r="D99" s="2885"/>
      <c r="E99" s="9"/>
      <c r="F99" s="9"/>
      <c r="G99" s="3082"/>
      <c r="H99" s="2044"/>
      <c r="I99" s="719">
        <f>+P92</f>
        <v>0</v>
      </c>
      <c r="J99" s="356" t="e">
        <f>ROUNDDOWN(H99/I99,2)</f>
        <v>#DIV/0!</v>
      </c>
      <c r="K99" s="9"/>
      <c r="L99" s="9"/>
      <c r="M99" s="9"/>
      <c r="N99" s="9"/>
      <c r="O99" s="9"/>
      <c r="P99" s="9"/>
      <c r="Q99" s="9"/>
      <c r="R99" s="9"/>
      <c r="S99" s="10"/>
      <c r="T99" s="2200"/>
      <c r="U99" s="4" t="b">
        <f t="shared" ref="U99:U100" si="14">+$U$97</f>
        <v>0</v>
      </c>
    </row>
    <row r="100" spans="2:21" ht="6" customHeight="1">
      <c r="B100" s="3367"/>
      <c r="C100" s="2886"/>
      <c r="D100" s="3371"/>
      <c r="E100" s="44"/>
      <c r="F100" s="44"/>
      <c r="G100" s="44"/>
      <c r="H100" s="44"/>
      <c r="I100" s="44"/>
      <c r="J100" s="44"/>
      <c r="K100" s="44"/>
      <c r="L100" s="44"/>
      <c r="M100" s="44"/>
      <c r="N100" s="44"/>
      <c r="O100" s="44"/>
      <c r="P100" s="44"/>
      <c r="Q100" s="44"/>
      <c r="R100" s="44"/>
      <c r="S100" s="69"/>
      <c r="T100" s="2200"/>
      <c r="U100" s="4" t="b">
        <f t="shared" si="14"/>
        <v>0</v>
      </c>
    </row>
    <row r="101" spans="2:21" ht="13.5" customHeight="1">
      <c r="B101" s="1833"/>
      <c r="C101" s="1845"/>
      <c r="D101" s="1846"/>
      <c r="E101" s="3243" t="s">
        <v>111</v>
      </c>
      <c r="F101" s="3244"/>
      <c r="G101" s="1549" t="s">
        <v>112</v>
      </c>
      <c r="H101" s="1547"/>
      <c r="I101" s="1547"/>
      <c r="J101" s="1547"/>
      <c r="K101" s="1547"/>
      <c r="L101" s="1547"/>
      <c r="M101" s="1548"/>
      <c r="N101" s="1556" t="s">
        <v>458</v>
      </c>
      <c r="O101" s="1556" t="s">
        <v>113</v>
      </c>
      <c r="P101" s="1842" t="s">
        <v>114</v>
      </c>
      <c r="Q101" s="1847" t="s">
        <v>5333</v>
      </c>
      <c r="R101" s="2498" t="s">
        <v>686</v>
      </c>
      <c r="S101" s="3082"/>
      <c r="T101" s="2200"/>
      <c r="U101" s="4" t="b">
        <f>COUNTA(H102)&lt;&gt;0</f>
        <v>0</v>
      </c>
    </row>
    <row r="102" spans="2:21" ht="13.5" customHeight="1">
      <c r="B102" s="3369" t="s">
        <v>152</v>
      </c>
      <c r="C102" s="2443" t="s">
        <v>5486</v>
      </c>
      <c r="D102" s="2500"/>
      <c r="E102" s="3260" t="e">
        <f>VLOOKUP($L$10,給水小,2,0)</f>
        <v>#N/A</v>
      </c>
      <c r="F102" s="2766"/>
      <c r="G102" s="2498" t="s">
        <v>5334</v>
      </c>
      <c r="H102" s="927"/>
      <c r="I102" s="928" t="e">
        <f>VLOOKUP($L$10,給水小,3,0)</f>
        <v>#N/A</v>
      </c>
      <c r="J102" s="929" t="e">
        <f>VLOOKUP($L$10,給水小,5,0)</f>
        <v>#N/A</v>
      </c>
      <c r="K102" s="929" t="e">
        <f>VLOOKUP($L$10,給水小,7,0)</f>
        <v>#N/A</v>
      </c>
      <c r="L102" s="315" t="s">
        <v>5357</v>
      </c>
      <c r="M102" s="1556" t="s">
        <v>5334</v>
      </c>
      <c r="N102" s="3282" t="e">
        <f>ROUNDDOWN(H103,2)</f>
        <v>#N/A</v>
      </c>
      <c r="O102" s="3246" t="e">
        <f>INT(E102*N102)</f>
        <v>#N/A</v>
      </c>
      <c r="P102" s="3297"/>
      <c r="Q102" s="3291" t="s">
        <v>5336</v>
      </c>
      <c r="R102" s="3260">
        <f>IF(ISERROR(INT(O102*P102)),0,INT(O102*P102))</f>
        <v>0</v>
      </c>
      <c r="S102" s="2766"/>
      <c r="T102" s="2200"/>
      <c r="U102" s="4" t="b">
        <f t="shared" ref="U102:U103" si="15">U$101</f>
        <v>0</v>
      </c>
    </row>
    <row r="103" spans="2:21" ht="13.5" customHeight="1">
      <c r="B103" s="3367"/>
      <c r="C103" s="2445"/>
      <c r="D103" s="2500"/>
      <c r="E103" s="2767"/>
      <c r="F103" s="2769"/>
      <c r="G103" s="3082"/>
      <c r="H103" s="307" t="e">
        <f>HLOOKUP(H102,I102:M103,2,0)</f>
        <v>#N/A</v>
      </c>
      <c r="I103" s="308" t="e">
        <f>VLOOKUP($L$10,給水小,4,0)</f>
        <v>#N/A</v>
      </c>
      <c r="J103" s="316" t="e">
        <f>VLOOKUP($L$10,給水小,6,0)</f>
        <v>#N/A</v>
      </c>
      <c r="K103" s="316" t="e">
        <f>VLOOKUP($L$10,給水小,8,0)</f>
        <v>#N/A</v>
      </c>
      <c r="L103" s="309" t="str">
        <f>IF(M103,ROUNDDOWN(1+(M103-J102)*IF(M103&gt;J102,(I103-J103)/(I102-J102),(J103-K103)/(J102-K102)),2),"－")</f>
        <v>－</v>
      </c>
      <c r="M103" s="2045"/>
      <c r="N103" s="3283"/>
      <c r="O103" s="3248"/>
      <c r="P103" s="3298"/>
      <c r="Q103" s="3292"/>
      <c r="R103" s="2770"/>
      <c r="S103" s="2772"/>
      <c r="T103" s="2200"/>
      <c r="U103" s="4" t="b">
        <f t="shared" si="15"/>
        <v>0</v>
      </c>
    </row>
    <row r="104" spans="2:21" ht="13.5" customHeight="1">
      <c r="B104" s="3367"/>
      <c r="C104" s="1845"/>
      <c r="D104" s="1846"/>
      <c r="E104" s="3243" t="s">
        <v>111</v>
      </c>
      <c r="F104" s="3244"/>
      <c r="G104" s="1549" t="s">
        <v>112</v>
      </c>
      <c r="H104" s="1547"/>
      <c r="I104" s="1547"/>
      <c r="J104" s="1547"/>
      <c r="K104" s="1547"/>
      <c r="L104" s="1547"/>
      <c r="M104" s="1548"/>
      <c r="N104" s="1556" t="s">
        <v>458</v>
      </c>
      <c r="O104" s="1556" t="s">
        <v>113</v>
      </c>
      <c r="P104" s="1842" t="s">
        <v>114</v>
      </c>
      <c r="Q104" s="1843" t="s">
        <v>5333</v>
      </c>
      <c r="R104" s="2498" t="s">
        <v>686</v>
      </c>
      <c r="S104" s="3082"/>
      <c r="T104" s="2200"/>
      <c r="U104" s="4" t="b">
        <f>COUNTA(H105)&lt;&gt;0</f>
        <v>0</v>
      </c>
    </row>
    <row r="105" spans="2:21" ht="13.5" customHeight="1">
      <c r="B105" s="3367"/>
      <c r="C105" s="2443" t="s">
        <v>5358</v>
      </c>
      <c r="D105" s="2500"/>
      <c r="E105" s="3260" t="e">
        <f>VLOOKUP($L$10,給水大,2,0)</f>
        <v>#N/A</v>
      </c>
      <c r="F105" s="2766"/>
      <c r="G105" s="2498" t="s">
        <v>5334</v>
      </c>
      <c r="H105" s="927"/>
      <c r="I105" s="928" t="e">
        <f>VLOOKUP($L$10,給水大,3,0)</f>
        <v>#N/A</v>
      </c>
      <c r="J105" s="929" t="e">
        <f>VLOOKUP($L$10,給水大,5,0)</f>
        <v>#N/A</v>
      </c>
      <c r="K105" s="929" t="e">
        <f>VLOOKUP($L$10,給水大,7,0)</f>
        <v>#N/A</v>
      </c>
      <c r="L105" s="315" t="s">
        <v>5357</v>
      </c>
      <c r="M105" s="1556" t="s">
        <v>5334</v>
      </c>
      <c r="N105" s="3282" t="e">
        <f>ROUNDDOWN(H106,2)</f>
        <v>#N/A</v>
      </c>
      <c r="O105" s="3246" t="e">
        <f>INT(E105*N105)</f>
        <v>#N/A</v>
      </c>
      <c r="P105" s="3297"/>
      <c r="Q105" s="3291" t="s">
        <v>5336</v>
      </c>
      <c r="R105" s="3260">
        <f>IF(ISERROR(INT(O105*P105)),0,INT(O105*P105))</f>
        <v>0</v>
      </c>
      <c r="S105" s="2766"/>
      <c r="T105" s="2200"/>
      <c r="U105" s="4" t="b">
        <f>U$104</f>
        <v>0</v>
      </c>
    </row>
    <row r="106" spans="2:21" ht="13.5" customHeight="1">
      <c r="B106" s="3367"/>
      <c r="C106" s="2445"/>
      <c r="D106" s="2500"/>
      <c r="E106" s="2767"/>
      <c r="F106" s="2769"/>
      <c r="G106" s="3082"/>
      <c r="H106" s="307" t="e">
        <f>HLOOKUP(H105,I105:M106,2,0)</f>
        <v>#N/A</v>
      </c>
      <c r="I106" s="308" t="e">
        <f>VLOOKUP($L$10,給水大,4,0)</f>
        <v>#N/A</v>
      </c>
      <c r="J106" s="316" t="e">
        <f>VLOOKUP($L$10,給水大,6,0)</f>
        <v>#N/A</v>
      </c>
      <c r="K106" s="316" t="e">
        <f>VLOOKUP($L$10,給水大,8,0)</f>
        <v>#N/A</v>
      </c>
      <c r="L106" s="309" t="str">
        <f>IF(M106,ROUNDDOWN(1+(M106-J105)*IF(M106&gt;J105,(I106-J106)/(I105-J105),(J106-K106)/(J105-K105)),2),"－")</f>
        <v>－</v>
      </c>
      <c r="M106" s="2045"/>
      <c r="N106" s="3283"/>
      <c r="O106" s="3248"/>
      <c r="P106" s="3298"/>
      <c r="Q106" s="3292"/>
      <c r="R106" s="2770"/>
      <c r="S106" s="2772"/>
      <c r="T106" s="2200"/>
      <c r="U106" s="4" t="b">
        <f>U$104</f>
        <v>0</v>
      </c>
    </row>
    <row r="107" spans="2:21" ht="13.5" customHeight="1">
      <c r="B107" s="3367"/>
      <c r="C107" s="1845"/>
      <c r="D107" s="1846"/>
      <c r="E107" s="3243" t="s">
        <v>111</v>
      </c>
      <c r="F107" s="3244"/>
      <c r="G107" s="1549" t="s">
        <v>112</v>
      </c>
      <c r="H107" s="1547"/>
      <c r="I107" s="1547"/>
      <c r="J107" s="1547"/>
      <c r="K107" s="1547"/>
      <c r="L107" s="1547"/>
      <c r="M107" s="1548"/>
      <c r="N107" s="1556" t="s">
        <v>458</v>
      </c>
      <c r="O107" s="1556" t="s">
        <v>113</v>
      </c>
      <c r="P107" s="1842" t="s">
        <v>114</v>
      </c>
      <c r="Q107" s="1843" t="s">
        <v>5360</v>
      </c>
      <c r="R107" s="2498" t="s">
        <v>686</v>
      </c>
      <c r="S107" s="3082"/>
      <c r="T107" s="2200"/>
      <c r="U107" s="4" t="b">
        <f>COUNTA(H108)&lt;&gt;0</f>
        <v>0</v>
      </c>
    </row>
    <row r="108" spans="2:21" ht="13.5" customHeight="1">
      <c r="B108" s="3367"/>
      <c r="C108" s="2443" t="s">
        <v>5343</v>
      </c>
      <c r="D108" s="2500"/>
      <c r="E108" s="3260" t="e">
        <f>VLOOKUP($L$10,受水槽,2,0)</f>
        <v>#N/A</v>
      </c>
      <c r="F108" s="2766"/>
      <c r="G108" s="2498" t="s">
        <v>164</v>
      </c>
      <c r="H108" s="930"/>
      <c r="I108" s="397" t="e">
        <f>VLOOKUP($L$10,受水槽,3,0)</f>
        <v>#N/A</v>
      </c>
      <c r="J108" s="398" t="e">
        <f>VLOOKUP($L$10,受水槽,5,0)</f>
        <v>#N/A</v>
      </c>
      <c r="K108" s="398" t="e">
        <f>VLOOKUP($L$10,受水槽,7,0)</f>
        <v>#N/A</v>
      </c>
      <c r="L108" s="315" t="s">
        <v>5357</v>
      </c>
      <c r="M108" s="1556" t="s">
        <v>164</v>
      </c>
      <c r="N108" s="3282" t="e">
        <f>ROUNDDOWN(H109,2)</f>
        <v>#N/A</v>
      </c>
      <c r="O108" s="3246" t="e">
        <f>INT(E108*N108)</f>
        <v>#N/A</v>
      </c>
      <c r="P108" s="3297"/>
      <c r="Q108" s="3291" t="s">
        <v>5359</v>
      </c>
      <c r="R108" s="3260">
        <f>IF(ISERROR(INT(O108*P108)),0,INT(O108*P108))</f>
        <v>0</v>
      </c>
      <c r="S108" s="2766"/>
      <c r="T108" s="2200"/>
      <c r="U108" s="4" t="b">
        <f>U$107</f>
        <v>0</v>
      </c>
    </row>
    <row r="109" spans="2:21" ht="13.5" customHeight="1">
      <c r="B109" s="3367"/>
      <c r="C109" s="2445"/>
      <c r="D109" s="2500"/>
      <c r="E109" s="2767"/>
      <c r="F109" s="2769"/>
      <c r="G109" s="3082"/>
      <c r="H109" s="307" t="e">
        <f>HLOOKUP(H108,I108:M109,2,0)</f>
        <v>#N/A</v>
      </c>
      <c r="I109" s="308" t="e">
        <f>VLOOKUP($L$10,受水槽,4,0)</f>
        <v>#N/A</v>
      </c>
      <c r="J109" s="316" t="e">
        <f>VLOOKUP($L$10,受水槽,6,0)</f>
        <v>#N/A</v>
      </c>
      <c r="K109" s="316" t="e">
        <f>VLOOKUP($L$10,受水槽,8,0)</f>
        <v>#N/A</v>
      </c>
      <c r="L109" s="309" t="str">
        <f>IF(M109,ROUNDDOWN(1+(M109-J108)*IF(M109&gt;J108,(I109-J109)/(I108-J108),(J109-K109)/(J108-K108)),2),"－")</f>
        <v>－</v>
      </c>
      <c r="M109" s="2046"/>
      <c r="N109" s="3283"/>
      <c r="O109" s="3248"/>
      <c r="P109" s="3298"/>
      <c r="Q109" s="3292"/>
      <c r="R109" s="2770"/>
      <c r="S109" s="2772"/>
      <c r="T109" s="2200"/>
      <c r="U109" s="4" t="b">
        <f>U$107</f>
        <v>0</v>
      </c>
    </row>
    <row r="110" spans="2:21" ht="13.5" customHeight="1">
      <c r="B110" s="3367"/>
      <c r="C110" s="1845"/>
      <c r="D110" s="1846"/>
      <c r="E110" s="3243" t="s">
        <v>111</v>
      </c>
      <c r="F110" s="3244"/>
      <c r="G110" s="1549" t="s">
        <v>112</v>
      </c>
      <c r="H110" s="1547"/>
      <c r="I110" s="1547"/>
      <c r="J110" s="1547"/>
      <c r="K110" s="1547"/>
      <c r="L110" s="1547"/>
      <c r="M110" s="1548"/>
      <c r="N110" s="1556" t="s">
        <v>458</v>
      </c>
      <c r="O110" s="1556" t="s">
        <v>113</v>
      </c>
      <c r="P110" s="1842" t="s">
        <v>114</v>
      </c>
      <c r="Q110" s="1843" t="s">
        <v>5363</v>
      </c>
      <c r="R110" s="2498" t="s">
        <v>686</v>
      </c>
      <c r="S110" s="3082"/>
      <c r="T110" s="2200"/>
      <c r="U110" s="4" t="b">
        <f>COUNTA(H111,H113,P111)&lt;&gt;0</f>
        <v>0</v>
      </c>
    </row>
    <row r="111" spans="2:21" ht="13.5" customHeight="1">
      <c r="B111" s="3367"/>
      <c r="C111" s="2443" t="s">
        <v>5361</v>
      </c>
      <c r="D111" s="2500"/>
      <c r="E111" s="3260" t="e">
        <f>VLOOKUP($L$10,増圧ポンプ,2,0)</f>
        <v>#N/A</v>
      </c>
      <c r="F111" s="2766"/>
      <c r="G111" s="2498" t="s">
        <v>5345</v>
      </c>
      <c r="H111" s="931"/>
      <c r="I111" s="932" t="e">
        <f>VLOOKUP($L$10,増圧ポンプ,3,0)</f>
        <v>#N/A</v>
      </c>
      <c r="J111" s="933" t="e">
        <f>VLOOKUP($L$10,増圧ポンプ,5,0)</f>
        <v>#N/A</v>
      </c>
      <c r="K111" s="933" t="e">
        <f>VLOOKUP($L$10,増圧ポンプ,7,0)</f>
        <v>#N/A</v>
      </c>
      <c r="L111" s="315" t="s">
        <v>5357</v>
      </c>
      <c r="M111" s="1556" t="s">
        <v>5345</v>
      </c>
      <c r="N111" s="3282" t="e">
        <f>ROUNDDOWN(H112*H114,2)</f>
        <v>#N/A</v>
      </c>
      <c r="O111" s="3246" t="e">
        <f>INT(E111*N111)</f>
        <v>#N/A</v>
      </c>
      <c r="P111" s="3299"/>
      <c r="Q111" s="3291" t="s">
        <v>5362</v>
      </c>
      <c r="R111" s="3260">
        <f>IF(ISERROR(INT(O111*P111)),0,INT(O111*P111))</f>
        <v>0</v>
      </c>
      <c r="S111" s="2766"/>
      <c r="T111" s="2200"/>
      <c r="U111" s="4" t="b">
        <f>U$110</f>
        <v>0</v>
      </c>
    </row>
    <row r="112" spans="2:21" ht="13.5" customHeight="1">
      <c r="B112" s="3367"/>
      <c r="C112" s="2445"/>
      <c r="D112" s="2500"/>
      <c r="E112" s="2767"/>
      <c r="F112" s="2769"/>
      <c r="G112" s="3082"/>
      <c r="H112" s="307" t="e">
        <f t="shared" ref="H112" si="16">HLOOKUP(H111,I111:M112,2,0)</f>
        <v>#N/A</v>
      </c>
      <c r="I112" s="308" t="e">
        <f>VLOOKUP($L$10,増圧ポンプ,4,0)</f>
        <v>#N/A</v>
      </c>
      <c r="J112" s="316" t="e">
        <f>VLOOKUP($L$10,増圧ポンプ,6,0)</f>
        <v>#N/A</v>
      </c>
      <c r="K112" s="316" t="e">
        <f>VLOOKUP($L$10,増圧ポンプ,8,0)</f>
        <v>#N/A</v>
      </c>
      <c r="L112" s="309" t="str">
        <f t="shared" ref="L112" si="17">IF(M112,ROUNDDOWN(1+(M112-J111)*IF(M112&gt;J111,(I112-J112)/(I111-J111),(J112-K112)/(J111-K111)),2),"－")</f>
        <v>－</v>
      </c>
      <c r="M112" s="2047"/>
      <c r="N112" s="3296"/>
      <c r="O112" s="3247"/>
      <c r="P112" s="3300"/>
      <c r="Q112" s="3293"/>
      <c r="R112" s="2767"/>
      <c r="S112" s="2769"/>
      <c r="T112" s="2200"/>
      <c r="U112" s="4" t="b">
        <f t="shared" ref="U112:U114" si="18">U$110</f>
        <v>0</v>
      </c>
    </row>
    <row r="113" spans="2:21" ht="13.5" customHeight="1">
      <c r="B113" s="3367"/>
      <c r="C113" s="2445"/>
      <c r="D113" s="2500"/>
      <c r="E113" s="2767" t="e">
        <f>VLOOKUP($L$10,受水槽,2,0)</f>
        <v>#N/A</v>
      </c>
      <c r="F113" s="2769"/>
      <c r="G113" s="2498" t="s">
        <v>5346</v>
      </c>
      <c r="H113" s="934"/>
      <c r="I113" s="400" t="e">
        <f>VLOOKUP($L$10,増圧ポンプ,9,0)</f>
        <v>#N/A</v>
      </c>
      <c r="J113" s="401" t="e">
        <f>VLOOKUP($L$10,増圧ポンプ,11,0)</f>
        <v>#N/A</v>
      </c>
      <c r="K113" s="401" t="e">
        <f>VLOOKUP($L$10,増圧ポンプ,13,0)</f>
        <v>#N/A</v>
      </c>
      <c r="L113" s="315" t="s">
        <v>5357</v>
      </c>
      <c r="M113" s="1556" t="s">
        <v>5346</v>
      </c>
      <c r="N113" s="3296"/>
      <c r="O113" s="3247"/>
      <c r="P113" s="3300"/>
      <c r="Q113" s="3293"/>
      <c r="R113" s="2767"/>
      <c r="S113" s="2769"/>
      <c r="T113" s="2200"/>
      <c r="U113" s="4" t="b">
        <f t="shared" si="18"/>
        <v>0</v>
      </c>
    </row>
    <row r="114" spans="2:21" ht="13.5" customHeight="1">
      <c r="B114" s="3367"/>
      <c r="C114" s="2581"/>
      <c r="D114" s="2502"/>
      <c r="E114" s="2770"/>
      <c r="F114" s="2772"/>
      <c r="G114" s="3082"/>
      <c r="H114" s="307" t="e">
        <f t="shared" ref="H114" si="19">HLOOKUP(H113,I113:M114,2,0)</f>
        <v>#N/A</v>
      </c>
      <c r="I114" s="308" t="e">
        <f>VLOOKUP($L$10,増圧ポンプ,10,0)</f>
        <v>#N/A</v>
      </c>
      <c r="J114" s="316" t="e">
        <f>VLOOKUP($L$10,増圧ポンプ,12,0)</f>
        <v>#N/A</v>
      </c>
      <c r="K114" s="316" t="e">
        <f>VLOOKUP($L$10,増圧ポンプ,14,0)</f>
        <v>#N/A</v>
      </c>
      <c r="L114" s="309" t="str">
        <f t="shared" ref="L114" si="20">IF(M114,ROUNDDOWN(1+(M114-J113)*IF(M114&gt;J113,(I114-J114)/(I113-J113),(J114-K114)/(J113-K113)),2),"－")</f>
        <v>－</v>
      </c>
      <c r="M114" s="2048"/>
      <c r="N114" s="3283"/>
      <c r="O114" s="3248"/>
      <c r="P114" s="3301"/>
      <c r="Q114" s="3292"/>
      <c r="R114" s="2770"/>
      <c r="S114" s="2772"/>
      <c r="T114" s="2200"/>
      <c r="U114" s="4" t="b">
        <f t="shared" si="18"/>
        <v>0</v>
      </c>
    </row>
    <row r="115" spans="2:21" ht="13.5" customHeight="1">
      <c r="B115" s="3367"/>
      <c r="C115" s="1845"/>
      <c r="D115" s="1846"/>
      <c r="E115" s="3243" t="s">
        <v>111</v>
      </c>
      <c r="F115" s="3244"/>
      <c r="G115" s="1549" t="s">
        <v>112</v>
      </c>
      <c r="H115" s="1547"/>
      <c r="I115" s="1547"/>
      <c r="J115" s="1547"/>
      <c r="K115" s="1547"/>
      <c r="L115" s="1547"/>
      <c r="M115" s="1548"/>
      <c r="N115" s="1556" t="s">
        <v>458</v>
      </c>
      <c r="O115" s="1556" t="s">
        <v>113</v>
      </c>
      <c r="P115" s="1842" t="s">
        <v>114</v>
      </c>
      <c r="Q115" s="1847" t="s">
        <v>5333</v>
      </c>
      <c r="R115" s="2498" t="s">
        <v>686</v>
      </c>
      <c r="S115" s="3082"/>
      <c r="T115" s="2200"/>
      <c r="U115" s="4" t="b">
        <f>COUNTA(H116,P116)&lt;&gt;0</f>
        <v>0</v>
      </c>
    </row>
    <row r="116" spans="2:21" ht="13.5" customHeight="1">
      <c r="B116" s="3367"/>
      <c r="C116" s="2443" t="s">
        <v>5487</v>
      </c>
      <c r="D116" s="2500"/>
      <c r="E116" s="3260" t="e">
        <f>VLOOKUP($L$10,排水小,2,0)</f>
        <v>#N/A</v>
      </c>
      <c r="F116" s="2766"/>
      <c r="G116" s="2498" t="s">
        <v>5334</v>
      </c>
      <c r="H116" s="927"/>
      <c r="I116" s="928" t="e">
        <f>VLOOKUP($L$10,排水小,3,0)</f>
        <v>#N/A</v>
      </c>
      <c r="J116" s="929" t="e">
        <f>VLOOKUP($L$10,排水小,5,0)</f>
        <v>#N/A</v>
      </c>
      <c r="K116" s="929" t="e">
        <f>VLOOKUP($L$10,排水小,7,0)</f>
        <v>#N/A</v>
      </c>
      <c r="L116" s="315" t="s">
        <v>5357</v>
      </c>
      <c r="M116" s="1556" t="s">
        <v>5334</v>
      </c>
      <c r="N116" s="3282" t="e">
        <f>ROUNDDOWN(H117,2)</f>
        <v>#N/A</v>
      </c>
      <c r="O116" s="3246" t="e">
        <f>INT(E116*N116)</f>
        <v>#N/A</v>
      </c>
      <c r="P116" s="3297"/>
      <c r="Q116" s="3291" t="s">
        <v>5336</v>
      </c>
      <c r="R116" s="3260">
        <f>IF(ISERROR(INT(O116*P116)),0,INT(O116*P116))</f>
        <v>0</v>
      </c>
      <c r="S116" s="2766"/>
      <c r="T116" s="2200"/>
      <c r="U116" s="4" t="b">
        <f>U$115</f>
        <v>0</v>
      </c>
    </row>
    <row r="117" spans="2:21" ht="13.5" customHeight="1">
      <c r="B117" s="3367"/>
      <c r="C117" s="2445"/>
      <c r="D117" s="2500"/>
      <c r="E117" s="2767"/>
      <c r="F117" s="2769"/>
      <c r="G117" s="3082"/>
      <c r="H117" s="307" t="e">
        <f>HLOOKUP(H116,I116:M117,2,0)</f>
        <v>#N/A</v>
      </c>
      <c r="I117" s="308" t="e">
        <f>VLOOKUP($L$10,排水小,4,0)</f>
        <v>#N/A</v>
      </c>
      <c r="J117" s="316" t="e">
        <f>VLOOKUP($L$10,排水小,6,0)</f>
        <v>#N/A</v>
      </c>
      <c r="K117" s="316" t="e">
        <f>VLOOKUP($L$10,排水小,8,0)</f>
        <v>#N/A</v>
      </c>
      <c r="L117" s="309" t="str">
        <f>IF(M117,ROUNDDOWN(1+(M117-J116)*IF(M117&gt;J116,(I117-J117)/(I116-J116),(J117-K117)/(J116-K116)),2),"－")</f>
        <v>－</v>
      </c>
      <c r="M117" s="2045"/>
      <c r="N117" s="3283"/>
      <c r="O117" s="3248"/>
      <c r="P117" s="3298"/>
      <c r="Q117" s="3292"/>
      <c r="R117" s="2770"/>
      <c r="S117" s="2772"/>
      <c r="T117" s="2200"/>
      <c r="U117" s="4" t="b">
        <f>U$115</f>
        <v>0</v>
      </c>
    </row>
    <row r="118" spans="2:21" ht="13.5" customHeight="1">
      <c r="B118" s="3367"/>
      <c r="C118" s="1845"/>
      <c r="D118" s="1846"/>
      <c r="E118" s="3243" t="s">
        <v>111</v>
      </c>
      <c r="F118" s="3244"/>
      <c r="G118" s="1549" t="s">
        <v>112</v>
      </c>
      <c r="H118" s="1547"/>
      <c r="I118" s="1547"/>
      <c r="J118" s="1547"/>
      <c r="K118" s="1547"/>
      <c r="L118" s="1547"/>
      <c r="M118" s="1548"/>
      <c r="N118" s="1556" t="s">
        <v>458</v>
      </c>
      <c r="O118" s="1556" t="s">
        <v>113</v>
      </c>
      <c r="P118" s="1842" t="s">
        <v>114</v>
      </c>
      <c r="Q118" s="1843" t="s">
        <v>5333</v>
      </c>
      <c r="R118" s="2498" t="s">
        <v>686</v>
      </c>
      <c r="S118" s="3082"/>
      <c r="T118" s="2200"/>
      <c r="U118" s="4" t="b">
        <f>COUNTA(H119)&lt;&gt;0</f>
        <v>0</v>
      </c>
    </row>
    <row r="119" spans="2:21" ht="13.5" customHeight="1">
      <c r="B119" s="3367"/>
      <c r="C119" s="2443" t="s">
        <v>5364</v>
      </c>
      <c r="D119" s="2500"/>
      <c r="E119" s="3260" t="e">
        <f>VLOOKUP($L$10,排水大,2,0)</f>
        <v>#N/A</v>
      </c>
      <c r="F119" s="2766"/>
      <c r="G119" s="2498" t="s">
        <v>5334</v>
      </c>
      <c r="H119" s="927"/>
      <c r="I119" s="928" t="e">
        <f>VLOOKUP($L$10,排水大,3,0)</f>
        <v>#N/A</v>
      </c>
      <c r="J119" s="929" t="e">
        <f>VLOOKUP($L$10,排水大,5,0)</f>
        <v>#N/A</v>
      </c>
      <c r="K119" s="929" t="e">
        <f>VLOOKUP($L$10,排水大,7,0)</f>
        <v>#N/A</v>
      </c>
      <c r="L119" s="315" t="s">
        <v>5357</v>
      </c>
      <c r="M119" s="1556" t="s">
        <v>5334</v>
      </c>
      <c r="N119" s="3282" t="e">
        <f>ROUNDDOWN(H120,2)</f>
        <v>#N/A</v>
      </c>
      <c r="O119" s="3246" t="e">
        <f>INT(E119*N119)</f>
        <v>#N/A</v>
      </c>
      <c r="P119" s="3297"/>
      <c r="Q119" s="3291" t="s">
        <v>5336</v>
      </c>
      <c r="R119" s="3260">
        <f>IF(ISERROR(INT(O119*P119)),0,INT(O119*P119))</f>
        <v>0</v>
      </c>
      <c r="S119" s="2766"/>
      <c r="T119" s="2200"/>
      <c r="U119" s="4" t="b">
        <f>U$118</f>
        <v>0</v>
      </c>
    </row>
    <row r="120" spans="2:21" ht="13.5" customHeight="1">
      <c r="B120" s="3367"/>
      <c r="C120" s="2445"/>
      <c r="D120" s="2500"/>
      <c r="E120" s="2767"/>
      <c r="F120" s="2769"/>
      <c r="G120" s="3082"/>
      <c r="H120" s="307" t="e">
        <f>HLOOKUP(H119,I119:M120,2,0)</f>
        <v>#N/A</v>
      </c>
      <c r="I120" s="308" t="e">
        <f>VLOOKUP($L$10,排水大,4,0)</f>
        <v>#N/A</v>
      </c>
      <c r="J120" s="316" t="e">
        <f>VLOOKUP($L$10,排水大,6,0)</f>
        <v>#N/A</v>
      </c>
      <c r="K120" s="316" t="e">
        <f>VLOOKUP($L$10,排水大,8,0)</f>
        <v>#N/A</v>
      </c>
      <c r="L120" s="309" t="str">
        <f>IF(M120,ROUNDDOWN(1+(M120-J119)*IF(M120&gt;J119,(I120-J120)/(I119-J119),(J120-K120)/(J119-K119)),2),"－")</f>
        <v>－</v>
      </c>
      <c r="M120" s="2045"/>
      <c r="N120" s="3283"/>
      <c r="O120" s="3248"/>
      <c r="P120" s="3298"/>
      <c r="Q120" s="3292"/>
      <c r="R120" s="2770"/>
      <c r="S120" s="2772"/>
      <c r="T120" s="2200"/>
      <c r="U120" s="4" t="b">
        <f>U$118</f>
        <v>0</v>
      </c>
    </row>
    <row r="121" spans="2:21" ht="13.5" customHeight="1">
      <c r="B121" s="3367"/>
      <c r="C121" s="1845"/>
      <c r="D121" s="1846"/>
      <c r="E121" s="3243" t="s">
        <v>111</v>
      </c>
      <c r="F121" s="3244"/>
      <c r="G121" s="1549" t="s">
        <v>112</v>
      </c>
      <c r="H121" s="1547"/>
      <c r="I121" s="1547"/>
      <c r="J121" s="1547"/>
      <c r="K121" s="1547"/>
      <c r="L121" s="1547"/>
      <c r="M121" s="1548"/>
      <c r="N121" s="1556" t="s">
        <v>458</v>
      </c>
      <c r="O121" s="1556" t="s">
        <v>113</v>
      </c>
      <c r="P121" s="1842" t="s">
        <v>114</v>
      </c>
      <c r="Q121" s="1843" t="s">
        <v>5363</v>
      </c>
      <c r="R121" s="2498" t="s">
        <v>686</v>
      </c>
      <c r="S121" s="3082"/>
      <c r="T121" s="2200"/>
      <c r="U121" s="4" t="b">
        <f>COUNTA(H122)&lt;&gt;0</f>
        <v>0</v>
      </c>
    </row>
    <row r="122" spans="2:21" ht="13.5" customHeight="1">
      <c r="B122" s="3367"/>
      <c r="C122" s="2443" t="s">
        <v>5365</v>
      </c>
      <c r="D122" s="2500"/>
      <c r="E122" s="3260" t="e">
        <f>VLOOKUP($L$10,排水ポンプ,2,0)</f>
        <v>#N/A</v>
      </c>
      <c r="F122" s="2766"/>
      <c r="G122" s="2498" t="s">
        <v>5345</v>
      </c>
      <c r="H122" s="931"/>
      <c r="I122" s="932" t="e">
        <f>VLOOKUP($L$10,排水ポンプ,3,0)</f>
        <v>#N/A</v>
      </c>
      <c r="J122" s="933" t="e">
        <f>VLOOKUP($L$10,排水ポンプ,5,0)</f>
        <v>#N/A</v>
      </c>
      <c r="K122" s="933" t="e">
        <f>VLOOKUP($L$10,排水ポンプ,7,0)</f>
        <v>#N/A</v>
      </c>
      <c r="L122" s="315" t="s">
        <v>5357</v>
      </c>
      <c r="M122" s="1556" t="s">
        <v>5345</v>
      </c>
      <c r="N122" s="3282" t="e">
        <f>ROUNDDOWN(H123,2)</f>
        <v>#N/A</v>
      </c>
      <c r="O122" s="3246" t="e">
        <f>INT(E122*N122)</f>
        <v>#N/A</v>
      </c>
      <c r="P122" s="3299"/>
      <c r="Q122" s="3291" t="s">
        <v>5362</v>
      </c>
      <c r="R122" s="3260">
        <f>IF(ISERROR(INT(O122*P122)),0,INT(O122*P122))</f>
        <v>0</v>
      </c>
      <c r="S122" s="2766"/>
      <c r="T122" s="2200"/>
      <c r="U122" s="4" t="b">
        <f>U$121</f>
        <v>0</v>
      </c>
    </row>
    <row r="123" spans="2:21" ht="13.5" customHeight="1">
      <c r="B123" s="3367"/>
      <c r="C123" s="2581"/>
      <c r="D123" s="2502"/>
      <c r="E123" s="2770"/>
      <c r="F123" s="2772"/>
      <c r="G123" s="3082"/>
      <c r="H123" s="307" t="e">
        <f t="shared" ref="H123" si="21">HLOOKUP(H122,I122:M123,2,0)</f>
        <v>#N/A</v>
      </c>
      <c r="I123" s="308" t="e">
        <f>VLOOKUP($L$10,排水ポンプ,4,0)</f>
        <v>#N/A</v>
      </c>
      <c r="J123" s="316" t="e">
        <f>VLOOKUP($L$10,排水ポンプ,6,0)</f>
        <v>#N/A</v>
      </c>
      <c r="K123" s="316" t="e">
        <f>VLOOKUP($L$10,排水ポンプ,8,0)</f>
        <v>#N/A</v>
      </c>
      <c r="L123" s="309" t="str">
        <f t="shared" ref="L123" si="22">IF(M123,ROUNDDOWN(1+(M123-J122)*IF(M123&gt;J122,(I123-J123)/(I122-J122),(J123-K123)/(J122-K122)),2),"－")</f>
        <v>－</v>
      </c>
      <c r="M123" s="2047"/>
      <c r="N123" s="3283"/>
      <c r="O123" s="3248"/>
      <c r="P123" s="3301"/>
      <c r="Q123" s="3292"/>
      <c r="R123" s="2770"/>
      <c r="S123" s="2772"/>
      <c r="T123" s="2200"/>
      <c r="U123" s="4" t="b">
        <f>U$121</f>
        <v>0</v>
      </c>
    </row>
    <row r="124" spans="2:21" ht="13.5" customHeight="1">
      <c r="B124" s="3367"/>
      <c r="C124" s="1578"/>
      <c r="D124" s="1580"/>
      <c r="E124" s="3243" t="s">
        <v>111</v>
      </c>
      <c r="F124" s="3244"/>
      <c r="G124" s="1549" t="s">
        <v>112</v>
      </c>
      <c r="H124" s="1547"/>
      <c r="I124" s="1547"/>
      <c r="J124" s="1547"/>
      <c r="K124" s="1547"/>
      <c r="L124" s="1547"/>
      <c r="M124" s="1548"/>
      <c r="N124" s="1556" t="s">
        <v>458</v>
      </c>
      <c r="O124" s="1556" t="s">
        <v>113</v>
      </c>
      <c r="P124" s="1842" t="s">
        <v>114</v>
      </c>
      <c r="Q124" s="1843" t="s">
        <v>685</v>
      </c>
      <c r="R124" s="2498" t="s">
        <v>686</v>
      </c>
      <c r="S124" s="3082"/>
      <c r="T124" s="2200"/>
      <c r="U124" s="4" t="b">
        <f>COUNTA(H125,H127,H129)&lt;&gt;0</f>
        <v>0</v>
      </c>
    </row>
    <row r="125" spans="2:21" ht="13.5" customHeight="1">
      <c r="B125" s="3367"/>
      <c r="C125" s="2443" t="s">
        <v>154</v>
      </c>
      <c r="D125" s="2444"/>
      <c r="E125" s="2418" t="e">
        <f>VLOOKUP($L$10,中央給湯,2,0)</f>
        <v>#N/A</v>
      </c>
      <c r="F125" s="2420"/>
      <c r="G125" s="2498" t="s">
        <v>119</v>
      </c>
      <c r="H125" s="312"/>
      <c r="I125" s="313" t="e">
        <f>VLOOKUP($L$10,中央給湯,3,0)</f>
        <v>#N/A</v>
      </c>
      <c r="J125" s="314" t="e">
        <f>VLOOKUP($L$10,中央給湯,5,0)</f>
        <v>#N/A</v>
      </c>
      <c r="K125" s="315" t="e">
        <f>VLOOKUP($L$10,中央給湯,7,0)</f>
        <v>#N/A</v>
      </c>
      <c r="L125" s="179"/>
      <c r="M125" s="179"/>
      <c r="N125" s="3238" t="e">
        <f>ROUNDDOWN(H126*H128*H130*H132,2)</f>
        <v>#N/A</v>
      </c>
      <c r="O125" s="3235" t="e">
        <f>INT(E125*N125)</f>
        <v>#N/A</v>
      </c>
      <c r="P125" s="2513">
        <f>$P$10</f>
        <v>0</v>
      </c>
      <c r="Q125" s="2515" t="s">
        <v>155</v>
      </c>
      <c r="R125" s="2418">
        <f>IF(ISERROR(INT(O125*P125)),0,INT(O125*P125))</f>
        <v>0</v>
      </c>
      <c r="S125" s="2420"/>
      <c r="T125" s="2200"/>
      <c r="U125" s="4" t="b">
        <f t="shared" ref="U125:U132" si="23">U$124</f>
        <v>0</v>
      </c>
    </row>
    <row r="126" spans="2:21" ht="13.5" customHeight="1">
      <c r="B126" s="3367"/>
      <c r="C126" s="2445"/>
      <c r="D126" s="2444"/>
      <c r="E126" s="2448"/>
      <c r="F126" s="2450"/>
      <c r="G126" s="3082"/>
      <c r="H126" s="307" t="e">
        <f>HLOOKUP(H125,I125:K126,2,0)</f>
        <v>#N/A</v>
      </c>
      <c r="I126" s="308" t="e">
        <f>VLOOKUP($L$10,中央給湯,4,0)</f>
        <v>#N/A</v>
      </c>
      <c r="J126" s="316" t="e">
        <f>VLOOKUP($L$10,中央給湯,6,0)</f>
        <v>#N/A</v>
      </c>
      <c r="K126" s="309" t="e">
        <f>VLOOKUP($L$10,中央給湯,8,0)</f>
        <v>#N/A</v>
      </c>
      <c r="L126" s="9"/>
      <c r="M126" s="9"/>
      <c r="N126" s="3239"/>
      <c r="O126" s="3236"/>
      <c r="P126" s="2459"/>
      <c r="Q126" s="2461"/>
      <c r="R126" s="2448"/>
      <c r="S126" s="2450"/>
      <c r="T126" s="2200"/>
      <c r="U126" s="4" t="b">
        <f t="shared" si="23"/>
        <v>0</v>
      </c>
    </row>
    <row r="127" spans="2:21" ht="13.5" customHeight="1">
      <c r="B127" s="3367"/>
      <c r="C127" s="2445"/>
      <c r="D127" s="2444"/>
      <c r="E127" s="2448"/>
      <c r="F127" s="2450"/>
      <c r="G127" s="2498" t="s">
        <v>153</v>
      </c>
      <c r="H127" s="312"/>
      <c r="I127" s="313" t="e">
        <f>VLOOKUP($L$10,中央給湯,11,0)</f>
        <v>#N/A</v>
      </c>
      <c r="J127" s="315" t="e">
        <f>VLOOKUP($L$10,中央給湯,13,0)</f>
        <v>#N/A</v>
      </c>
      <c r="K127" s="9"/>
      <c r="L127" s="9"/>
      <c r="M127" s="9"/>
      <c r="N127" s="3239"/>
      <c r="O127" s="3236"/>
      <c r="P127" s="2459"/>
      <c r="Q127" s="2461"/>
      <c r="R127" s="2448"/>
      <c r="S127" s="2450"/>
      <c r="T127" s="2200"/>
      <c r="U127" s="4" t="b">
        <f t="shared" si="23"/>
        <v>0</v>
      </c>
    </row>
    <row r="128" spans="2:21" ht="13.5" customHeight="1">
      <c r="B128" s="3367"/>
      <c r="C128" s="2445"/>
      <c r="D128" s="2444"/>
      <c r="E128" s="2448"/>
      <c r="F128" s="2450"/>
      <c r="G128" s="3082"/>
      <c r="H128" s="307" t="e">
        <f>HLOOKUP(H127,I127:J128,2,0)</f>
        <v>#N/A</v>
      </c>
      <c r="I128" s="308" t="e">
        <f>VLOOKUP($L$10,中央給湯,12,0)</f>
        <v>#N/A</v>
      </c>
      <c r="J128" s="309" t="e">
        <f>VLOOKUP($L$10,中央給湯,14,0)</f>
        <v>#N/A</v>
      </c>
      <c r="K128" s="9"/>
      <c r="L128" s="9"/>
      <c r="M128" s="9"/>
      <c r="N128" s="3239"/>
      <c r="O128" s="3236"/>
      <c r="P128" s="2459"/>
      <c r="Q128" s="2461"/>
      <c r="R128" s="2448"/>
      <c r="S128" s="2450"/>
      <c r="T128" s="2200"/>
      <c r="U128" s="4" t="b">
        <f t="shared" si="23"/>
        <v>0</v>
      </c>
    </row>
    <row r="129" spans="2:21" ht="13.5" customHeight="1">
      <c r="B129" s="3367"/>
      <c r="C129" s="2445"/>
      <c r="D129" s="2444"/>
      <c r="E129" s="2448"/>
      <c r="F129" s="2450"/>
      <c r="G129" s="2498" t="s">
        <v>689</v>
      </c>
      <c r="H129" s="312"/>
      <c r="I129" s="313" t="e">
        <f>VLOOKUP($L$10,中央給湯,15,0)</f>
        <v>#N/A</v>
      </c>
      <c r="J129" s="314" t="e">
        <f>VLOOKUP($L$10,中央給湯,17,0)</f>
        <v>#N/A</v>
      </c>
      <c r="K129" s="315" t="e">
        <f>VLOOKUP($L$10,中央給湯,19,0)</f>
        <v>#N/A</v>
      </c>
      <c r="L129" s="9"/>
      <c r="M129" s="9"/>
      <c r="N129" s="3239"/>
      <c r="O129" s="3236"/>
      <c r="P129" s="2459"/>
      <c r="Q129" s="2461"/>
      <c r="R129" s="2448"/>
      <c r="S129" s="2450"/>
      <c r="T129" s="2200"/>
      <c r="U129" s="4" t="b">
        <f t="shared" si="23"/>
        <v>0</v>
      </c>
    </row>
    <row r="130" spans="2:21" ht="13.5" customHeight="1">
      <c r="B130" s="3367"/>
      <c r="C130" s="2445"/>
      <c r="D130" s="2444"/>
      <c r="E130" s="2448"/>
      <c r="F130" s="2450"/>
      <c r="G130" s="3082"/>
      <c r="H130" s="307" t="e">
        <f>HLOOKUP(H129,I129:K130,2,0)</f>
        <v>#N/A</v>
      </c>
      <c r="I130" s="308" t="e">
        <f>VLOOKUP($L$10,中央給湯,16,0)</f>
        <v>#N/A</v>
      </c>
      <c r="J130" s="316" t="e">
        <f>VLOOKUP($L$10,中央給湯,18,0)</f>
        <v>#N/A</v>
      </c>
      <c r="K130" s="309" t="e">
        <f>VLOOKUP($L$10,中央給湯,20,0)</f>
        <v>#N/A</v>
      </c>
      <c r="L130" s="9"/>
      <c r="M130" s="9"/>
      <c r="N130" s="3239"/>
      <c r="O130" s="3236"/>
      <c r="P130" s="2459"/>
      <c r="Q130" s="2461"/>
      <c r="R130" s="2448"/>
      <c r="S130" s="2450"/>
      <c r="T130" s="2200"/>
      <c r="U130" s="4" t="b">
        <f t="shared" si="23"/>
        <v>0</v>
      </c>
    </row>
    <row r="131" spans="2:21" ht="13.5" customHeight="1">
      <c r="B131" s="3367"/>
      <c r="C131" s="2445"/>
      <c r="D131" s="2444"/>
      <c r="E131" s="2448"/>
      <c r="F131" s="2450"/>
      <c r="G131" s="2498" t="s">
        <v>667</v>
      </c>
      <c r="H131" s="325">
        <f>$P$10</f>
        <v>0</v>
      </c>
      <c r="I131" s="326" t="e">
        <f>VLOOKUP($L$10,中央給湯,21,0)</f>
        <v>#N/A</v>
      </c>
      <c r="J131" s="327" t="e">
        <f>VLOOKUP($L$10,中央給湯,23,0)</f>
        <v>#N/A</v>
      </c>
      <c r="K131" s="328" t="e">
        <f>VLOOKUP($L$10,中央給湯,25,0)</f>
        <v>#N/A</v>
      </c>
      <c r="L131" s="9"/>
      <c r="M131" s="9"/>
      <c r="N131" s="3239"/>
      <c r="O131" s="3236"/>
      <c r="P131" s="2459"/>
      <c r="Q131" s="2461"/>
      <c r="R131" s="2448"/>
      <c r="S131" s="2450"/>
      <c r="T131" s="2200"/>
      <c r="U131" s="4" t="b">
        <f t="shared" si="23"/>
        <v>0</v>
      </c>
    </row>
    <row r="132" spans="2:21" ht="13.5" customHeight="1">
      <c r="B132" s="3367"/>
      <c r="C132" s="2446"/>
      <c r="D132" s="2447"/>
      <c r="E132" s="2421"/>
      <c r="F132" s="2423"/>
      <c r="G132" s="3082"/>
      <c r="H132" s="307" t="e">
        <f>MIN(I132,MAX(K132,ROUNDDOWN(J132+IF(H131&lt;J131,(I132-J132)/(I131-J131),(J132-K132)/(J131-K131))*(H131-J131),2)))</f>
        <v>#N/A</v>
      </c>
      <c r="I132" s="308" t="e">
        <f>VLOOKUP($L$10,中央給湯,22,0)</f>
        <v>#N/A</v>
      </c>
      <c r="J132" s="316" t="e">
        <f>VLOOKUP($L$10,中央給湯,24,0)</f>
        <v>#N/A</v>
      </c>
      <c r="K132" s="309" t="e">
        <f>VLOOKUP($L$10,中央給湯,26,0)</f>
        <v>#N/A</v>
      </c>
      <c r="L132" s="44"/>
      <c r="M132" s="44"/>
      <c r="N132" s="3240"/>
      <c r="O132" s="3237"/>
      <c r="P132" s="2470"/>
      <c r="Q132" s="2516"/>
      <c r="R132" s="2421"/>
      <c r="S132" s="2423"/>
      <c r="T132" s="2200"/>
      <c r="U132" s="4" t="b">
        <f t="shared" si="23"/>
        <v>0</v>
      </c>
    </row>
    <row r="133" spans="2:21" ht="13.5" customHeight="1">
      <c r="B133" s="3367"/>
      <c r="C133" s="1578"/>
      <c r="D133" s="1580"/>
      <c r="E133" s="3243" t="s">
        <v>111</v>
      </c>
      <c r="F133" s="3244"/>
      <c r="G133" s="1549" t="s">
        <v>112</v>
      </c>
      <c r="H133" s="1547"/>
      <c r="I133" s="1547"/>
      <c r="J133" s="1547"/>
      <c r="K133" s="1547"/>
      <c r="L133" s="1547"/>
      <c r="M133" s="1548"/>
      <c r="N133" s="1556" t="s">
        <v>458</v>
      </c>
      <c r="O133" s="1556" t="s">
        <v>113</v>
      </c>
      <c r="P133" s="1842" t="s">
        <v>114</v>
      </c>
      <c r="Q133" s="1843" t="s">
        <v>156</v>
      </c>
      <c r="R133" s="3243" t="s">
        <v>686</v>
      </c>
      <c r="S133" s="3244"/>
      <c r="T133" s="2200"/>
      <c r="U133" s="4" t="b">
        <f>COUNTA(H134,P134)&lt;&gt;0</f>
        <v>0</v>
      </c>
    </row>
    <row r="134" spans="2:21" ht="13.5" customHeight="1">
      <c r="B134" s="3367"/>
      <c r="C134" s="2443" t="s">
        <v>5366</v>
      </c>
      <c r="D134" s="2500"/>
      <c r="E134" s="3260" t="e">
        <f>VLOOKUP($L$10,使用口,2,0)</f>
        <v>#N/A</v>
      </c>
      <c r="F134" s="2766"/>
      <c r="G134" s="3067" t="s">
        <v>790</v>
      </c>
      <c r="H134" s="312"/>
      <c r="I134" s="313" t="e">
        <f>VLOOKUP($L$10,使用口,3,0)</f>
        <v>#N/A</v>
      </c>
      <c r="J134" s="314" t="e">
        <f>VLOOKUP($L$10,使用口,5,0)</f>
        <v>#N/A</v>
      </c>
      <c r="K134" s="318" t="e">
        <f>VLOOKUP($L$10,使用口,7,0)</f>
        <v>#N/A</v>
      </c>
      <c r="L134" s="717"/>
      <c r="M134" s="531"/>
      <c r="N134" s="3282" t="e">
        <f>ROUNDDOWN(H135,2)</f>
        <v>#N/A</v>
      </c>
      <c r="O134" s="3246" t="e">
        <f>INT(E134*N134)</f>
        <v>#N/A</v>
      </c>
      <c r="P134" s="3285"/>
      <c r="Q134" s="3291" t="s">
        <v>158</v>
      </c>
      <c r="R134" s="3260">
        <f>IF(ISERROR(INT(O134*P134)),0,INT(O134*P134))</f>
        <v>0</v>
      </c>
      <c r="S134" s="2766"/>
      <c r="T134" s="2200"/>
      <c r="U134" s="4" t="b">
        <f t="shared" ref="U134:U135" si="24">U$133</f>
        <v>0</v>
      </c>
    </row>
    <row r="135" spans="2:21" ht="13.5" customHeight="1">
      <c r="B135" s="3367"/>
      <c r="C135" s="2581"/>
      <c r="D135" s="2502"/>
      <c r="E135" s="2770"/>
      <c r="F135" s="2772"/>
      <c r="G135" s="3055"/>
      <c r="H135" s="307" t="e">
        <f>HLOOKUP(H134,I134:L135,2,0)</f>
        <v>#N/A</v>
      </c>
      <c r="I135" s="308" t="e">
        <f>VLOOKUP($L$10,使用口,4,0)</f>
        <v>#N/A</v>
      </c>
      <c r="J135" s="316" t="e">
        <f>VLOOKUP($L$10,使用口,6,0)</f>
        <v>#N/A</v>
      </c>
      <c r="K135" s="324" t="e">
        <f>VLOOKUP($L$10,使用口,8,0)</f>
        <v>#N/A</v>
      </c>
      <c r="L135" s="854"/>
      <c r="M135" s="9"/>
      <c r="N135" s="3283"/>
      <c r="O135" s="3248"/>
      <c r="P135" s="3286"/>
      <c r="Q135" s="3292"/>
      <c r="R135" s="2770"/>
      <c r="S135" s="2772"/>
      <c r="T135" s="2200"/>
      <c r="U135" s="4" t="b">
        <f t="shared" si="24"/>
        <v>0</v>
      </c>
    </row>
    <row r="136" spans="2:21" ht="13.5" customHeight="1">
      <c r="B136" s="3367"/>
      <c r="C136" s="1578"/>
      <c r="D136" s="1580"/>
      <c r="E136" s="3243" t="s">
        <v>111</v>
      </c>
      <c r="F136" s="3244"/>
      <c r="G136" s="1549" t="s">
        <v>112</v>
      </c>
      <c r="H136" s="1547"/>
      <c r="I136" s="1547"/>
      <c r="J136" s="1547"/>
      <c r="K136" s="1547"/>
      <c r="L136" s="1547"/>
      <c r="M136" s="1548"/>
      <c r="N136" s="1556" t="s">
        <v>458</v>
      </c>
      <c r="O136" s="1556" t="s">
        <v>113</v>
      </c>
      <c r="P136" s="1842" t="s">
        <v>114</v>
      </c>
      <c r="Q136" s="1843" t="s">
        <v>156</v>
      </c>
      <c r="R136" s="3243" t="s">
        <v>686</v>
      </c>
      <c r="S136" s="3244"/>
      <c r="T136" s="2200"/>
      <c r="U136" s="4" t="b">
        <f>COUNTA(H137,P137)&lt;&gt;0</f>
        <v>0</v>
      </c>
    </row>
    <row r="137" spans="2:21" ht="13.5" customHeight="1">
      <c r="B137" s="3367"/>
      <c r="C137" s="2443" t="s">
        <v>5377</v>
      </c>
      <c r="D137" s="2500"/>
      <c r="E137" s="3260" t="e">
        <f>VLOOKUP($L$10,和便器,2,0)</f>
        <v>#N/A</v>
      </c>
      <c r="F137" s="2766"/>
      <c r="G137" s="3067" t="s">
        <v>790</v>
      </c>
      <c r="H137" s="312"/>
      <c r="I137" s="313" t="e">
        <f>VLOOKUP($L$10,和便器,3,0)</f>
        <v>#N/A</v>
      </c>
      <c r="J137" s="314" t="e">
        <f>VLOOKUP($L$10,和便器,5,0)</f>
        <v>#N/A</v>
      </c>
      <c r="K137" s="318" t="e">
        <f>VLOOKUP($L$10,和便器,7,0)</f>
        <v>#N/A</v>
      </c>
      <c r="L137" s="717"/>
      <c r="M137" s="531"/>
      <c r="N137" s="3282" t="e">
        <f>ROUNDDOWN(H138,2)</f>
        <v>#N/A</v>
      </c>
      <c r="O137" s="3246" t="e">
        <f>INT(E137*N137)</f>
        <v>#N/A</v>
      </c>
      <c r="P137" s="3285"/>
      <c r="Q137" s="3291" t="s">
        <v>158</v>
      </c>
      <c r="R137" s="3260">
        <f>IF(ISERROR(INT(O137*P137)),0,INT(O137*P137))</f>
        <v>0</v>
      </c>
      <c r="S137" s="2766"/>
      <c r="T137" s="2200"/>
      <c r="U137" s="4" t="b">
        <f>U$136</f>
        <v>0</v>
      </c>
    </row>
    <row r="138" spans="2:21" ht="13.5" customHeight="1">
      <c r="B138" s="3367"/>
      <c r="C138" s="2581"/>
      <c r="D138" s="2502"/>
      <c r="E138" s="2770"/>
      <c r="F138" s="2772"/>
      <c r="G138" s="3055"/>
      <c r="H138" s="307" t="e">
        <f>HLOOKUP(H137,I137:L138,2,0)</f>
        <v>#N/A</v>
      </c>
      <c r="I138" s="308" t="e">
        <f>VLOOKUP($L$10,和便器,4,0)</f>
        <v>#N/A</v>
      </c>
      <c r="J138" s="316" t="e">
        <f>VLOOKUP($L$10,和便器,6,0)</f>
        <v>#N/A</v>
      </c>
      <c r="K138" s="324" t="e">
        <f>VLOOKUP($L$10,和便器,8,0)</f>
        <v>#N/A</v>
      </c>
      <c r="L138" s="854"/>
      <c r="M138" s="9"/>
      <c r="N138" s="3283"/>
      <c r="O138" s="3248"/>
      <c r="P138" s="3286"/>
      <c r="Q138" s="3292"/>
      <c r="R138" s="2770"/>
      <c r="S138" s="2772"/>
      <c r="T138" s="2200"/>
      <c r="U138" s="4" t="b">
        <f>U$136</f>
        <v>0</v>
      </c>
    </row>
    <row r="139" spans="2:21" ht="13.5" customHeight="1">
      <c r="B139" s="3367"/>
      <c r="C139" s="1578"/>
      <c r="D139" s="1580"/>
      <c r="E139" s="3243" t="s">
        <v>111</v>
      </c>
      <c r="F139" s="3244"/>
      <c r="G139" s="1549" t="s">
        <v>112</v>
      </c>
      <c r="H139" s="1547"/>
      <c r="I139" s="1547"/>
      <c r="J139" s="1547"/>
      <c r="K139" s="1547"/>
      <c r="L139" s="1547"/>
      <c r="M139" s="1548"/>
      <c r="N139" s="1556" t="s">
        <v>458</v>
      </c>
      <c r="O139" s="1556" t="s">
        <v>113</v>
      </c>
      <c r="P139" s="1842" t="s">
        <v>114</v>
      </c>
      <c r="Q139" s="1843" t="s">
        <v>156</v>
      </c>
      <c r="R139" s="3243" t="s">
        <v>686</v>
      </c>
      <c r="S139" s="3244"/>
      <c r="T139" s="2200"/>
      <c r="U139" s="4" t="b">
        <f>COUNTA(H140,P140)&lt;&gt;0</f>
        <v>0</v>
      </c>
    </row>
    <row r="140" spans="2:21" ht="13.5" customHeight="1">
      <c r="B140" s="3367"/>
      <c r="C140" s="2443" t="s">
        <v>5368</v>
      </c>
      <c r="D140" s="2500"/>
      <c r="E140" s="3260" t="e">
        <f>VLOOKUP($L$10,洋便器,2,0)</f>
        <v>#N/A</v>
      </c>
      <c r="F140" s="2766"/>
      <c r="G140" s="3067" t="s">
        <v>790</v>
      </c>
      <c r="H140" s="312"/>
      <c r="I140" s="313" t="e">
        <f>VLOOKUP($L$10,洋便器,3,0)</f>
        <v>#N/A</v>
      </c>
      <c r="J140" s="314" t="e">
        <f>VLOOKUP($L$10,洋便器,5,0)</f>
        <v>#N/A</v>
      </c>
      <c r="K140" s="318" t="e">
        <f>VLOOKUP($L$10,洋便器,7,0)</f>
        <v>#N/A</v>
      </c>
      <c r="L140" s="717"/>
      <c r="M140" s="531"/>
      <c r="N140" s="3282" t="e">
        <f>ROUNDDOWN(H141,2)</f>
        <v>#N/A</v>
      </c>
      <c r="O140" s="3246" t="e">
        <f>INT(E140*N140)</f>
        <v>#N/A</v>
      </c>
      <c r="P140" s="3285"/>
      <c r="Q140" s="3291" t="s">
        <v>158</v>
      </c>
      <c r="R140" s="3260">
        <f>IF(ISERROR(INT(O140*P140)),0,INT(O140*P140))</f>
        <v>0</v>
      </c>
      <c r="S140" s="2766"/>
      <c r="T140" s="2200"/>
      <c r="U140" s="4" t="b">
        <f>U$139</f>
        <v>0</v>
      </c>
    </row>
    <row r="141" spans="2:21" ht="13.5" customHeight="1">
      <c r="B141" s="3367"/>
      <c r="C141" s="2581"/>
      <c r="D141" s="2502"/>
      <c r="E141" s="2770"/>
      <c r="F141" s="2772"/>
      <c r="G141" s="3055"/>
      <c r="H141" s="307" t="e">
        <f>HLOOKUP(H140,I140:L141,2,0)</f>
        <v>#N/A</v>
      </c>
      <c r="I141" s="308" t="e">
        <f>VLOOKUP($L$10,洋便器,4,0)</f>
        <v>#N/A</v>
      </c>
      <c r="J141" s="316" t="e">
        <f>VLOOKUP($L$10,洋便器,6,0)</f>
        <v>#N/A</v>
      </c>
      <c r="K141" s="324" t="e">
        <f>VLOOKUP($L$10,洋便器,8,0)</f>
        <v>#N/A</v>
      </c>
      <c r="L141" s="854"/>
      <c r="M141" s="9"/>
      <c r="N141" s="3283"/>
      <c r="O141" s="3248"/>
      <c r="P141" s="3286"/>
      <c r="Q141" s="3292"/>
      <c r="R141" s="2770"/>
      <c r="S141" s="2772"/>
      <c r="T141" s="2200"/>
      <c r="U141" s="4" t="b">
        <f>U$139</f>
        <v>0</v>
      </c>
    </row>
    <row r="142" spans="2:21" ht="13.5" customHeight="1">
      <c r="B142" s="3367"/>
      <c r="C142" s="1578"/>
      <c r="D142" s="1580"/>
      <c r="E142" s="3243" t="s">
        <v>111</v>
      </c>
      <c r="F142" s="3244"/>
      <c r="G142" s="1549" t="s">
        <v>112</v>
      </c>
      <c r="H142" s="1547"/>
      <c r="I142" s="1547"/>
      <c r="J142" s="1547"/>
      <c r="K142" s="1547"/>
      <c r="L142" s="1547"/>
      <c r="M142" s="1548"/>
      <c r="N142" s="1556" t="s">
        <v>458</v>
      </c>
      <c r="O142" s="1556" t="s">
        <v>113</v>
      </c>
      <c r="P142" s="1842" t="s">
        <v>114</v>
      </c>
      <c r="Q142" s="1843" t="s">
        <v>156</v>
      </c>
      <c r="R142" s="3243" t="s">
        <v>686</v>
      </c>
      <c r="S142" s="3244"/>
      <c r="T142" s="2200"/>
      <c r="U142" s="4" t="b">
        <f>COUNTA(H143,P143)&lt;&gt;0</f>
        <v>0</v>
      </c>
    </row>
    <row r="143" spans="2:21" ht="13.5" customHeight="1">
      <c r="B143" s="3367"/>
      <c r="C143" s="2443" t="s">
        <v>5378</v>
      </c>
      <c r="D143" s="2500"/>
      <c r="E143" s="3260" t="e">
        <f>VLOOKUP($L$10,小便器,2,0)</f>
        <v>#N/A</v>
      </c>
      <c r="F143" s="2766"/>
      <c r="G143" s="3067" t="s">
        <v>790</v>
      </c>
      <c r="H143" s="312"/>
      <c r="I143" s="313" t="e">
        <f>VLOOKUP($L$10,小便器,3,0)</f>
        <v>#N/A</v>
      </c>
      <c r="J143" s="314" t="e">
        <f>VLOOKUP($L$10,小便器,5,0)</f>
        <v>#N/A</v>
      </c>
      <c r="K143" s="318" t="e">
        <f>VLOOKUP($L$10,小便器,7,0)</f>
        <v>#N/A</v>
      </c>
      <c r="L143" s="717"/>
      <c r="M143" s="531"/>
      <c r="N143" s="3282" t="e">
        <f>ROUNDDOWN(H144,2)</f>
        <v>#N/A</v>
      </c>
      <c r="O143" s="3246" t="e">
        <f>INT(E143*N143)</f>
        <v>#N/A</v>
      </c>
      <c r="P143" s="3285"/>
      <c r="Q143" s="3291" t="s">
        <v>158</v>
      </c>
      <c r="R143" s="3260">
        <f>IF(ISERROR(INT(O143*P143)),0,INT(O143*P143))</f>
        <v>0</v>
      </c>
      <c r="S143" s="2766"/>
      <c r="T143" s="2200"/>
      <c r="U143" s="4" t="b">
        <f>U$142</f>
        <v>0</v>
      </c>
    </row>
    <row r="144" spans="2:21" ht="13.5" customHeight="1">
      <c r="B144" s="3367"/>
      <c r="C144" s="2581"/>
      <c r="D144" s="2502"/>
      <c r="E144" s="2770"/>
      <c r="F144" s="2772"/>
      <c r="G144" s="3055"/>
      <c r="H144" s="307" t="e">
        <f>HLOOKUP(H143,I143:L144,2,0)</f>
        <v>#N/A</v>
      </c>
      <c r="I144" s="308" t="e">
        <f>VLOOKUP($L$10,小便器,4,0)</f>
        <v>#N/A</v>
      </c>
      <c r="J144" s="316" t="e">
        <f>VLOOKUP($L$10,小便器,6,0)</f>
        <v>#N/A</v>
      </c>
      <c r="K144" s="324" t="e">
        <f>VLOOKUP($L$10,小便器,8,0)</f>
        <v>#N/A</v>
      </c>
      <c r="L144" s="854"/>
      <c r="M144" s="9"/>
      <c r="N144" s="3283"/>
      <c r="O144" s="3248"/>
      <c r="P144" s="3286"/>
      <c r="Q144" s="3292"/>
      <c r="R144" s="2770"/>
      <c r="S144" s="2772"/>
      <c r="T144" s="2200"/>
      <c r="U144" s="4" t="b">
        <f>U$142</f>
        <v>0</v>
      </c>
    </row>
    <row r="145" spans="2:21" ht="13.5" customHeight="1">
      <c r="B145" s="3367"/>
      <c r="C145" s="1578"/>
      <c r="D145" s="1580"/>
      <c r="E145" s="3243" t="s">
        <v>111</v>
      </c>
      <c r="F145" s="3244"/>
      <c r="G145" s="1549" t="s">
        <v>112</v>
      </c>
      <c r="H145" s="1547"/>
      <c r="I145" s="1547"/>
      <c r="J145" s="1547"/>
      <c r="K145" s="1547"/>
      <c r="L145" s="1547"/>
      <c r="M145" s="1548"/>
      <c r="N145" s="1556" t="s">
        <v>458</v>
      </c>
      <c r="O145" s="1556" t="s">
        <v>113</v>
      </c>
      <c r="P145" s="1842" t="s">
        <v>114</v>
      </c>
      <c r="Q145" s="1843" t="s">
        <v>156</v>
      </c>
      <c r="R145" s="3243" t="s">
        <v>686</v>
      </c>
      <c r="S145" s="3244"/>
      <c r="T145" s="2200"/>
      <c r="U145" s="4" t="b">
        <f>COUNTA(H146,P146)&lt;&gt;0</f>
        <v>0</v>
      </c>
    </row>
    <row r="146" spans="2:21" ht="13.5" customHeight="1">
      <c r="B146" s="3367"/>
      <c r="C146" s="2443" t="s">
        <v>5372</v>
      </c>
      <c r="D146" s="2500"/>
      <c r="E146" s="3260" t="e">
        <f>VLOOKUP($L$10,洗面器,2,0)</f>
        <v>#N/A</v>
      </c>
      <c r="F146" s="2766"/>
      <c r="G146" s="3067" t="s">
        <v>790</v>
      </c>
      <c r="H146" s="312"/>
      <c r="I146" s="313" t="e">
        <f>VLOOKUP($L$10,洗面器,3,0)</f>
        <v>#N/A</v>
      </c>
      <c r="J146" s="314" t="e">
        <f>VLOOKUP($L$10,洗面器,5,0)</f>
        <v>#N/A</v>
      </c>
      <c r="K146" s="318" t="e">
        <f>VLOOKUP($L$10,洗面器,7,0)</f>
        <v>#N/A</v>
      </c>
      <c r="L146" s="315" t="e">
        <f>VLOOKUP($L$10,洗面器,9,0)</f>
        <v>#N/A</v>
      </c>
      <c r="M146" s="531"/>
      <c r="N146" s="3282" t="e">
        <f>ROUNDDOWN(H147,2)</f>
        <v>#N/A</v>
      </c>
      <c r="O146" s="3246" t="e">
        <f>INT(E146*N146)</f>
        <v>#N/A</v>
      </c>
      <c r="P146" s="3285"/>
      <c r="Q146" s="3291" t="s">
        <v>158</v>
      </c>
      <c r="R146" s="3260">
        <f>IF(ISERROR(INT(O146*P146)),0,INT(O146*P146))</f>
        <v>0</v>
      </c>
      <c r="S146" s="2766"/>
      <c r="T146" s="2200"/>
      <c r="U146" s="4" t="b">
        <f>U$145</f>
        <v>0</v>
      </c>
    </row>
    <row r="147" spans="2:21" ht="13.5" customHeight="1">
      <c r="B147" s="3367"/>
      <c r="C147" s="2581"/>
      <c r="D147" s="2502"/>
      <c r="E147" s="2770"/>
      <c r="F147" s="2772"/>
      <c r="G147" s="3055"/>
      <c r="H147" s="307" t="e">
        <f>HLOOKUP(H146,I146:L147,2,0)</f>
        <v>#N/A</v>
      </c>
      <c r="I147" s="308" t="e">
        <f>VLOOKUP($L$10,洗面器,4,0)</f>
        <v>#N/A</v>
      </c>
      <c r="J147" s="316" t="e">
        <f>VLOOKUP($L$10,洗面器,6,0)</f>
        <v>#N/A</v>
      </c>
      <c r="K147" s="324" t="e">
        <f>VLOOKUP($L$10,洗面器,8,0)</f>
        <v>#N/A</v>
      </c>
      <c r="L147" s="309" t="e">
        <f>VLOOKUP($L$10,洗面器,10,0)</f>
        <v>#N/A</v>
      </c>
      <c r="M147" s="9"/>
      <c r="N147" s="3283"/>
      <c r="O147" s="3248"/>
      <c r="P147" s="3286"/>
      <c r="Q147" s="3292"/>
      <c r="R147" s="2770"/>
      <c r="S147" s="2772"/>
      <c r="T147" s="2200"/>
      <c r="U147" s="4" t="b">
        <f>U$145</f>
        <v>0</v>
      </c>
    </row>
    <row r="148" spans="2:21" ht="13.5" customHeight="1">
      <c r="B148" s="3367"/>
      <c r="C148" s="1578"/>
      <c r="D148" s="1580"/>
      <c r="E148" s="3243" t="s">
        <v>111</v>
      </c>
      <c r="F148" s="3244"/>
      <c r="G148" s="1549" t="s">
        <v>112</v>
      </c>
      <c r="H148" s="1547"/>
      <c r="I148" s="1547"/>
      <c r="J148" s="1547"/>
      <c r="K148" s="1547"/>
      <c r="L148" s="1547"/>
      <c r="M148" s="1548"/>
      <c r="N148" s="1556" t="s">
        <v>458</v>
      </c>
      <c r="O148" s="1556" t="s">
        <v>113</v>
      </c>
      <c r="P148" s="1842" t="s">
        <v>114</v>
      </c>
      <c r="Q148" s="1843" t="s">
        <v>156</v>
      </c>
      <c r="R148" s="2498" t="s">
        <v>686</v>
      </c>
      <c r="S148" s="3082"/>
      <c r="T148" s="2200"/>
      <c r="U148" s="4" t="b">
        <f>COUNTA(H149,H151,P149)&lt;&gt;0</f>
        <v>0</v>
      </c>
    </row>
    <row r="149" spans="2:21" ht="13.5" customHeight="1">
      <c r="B149" s="3367"/>
      <c r="C149" s="2443" t="s">
        <v>5382</v>
      </c>
      <c r="D149" s="2444"/>
      <c r="E149" s="2418" t="e">
        <f>VLOOKUP($L$10,化粧台,2,0)</f>
        <v>#N/A</v>
      </c>
      <c r="F149" s="2420"/>
      <c r="G149" s="2498" t="s">
        <v>1139</v>
      </c>
      <c r="H149" s="357"/>
      <c r="I149" s="358" t="e">
        <f>VLOOKUP($L$10,化粧台,3,0)</f>
        <v>#N/A</v>
      </c>
      <c r="J149" s="359" t="e">
        <f>VLOOKUP($L$10,化粧台,5,0)</f>
        <v>#N/A</v>
      </c>
      <c r="K149" s="360" t="e">
        <f>VLOOKUP($L$10,化粧台,7,0)</f>
        <v>#N/A</v>
      </c>
      <c r="L149" s="367" t="s">
        <v>5357</v>
      </c>
      <c r="M149" s="1849" t="s">
        <v>5383</v>
      </c>
      <c r="N149" s="3238" t="e">
        <f>ROUNDDOWN(H150*H152,2)</f>
        <v>#N/A</v>
      </c>
      <c r="O149" s="3235" t="e">
        <f>INT(E149*N149)</f>
        <v>#N/A</v>
      </c>
      <c r="P149" s="3271"/>
      <c r="Q149" s="2515" t="s">
        <v>158</v>
      </c>
      <c r="R149" s="2418">
        <f>IF(ISERROR(INT(O149*P149)),0,INT(O149*P149))</f>
        <v>0</v>
      </c>
      <c r="S149" s="2420"/>
      <c r="T149" s="2200"/>
      <c r="U149" s="4" t="b">
        <f>U148</f>
        <v>0</v>
      </c>
    </row>
    <row r="150" spans="2:21" ht="13.5" customHeight="1">
      <c r="B150" s="3367"/>
      <c r="C150" s="2445"/>
      <c r="D150" s="2444"/>
      <c r="E150" s="2448"/>
      <c r="F150" s="2450"/>
      <c r="G150" s="3082"/>
      <c r="H150" s="307" t="e">
        <f>HLOOKUP(H149,I149:L150,2,0)</f>
        <v>#N/A</v>
      </c>
      <c r="I150" s="308" t="e">
        <f>VLOOKUP($L$10,化粧台,4,0)</f>
        <v>#N/A</v>
      </c>
      <c r="J150" s="316" t="e">
        <f>VLOOKUP($L$10,化粧台,6,0)</f>
        <v>#N/A</v>
      </c>
      <c r="K150" s="324" t="e">
        <f>VLOOKUP($L$10,化粧台,8,0)</f>
        <v>#N/A</v>
      </c>
      <c r="L150" s="935" t="str">
        <f t="shared" ref="L150" si="25">IF(M150,ROUNDDOWN(1+(M150-J149)*IF(M150&gt;J149,(I150-J150)/(I149-J149),(J150-K150)/(J149-K149)),2),"－")</f>
        <v>－</v>
      </c>
      <c r="M150" s="2049"/>
      <c r="N150" s="3239"/>
      <c r="O150" s="3236"/>
      <c r="P150" s="3272"/>
      <c r="Q150" s="2461"/>
      <c r="R150" s="2448"/>
      <c r="S150" s="2450"/>
      <c r="T150" s="2200"/>
      <c r="U150" s="4" t="b">
        <f>U148</f>
        <v>0</v>
      </c>
    </row>
    <row r="151" spans="2:21" ht="13.5" customHeight="1">
      <c r="B151" s="3367"/>
      <c r="C151" s="2445"/>
      <c r="D151" s="2444"/>
      <c r="E151" s="2448"/>
      <c r="F151" s="2450"/>
      <c r="G151" s="2498" t="s">
        <v>790</v>
      </c>
      <c r="H151" s="883"/>
      <c r="I151" s="313" t="e">
        <f>VLOOKUP($L$10,化粧台,9,0)</f>
        <v>#N/A</v>
      </c>
      <c r="J151" s="314" t="e">
        <f>VLOOKUP($L$10,化粧台,11,0)</f>
        <v>#N/A</v>
      </c>
      <c r="K151" s="314" t="e">
        <f>VLOOKUP($L$10,化粧台,13,0)</f>
        <v>#N/A</v>
      </c>
      <c r="L151" s="315" t="e">
        <f>VLOOKUP($L$10,化粧台,15,0)</f>
        <v>#N/A</v>
      </c>
      <c r="M151" s="9"/>
      <c r="N151" s="3239"/>
      <c r="O151" s="3236"/>
      <c r="P151" s="3272"/>
      <c r="Q151" s="2461"/>
      <c r="R151" s="2448"/>
      <c r="S151" s="2450"/>
      <c r="T151" s="2200"/>
      <c r="U151" s="4" t="b">
        <f>U148</f>
        <v>0</v>
      </c>
    </row>
    <row r="152" spans="2:21" ht="13.5" customHeight="1">
      <c r="B152" s="3367"/>
      <c r="C152" s="2446"/>
      <c r="D152" s="2447"/>
      <c r="E152" s="2421"/>
      <c r="F152" s="2423"/>
      <c r="G152" s="3082"/>
      <c r="H152" s="307" t="e">
        <f>HLOOKUP(H151,I151:L152,2,0)</f>
        <v>#N/A</v>
      </c>
      <c r="I152" s="308" t="e">
        <f>VLOOKUP($L$10,化粧台,10,0)</f>
        <v>#N/A</v>
      </c>
      <c r="J152" s="316" t="e">
        <f>VLOOKUP($L$10,化粧台,12,0)</f>
        <v>#N/A</v>
      </c>
      <c r="K152" s="316" t="e">
        <f>VLOOKUP($L$10,化粧台,14,0)</f>
        <v>#N/A</v>
      </c>
      <c r="L152" s="309" t="e">
        <f>VLOOKUP($L$10,化粧台,16,0)</f>
        <v>#N/A</v>
      </c>
      <c r="M152" s="44"/>
      <c r="N152" s="3240"/>
      <c r="O152" s="3237"/>
      <c r="P152" s="3290"/>
      <c r="Q152" s="2516"/>
      <c r="R152" s="2421"/>
      <c r="S152" s="2423"/>
      <c r="T152" s="2200"/>
      <c r="U152" s="4" t="b">
        <f>U148</f>
        <v>0</v>
      </c>
    </row>
    <row r="153" spans="2:21" ht="13.5" customHeight="1">
      <c r="B153" s="3367"/>
      <c r="C153" s="1578"/>
      <c r="D153" s="1580"/>
      <c r="E153" s="3243" t="s">
        <v>111</v>
      </c>
      <c r="F153" s="3244"/>
      <c r="G153" s="1549" t="s">
        <v>112</v>
      </c>
      <c r="H153" s="1547"/>
      <c r="I153" s="1547"/>
      <c r="J153" s="1547"/>
      <c r="K153" s="1547"/>
      <c r="L153" s="1547"/>
      <c r="M153" s="1548"/>
      <c r="N153" s="1556" t="s">
        <v>458</v>
      </c>
      <c r="O153" s="1556" t="s">
        <v>113</v>
      </c>
      <c r="P153" s="1842" t="s">
        <v>114</v>
      </c>
      <c r="Q153" s="1843" t="s">
        <v>156</v>
      </c>
      <c r="R153" s="2498" t="s">
        <v>686</v>
      </c>
      <c r="S153" s="3082"/>
      <c r="T153" s="2200"/>
      <c r="U153" s="4" t="b">
        <f>COUNTA(H154,H156,P154)&lt;&gt;0</f>
        <v>0</v>
      </c>
    </row>
    <row r="154" spans="2:21" ht="13.5" customHeight="1">
      <c r="B154" s="3367"/>
      <c r="C154" s="2443" t="s">
        <v>5426</v>
      </c>
      <c r="D154" s="2444"/>
      <c r="E154" s="2418" t="e">
        <f>VLOOKUP($L$10,洗濯流し,2,0)</f>
        <v>#N/A</v>
      </c>
      <c r="F154" s="2420"/>
      <c r="G154" s="2498" t="s">
        <v>1139</v>
      </c>
      <c r="H154" s="312"/>
      <c r="I154" s="358" t="e">
        <f>VLOOKUP($L$10,洗濯流し,3,0)</f>
        <v>#N/A</v>
      </c>
      <c r="J154" s="359" t="e">
        <f>VLOOKUP($L$10,洗濯流し,5,0)</f>
        <v>#N/A</v>
      </c>
      <c r="K154" s="361" t="e">
        <f>VLOOKUP($L$10,洗濯流し,7,0)</f>
        <v>#N/A</v>
      </c>
      <c r="L154" s="179"/>
      <c r="M154" s="179"/>
      <c r="N154" s="3238" t="e">
        <f>ROUNDDOWN(H155*H157,2)</f>
        <v>#N/A</v>
      </c>
      <c r="O154" s="3235" t="e">
        <f>INT(E154*N154)</f>
        <v>#N/A</v>
      </c>
      <c r="P154" s="3271"/>
      <c r="Q154" s="2515" t="s">
        <v>158</v>
      </c>
      <c r="R154" s="2418">
        <f>IF(ISERROR(INT(O154*P154)),0,INT(O154*P154))</f>
        <v>0</v>
      </c>
      <c r="S154" s="2420"/>
      <c r="T154" s="2200"/>
      <c r="U154" s="4" t="b">
        <f>U153</f>
        <v>0</v>
      </c>
    </row>
    <row r="155" spans="2:21" ht="13.5" customHeight="1">
      <c r="B155" s="3367"/>
      <c r="C155" s="2445"/>
      <c r="D155" s="2444"/>
      <c r="E155" s="2448"/>
      <c r="F155" s="2450"/>
      <c r="G155" s="2499"/>
      <c r="H155" s="307" t="e">
        <f>HLOOKUP(H154,I154:K155,2,0)</f>
        <v>#N/A</v>
      </c>
      <c r="I155" s="308" t="e">
        <f>VLOOKUP($L$10,洗濯流し,4,0)</f>
        <v>#N/A</v>
      </c>
      <c r="J155" s="316" t="e">
        <f>VLOOKUP($L$10,洗濯流し,6,0)</f>
        <v>#N/A</v>
      </c>
      <c r="K155" s="309" t="e">
        <f>VLOOKUP($L$10,洗濯流し,8,0)</f>
        <v>#N/A</v>
      </c>
      <c r="L155" s="9"/>
      <c r="M155" s="9"/>
      <c r="N155" s="3239"/>
      <c r="O155" s="3236"/>
      <c r="P155" s="3272"/>
      <c r="Q155" s="2461"/>
      <c r="R155" s="2448"/>
      <c r="S155" s="2450"/>
      <c r="T155" s="2200"/>
      <c r="U155" s="4" t="b">
        <f>U153</f>
        <v>0</v>
      </c>
    </row>
    <row r="156" spans="2:21" ht="13.5" customHeight="1">
      <c r="B156" s="3367"/>
      <c r="C156" s="2445"/>
      <c r="D156" s="2444"/>
      <c r="E156" s="2448"/>
      <c r="F156" s="2450"/>
      <c r="G156" s="2498" t="s">
        <v>790</v>
      </c>
      <c r="H156" s="312"/>
      <c r="I156" s="313" t="e">
        <f>VLOOKUP($L$10,洗濯流し,9,0)</f>
        <v>#N/A</v>
      </c>
      <c r="J156" s="314" t="e">
        <f>VLOOKUP($L$10,洗濯流し,11,0)</f>
        <v>#N/A</v>
      </c>
      <c r="K156" s="315" t="e">
        <f>VLOOKUP($L$10,洗濯流し,13,0)</f>
        <v>#N/A</v>
      </c>
      <c r="L156" s="9"/>
      <c r="M156" s="9"/>
      <c r="N156" s="3239"/>
      <c r="O156" s="3236"/>
      <c r="P156" s="3272"/>
      <c r="Q156" s="2461"/>
      <c r="R156" s="2448"/>
      <c r="S156" s="2450"/>
      <c r="T156" s="2200"/>
      <c r="U156" s="4" t="b">
        <f>U153</f>
        <v>0</v>
      </c>
    </row>
    <row r="157" spans="2:21" ht="13.5" customHeight="1">
      <c r="B157" s="3367"/>
      <c r="C157" s="2446"/>
      <c r="D157" s="2447"/>
      <c r="E157" s="2421"/>
      <c r="F157" s="2423"/>
      <c r="G157" s="3082"/>
      <c r="H157" s="307" t="e">
        <f>HLOOKUP(H156,I156:K157,2,0)</f>
        <v>#N/A</v>
      </c>
      <c r="I157" s="308" t="e">
        <f>VLOOKUP($L$10,洗濯流し,10,0)</f>
        <v>#N/A</v>
      </c>
      <c r="J157" s="316" t="e">
        <f>VLOOKUP($L$10,洗濯流し,12,0)</f>
        <v>#N/A</v>
      </c>
      <c r="K157" s="309" t="e">
        <f>VLOOKUP($L$10,洗濯流し,14,0)</f>
        <v>#N/A</v>
      </c>
      <c r="L157" s="44"/>
      <c r="M157" s="44"/>
      <c r="N157" s="3240"/>
      <c r="O157" s="3237"/>
      <c r="P157" s="3290"/>
      <c r="Q157" s="2516"/>
      <c r="R157" s="2421"/>
      <c r="S157" s="2423"/>
      <c r="T157" s="2200"/>
      <c r="U157" s="4" t="b">
        <f>U153</f>
        <v>0</v>
      </c>
    </row>
    <row r="158" spans="2:21" ht="13.5" customHeight="1">
      <c r="B158" s="3367"/>
      <c r="C158" s="1578"/>
      <c r="D158" s="1580"/>
      <c r="E158" s="3243" t="s">
        <v>111</v>
      </c>
      <c r="F158" s="3244"/>
      <c r="G158" s="1549" t="s">
        <v>112</v>
      </c>
      <c r="H158" s="1547"/>
      <c r="I158" s="1547"/>
      <c r="J158" s="1547"/>
      <c r="K158" s="1547"/>
      <c r="L158" s="1547"/>
      <c r="M158" s="1548"/>
      <c r="N158" s="1556" t="s">
        <v>458</v>
      </c>
      <c r="O158" s="1556" t="s">
        <v>113</v>
      </c>
      <c r="P158" s="1842" t="s">
        <v>114</v>
      </c>
      <c r="Q158" s="1843" t="s">
        <v>156</v>
      </c>
      <c r="R158" s="2498" t="s">
        <v>686</v>
      </c>
      <c r="S158" s="3082"/>
      <c r="T158" s="2200"/>
      <c r="U158" s="4" t="b">
        <f>COUNTA(H159,H161,P159)&lt;&gt;0</f>
        <v>0</v>
      </c>
    </row>
    <row r="159" spans="2:21" ht="13.5" customHeight="1">
      <c r="B159" s="3367"/>
      <c r="C159" s="2443" t="s">
        <v>1520</v>
      </c>
      <c r="D159" s="2444"/>
      <c r="E159" s="2418" t="e">
        <f>VLOOKUP($L$10,浴槽上,2,0)</f>
        <v>#N/A</v>
      </c>
      <c r="F159" s="2420"/>
      <c r="G159" s="2498" t="s">
        <v>157</v>
      </c>
      <c r="H159" s="312"/>
      <c r="I159" s="313" t="e">
        <f>VLOOKUP($L$10,浴槽上,3,0)</f>
        <v>#N/A</v>
      </c>
      <c r="J159" s="314" t="e">
        <f>VLOOKUP($L$10,浴槽上,5,0)</f>
        <v>#N/A</v>
      </c>
      <c r="K159" s="315" t="e">
        <f>VLOOKUP($L$10,浴槽上,7,0)</f>
        <v>#N/A</v>
      </c>
      <c r="L159" s="179"/>
      <c r="M159" s="179"/>
      <c r="N159" s="3238" t="e">
        <f>ROUNDDOWN(H160*H162,2)</f>
        <v>#N/A</v>
      </c>
      <c r="O159" s="3235" t="e">
        <f>INT(E159*N159)</f>
        <v>#N/A</v>
      </c>
      <c r="P159" s="3271"/>
      <c r="Q159" s="2515" t="s">
        <v>158</v>
      </c>
      <c r="R159" s="2418">
        <f>IF(ISERROR(INT(O159*P159)),0,INT(O159*P159))</f>
        <v>0</v>
      </c>
      <c r="S159" s="2420"/>
      <c r="T159" s="2200"/>
      <c r="U159" s="4" t="b">
        <f>U158</f>
        <v>0</v>
      </c>
    </row>
    <row r="160" spans="2:21" ht="13.5" customHeight="1">
      <c r="B160" s="3367"/>
      <c r="C160" s="2445"/>
      <c r="D160" s="2444"/>
      <c r="E160" s="2448"/>
      <c r="F160" s="2450"/>
      <c r="G160" s="3082"/>
      <c r="H160" s="307" t="e">
        <f>HLOOKUP(H159,I159:K160,2,0)</f>
        <v>#N/A</v>
      </c>
      <c r="I160" s="308" t="e">
        <f>VLOOKUP($L$10,浴槽上,4,0)</f>
        <v>#N/A</v>
      </c>
      <c r="J160" s="316" t="e">
        <f>VLOOKUP($L$10,浴槽上,6,0)</f>
        <v>#N/A</v>
      </c>
      <c r="K160" s="309" t="e">
        <f>VLOOKUP($L$10,浴槽上,8,0)</f>
        <v>#N/A</v>
      </c>
      <c r="L160" s="9"/>
      <c r="M160" s="9"/>
      <c r="N160" s="3239"/>
      <c r="O160" s="3236"/>
      <c r="P160" s="3272"/>
      <c r="Q160" s="2461"/>
      <c r="R160" s="2448"/>
      <c r="S160" s="2450"/>
      <c r="T160" s="2200"/>
      <c r="U160" s="4" t="b">
        <f>U158</f>
        <v>0</v>
      </c>
    </row>
    <row r="161" spans="2:21" ht="13.5" customHeight="1">
      <c r="B161" s="3367"/>
      <c r="C161" s="2445"/>
      <c r="D161" s="2444"/>
      <c r="E161" s="2448"/>
      <c r="F161" s="2450"/>
      <c r="G161" s="2498" t="s">
        <v>790</v>
      </c>
      <c r="H161" s="312"/>
      <c r="I161" s="313" t="e">
        <f>VLOOKUP($L$10,浴槽上,9,0)</f>
        <v>#N/A</v>
      </c>
      <c r="J161" s="314" t="e">
        <f>VLOOKUP($L$10,浴槽上,11,0)</f>
        <v>#N/A</v>
      </c>
      <c r="K161" s="315" t="e">
        <f>VLOOKUP($L$10,浴槽上,13,0)</f>
        <v>#N/A</v>
      </c>
      <c r="L161" s="9"/>
      <c r="M161" s="9"/>
      <c r="N161" s="3239"/>
      <c r="O161" s="3236"/>
      <c r="P161" s="3272"/>
      <c r="Q161" s="2461"/>
      <c r="R161" s="2448"/>
      <c r="S161" s="2450"/>
      <c r="T161" s="2200"/>
      <c r="U161" s="4" t="b">
        <f>U158</f>
        <v>0</v>
      </c>
    </row>
    <row r="162" spans="2:21" ht="13.5" customHeight="1">
      <c r="B162" s="3367"/>
      <c r="C162" s="2446"/>
      <c r="D162" s="2447"/>
      <c r="E162" s="2421"/>
      <c r="F162" s="2423"/>
      <c r="G162" s="3082"/>
      <c r="H162" s="307" t="e">
        <f>HLOOKUP(H161,I161:K162,2,0)</f>
        <v>#N/A</v>
      </c>
      <c r="I162" s="308" t="e">
        <f>VLOOKUP($L$10,浴槽上,10,0)</f>
        <v>#N/A</v>
      </c>
      <c r="J162" s="316" t="e">
        <f>VLOOKUP($L$10,浴槽上,12,0)</f>
        <v>#N/A</v>
      </c>
      <c r="K162" s="309" t="e">
        <f>VLOOKUP($L$10,浴槽上,14,0)</f>
        <v>#N/A</v>
      </c>
      <c r="L162" s="44"/>
      <c r="M162" s="44"/>
      <c r="N162" s="3240"/>
      <c r="O162" s="3237"/>
      <c r="P162" s="3290"/>
      <c r="Q162" s="2516"/>
      <c r="R162" s="2421"/>
      <c r="S162" s="2423"/>
      <c r="T162" s="2200"/>
      <c r="U162" s="4" t="b">
        <f>U158</f>
        <v>0</v>
      </c>
    </row>
    <row r="163" spans="2:21" ht="13.5" customHeight="1">
      <c r="B163" s="3367"/>
      <c r="C163" s="1578"/>
      <c r="D163" s="1580"/>
      <c r="E163" s="3243" t="s">
        <v>111</v>
      </c>
      <c r="F163" s="3244"/>
      <c r="G163" s="1549" t="s">
        <v>112</v>
      </c>
      <c r="H163" s="1547"/>
      <c r="I163" s="1547"/>
      <c r="J163" s="1547"/>
      <c r="K163" s="1547"/>
      <c r="L163" s="1548"/>
      <c r="M163" s="1548"/>
      <c r="N163" s="1556" t="s">
        <v>458</v>
      </c>
      <c r="O163" s="1556" t="s">
        <v>113</v>
      </c>
      <c r="P163" s="1842" t="s">
        <v>114</v>
      </c>
      <c r="Q163" s="1843" t="s">
        <v>156</v>
      </c>
      <c r="R163" s="2498" t="s">
        <v>686</v>
      </c>
      <c r="S163" s="3082"/>
      <c r="T163" s="2200"/>
      <c r="U163" s="4" t="b">
        <f>COUNTA(H164,H166,P164)&lt;&gt;0</f>
        <v>0</v>
      </c>
    </row>
    <row r="164" spans="2:21" ht="13.5" customHeight="1">
      <c r="B164" s="3367"/>
      <c r="C164" s="2443" t="s">
        <v>1521</v>
      </c>
      <c r="D164" s="2444"/>
      <c r="E164" s="2418" t="e">
        <f>VLOOKUP($L$10,浴槽並,2,0)</f>
        <v>#N/A</v>
      </c>
      <c r="F164" s="2420"/>
      <c r="G164" s="2498" t="s">
        <v>157</v>
      </c>
      <c r="H164" s="312"/>
      <c r="I164" s="313" t="e">
        <f>VLOOKUP($L$10,浴槽並,3,0)</f>
        <v>#N/A</v>
      </c>
      <c r="J164" s="314" t="e">
        <f>VLOOKUP($L$10,浴槽並,5,0)</f>
        <v>#N/A</v>
      </c>
      <c r="K164" s="315" t="e">
        <f>VLOOKUP($L$10,浴槽並,7,0)</f>
        <v>#N/A</v>
      </c>
      <c r="L164" s="179"/>
      <c r="M164" s="179"/>
      <c r="N164" s="3238" t="e">
        <f>ROUNDDOWN(H165*H167,2)</f>
        <v>#N/A</v>
      </c>
      <c r="O164" s="3235" t="e">
        <f>INT(E164*N164)</f>
        <v>#N/A</v>
      </c>
      <c r="P164" s="3271"/>
      <c r="Q164" s="2515" t="s">
        <v>158</v>
      </c>
      <c r="R164" s="2418">
        <f>IF(ISERROR(INT(O164*P164)),0,INT(O164*P164))</f>
        <v>0</v>
      </c>
      <c r="S164" s="2420"/>
      <c r="T164" s="2200"/>
      <c r="U164" s="4" t="b">
        <f>U163</f>
        <v>0</v>
      </c>
    </row>
    <row r="165" spans="2:21" ht="13.5" customHeight="1">
      <c r="B165" s="3367"/>
      <c r="C165" s="2445"/>
      <c r="D165" s="2444"/>
      <c r="E165" s="2448"/>
      <c r="F165" s="2450"/>
      <c r="G165" s="3082"/>
      <c r="H165" s="307" t="e">
        <f>HLOOKUP(H164,I164:K165,2,0)</f>
        <v>#N/A</v>
      </c>
      <c r="I165" s="308" t="e">
        <f>VLOOKUP($L$10,浴槽並,4,0)</f>
        <v>#N/A</v>
      </c>
      <c r="J165" s="316" t="e">
        <f>VLOOKUP($L$10,浴槽並,6,0)</f>
        <v>#N/A</v>
      </c>
      <c r="K165" s="309" t="e">
        <f>VLOOKUP($L$10,浴槽並,8,0)</f>
        <v>#N/A</v>
      </c>
      <c r="L165" s="9"/>
      <c r="M165" s="9"/>
      <c r="N165" s="3239"/>
      <c r="O165" s="3236"/>
      <c r="P165" s="3272"/>
      <c r="Q165" s="2461"/>
      <c r="R165" s="2448"/>
      <c r="S165" s="2450"/>
      <c r="T165" s="2200"/>
      <c r="U165" s="4" t="b">
        <f>U163</f>
        <v>0</v>
      </c>
    </row>
    <row r="166" spans="2:21" ht="13.5" customHeight="1">
      <c r="B166" s="3367"/>
      <c r="C166" s="2445"/>
      <c r="D166" s="2444"/>
      <c r="E166" s="2448"/>
      <c r="F166" s="2450"/>
      <c r="G166" s="2498" t="s">
        <v>790</v>
      </c>
      <c r="H166" s="312"/>
      <c r="I166" s="313" t="e">
        <f>VLOOKUP($L$10,浴槽並,9,0)</f>
        <v>#N/A</v>
      </c>
      <c r="J166" s="314" t="e">
        <f>VLOOKUP($L$10,浴槽並,11,0)</f>
        <v>#N/A</v>
      </c>
      <c r="K166" s="315" t="e">
        <f>VLOOKUP($L$10,浴槽並,13,0)</f>
        <v>#N/A</v>
      </c>
      <c r="L166" s="9"/>
      <c r="M166" s="9"/>
      <c r="N166" s="3239"/>
      <c r="O166" s="3236"/>
      <c r="P166" s="3272"/>
      <c r="Q166" s="2461"/>
      <c r="R166" s="2448"/>
      <c r="S166" s="2450"/>
      <c r="T166" s="2200"/>
      <c r="U166" s="4" t="b">
        <f>U163</f>
        <v>0</v>
      </c>
    </row>
    <row r="167" spans="2:21" ht="13.5" customHeight="1">
      <c r="B167" s="3367"/>
      <c r="C167" s="2446"/>
      <c r="D167" s="2447"/>
      <c r="E167" s="2421"/>
      <c r="F167" s="2423"/>
      <c r="G167" s="3082"/>
      <c r="H167" s="307" t="e">
        <f>HLOOKUP(H166,I166:K167,2,0)</f>
        <v>#N/A</v>
      </c>
      <c r="I167" s="308" t="e">
        <f>VLOOKUP($L$10,浴槽並,10,0)</f>
        <v>#N/A</v>
      </c>
      <c r="J167" s="316" t="e">
        <f>VLOOKUP($L$10,浴槽並,12,0)</f>
        <v>#N/A</v>
      </c>
      <c r="K167" s="309" t="e">
        <f>VLOOKUP($L$10,浴槽並,14,0)</f>
        <v>#N/A</v>
      </c>
      <c r="L167" s="44"/>
      <c r="M167" s="44"/>
      <c r="N167" s="3240"/>
      <c r="O167" s="3237"/>
      <c r="P167" s="3290"/>
      <c r="Q167" s="2516"/>
      <c r="R167" s="2421"/>
      <c r="S167" s="2423"/>
      <c r="T167" s="2200"/>
      <c r="U167" s="4" t="b">
        <f>U163</f>
        <v>0</v>
      </c>
    </row>
    <row r="168" spans="2:21" ht="13.5" customHeight="1">
      <c r="B168" s="3367"/>
      <c r="C168" s="1578"/>
      <c r="D168" s="1580"/>
      <c r="E168" s="3243" t="s">
        <v>111</v>
      </c>
      <c r="F168" s="3244"/>
      <c r="G168" s="1549" t="s">
        <v>112</v>
      </c>
      <c r="H168" s="1547"/>
      <c r="I168" s="1547"/>
      <c r="J168" s="1547"/>
      <c r="K168" s="1547"/>
      <c r="L168" s="1547"/>
      <c r="M168" s="1548"/>
      <c r="N168" s="1556" t="s">
        <v>458</v>
      </c>
      <c r="O168" s="1556" t="s">
        <v>113</v>
      </c>
      <c r="P168" s="1842" t="s">
        <v>114</v>
      </c>
      <c r="Q168" s="1843" t="s">
        <v>156</v>
      </c>
      <c r="R168" s="2498" t="s">
        <v>686</v>
      </c>
      <c r="S168" s="3082"/>
      <c r="T168" s="2200"/>
      <c r="U168" s="4" t="b">
        <f>COUNTA(H169,H171,H174,H178:I178,P169)&lt;&gt;0</f>
        <v>0</v>
      </c>
    </row>
    <row r="169" spans="2:21" ht="13.5" customHeight="1">
      <c r="B169" s="3367"/>
      <c r="C169" s="2443" t="s">
        <v>791</v>
      </c>
      <c r="D169" s="2444"/>
      <c r="E169" s="2418" t="e">
        <f>VLOOKUP($L$10,ＵＢ,2,0)</f>
        <v>#N/A</v>
      </c>
      <c r="F169" s="2420"/>
      <c r="G169" s="2498" t="s">
        <v>792</v>
      </c>
      <c r="H169" s="312"/>
      <c r="I169" s="313" t="e">
        <f>VLOOKUP($L$10,ＵＢ,3,0)</f>
        <v>#N/A</v>
      </c>
      <c r="J169" s="315" t="e">
        <f>VLOOKUP($L$10,ＵＢ,5,0)</f>
        <v>#N/A</v>
      </c>
      <c r="K169" s="179"/>
      <c r="L169" s="179"/>
      <c r="M169" s="531"/>
      <c r="N169" s="3238" t="e">
        <f>ROUNDDOWN(H170*H173*H175,2)</f>
        <v>#N/A</v>
      </c>
      <c r="O169" s="3235" t="e">
        <f>INT(E169*N169)</f>
        <v>#N/A</v>
      </c>
      <c r="P169" s="3287"/>
      <c r="Q169" s="2515" t="s">
        <v>158</v>
      </c>
      <c r="R169" s="2418">
        <f>IF(ISERROR(INT(O169*P169)),0,INT(O169*P169))</f>
        <v>0</v>
      </c>
      <c r="S169" s="2420"/>
      <c r="T169" s="2200"/>
      <c r="U169" s="4" t="b">
        <f>U168</f>
        <v>0</v>
      </c>
    </row>
    <row r="170" spans="2:21" ht="13.5" customHeight="1">
      <c r="B170" s="3367"/>
      <c r="C170" s="2445"/>
      <c r="D170" s="2444"/>
      <c r="E170" s="2448"/>
      <c r="F170" s="2450"/>
      <c r="G170" s="3082"/>
      <c r="H170" s="307" t="e">
        <f>HLOOKUP(H169,I169:M170,2,0)</f>
        <v>#N/A</v>
      </c>
      <c r="I170" s="308" t="e">
        <f>VLOOKUP($L$10,ＵＢ,4,0)</f>
        <v>#N/A</v>
      </c>
      <c r="J170" s="309" t="e">
        <f>VLOOKUP($L$10,ＵＢ,6,0)</f>
        <v>#N/A</v>
      </c>
      <c r="K170" s="9"/>
      <c r="L170" s="9"/>
      <c r="M170" s="10"/>
      <c r="N170" s="3239"/>
      <c r="O170" s="3236"/>
      <c r="P170" s="3288"/>
      <c r="Q170" s="2461"/>
      <c r="R170" s="2448"/>
      <c r="S170" s="2450"/>
      <c r="T170" s="2200"/>
      <c r="U170" s="4" t="b">
        <f>U168</f>
        <v>0</v>
      </c>
    </row>
    <row r="171" spans="2:21" ht="13.5" customHeight="1">
      <c r="B171" s="3367"/>
      <c r="C171" s="2445"/>
      <c r="D171" s="2444"/>
      <c r="E171" s="2448"/>
      <c r="F171" s="2450"/>
      <c r="G171" s="2498" t="s">
        <v>157</v>
      </c>
      <c r="H171" s="357"/>
      <c r="I171" s="358" t="e">
        <f>VLOOKUP($L$10,ＵＢ,15,0)</f>
        <v>#N/A</v>
      </c>
      <c r="J171" s="359" t="e">
        <f>VLOOKUP($L$10,ＵＢ,18,0)</f>
        <v>#N/A</v>
      </c>
      <c r="K171" s="360" t="e">
        <f>VLOOKUP($L$10,ＵＢ,21,0)</f>
        <v>#N/A</v>
      </c>
      <c r="L171" s="361" t="s">
        <v>736</v>
      </c>
      <c r="M171" s="9"/>
      <c r="N171" s="3239"/>
      <c r="O171" s="3236"/>
      <c r="P171" s="3288"/>
      <c r="Q171" s="2461"/>
      <c r="R171" s="2448"/>
      <c r="S171" s="2450"/>
      <c r="T171" s="2200"/>
      <c r="U171" s="4" t="b">
        <f>U168</f>
        <v>0</v>
      </c>
    </row>
    <row r="172" spans="2:21" ht="13.5" customHeight="1">
      <c r="B172" s="3367"/>
      <c r="C172" s="2445"/>
      <c r="D172" s="2444"/>
      <c r="E172" s="2448"/>
      <c r="F172" s="2450"/>
      <c r="G172" s="3082"/>
      <c r="H172" s="678" t="e">
        <f>HLOOKUP(H171,I171:M173,2,0)</f>
        <v>#N/A</v>
      </c>
      <c r="I172" s="645" t="e">
        <f>VLOOKUP($L$10,ＵＢ,16,0)</f>
        <v>#N/A</v>
      </c>
      <c r="J172" s="646" t="e">
        <f>VLOOKUP($L$10,ＵＢ,19,0)</f>
        <v>#N/A</v>
      </c>
      <c r="K172" s="647" t="e">
        <f>VLOOKUP($L$10,ＵＢ,22,0)</f>
        <v>#N/A</v>
      </c>
      <c r="L172" s="648" t="str">
        <f>IF(J178,J178,"-")</f>
        <v>-</v>
      </c>
      <c r="M172" s="9"/>
      <c r="N172" s="3239"/>
      <c r="O172" s="3236"/>
      <c r="P172" s="3288"/>
      <c r="Q172" s="2461"/>
      <c r="R172" s="2448"/>
      <c r="S172" s="2450"/>
      <c r="T172" s="2200"/>
      <c r="U172" s="4" t="b">
        <f>U168</f>
        <v>0</v>
      </c>
    </row>
    <row r="173" spans="2:21" ht="13.5" customHeight="1">
      <c r="B173" s="3367"/>
      <c r="C173" s="2445"/>
      <c r="D173" s="2444"/>
      <c r="E173" s="2448"/>
      <c r="F173" s="2450"/>
      <c r="G173" s="3082"/>
      <c r="H173" s="307" t="e">
        <f>HLOOKUP(H171,I171:M173,3,0)</f>
        <v>#N/A</v>
      </c>
      <c r="I173" s="308" t="e">
        <f>VLOOKUP($L$10,ＵＢ,17,0)</f>
        <v>#N/A</v>
      </c>
      <c r="J173" s="316" t="e">
        <f>VLOOKUP($L$10,ＵＢ,20,0)</f>
        <v>#N/A</v>
      </c>
      <c r="K173" s="324" t="e">
        <f>VLOOKUP($L$10,ＵＢ,23,0)</f>
        <v>#N/A</v>
      </c>
      <c r="L173" s="309" t="str">
        <f>IF(J178,ROUNDDOWN(1+(L172-J172)*IF(L172&gt;J172,(I173-J173)/(I172-J172),(J173-K173)/(J172-K172)),2),"-")</f>
        <v>-</v>
      </c>
      <c r="M173" s="893"/>
      <c r="N173" s="3239"/>
      <c r="O173" s="3236"/>
      <c r="P173" s="3288"/>
      <c r="Q173" s="2461"/>
      <c r="R173" s="2448"/>
      <c r="S173" s="2450"/>
      <c r="T173" s="2200"/>
      <c r="U173" s="4" t="b">
        <f>U168</f>
        <v>0</v>
      </c>
    </row>
    <row r="174" spans="2:21" ht="13.5" customHeight="1">
      <c r="B174" s="3367"/>
      <c r="C174" s="2445"/>
      <c r="D174" s="2444"/>
      <c r="E174" s="2448"/>
      <c r="F174" s="2450"/>
      <c r="G174" s="2498" t="s">
        <v>689</v>
      </c>
      <c r="H174" s="312"/>
      <c r="I174" s="313" t="e">
        <f>VLOOKUP($L$10,ＵＢ,9,0)</f>
        <v>#N/A</v>
      </c>
      <c r="J174" s="314" t="e">
        <f>VLOOKUP($L$10,ＵＢ,11,0)</f>
        <v>#N/A</v>
      </c>
      <c r="K174" s="315" t="e">
        <f>VLOOKUP($L$10,ＵＢ,13,0)</f>
        <v>#N/A</v>
      </c>
      <c r="L174" s="9"/>
      <c r="M174" s="9"/>
      <c r="N174" s="3239"/>
      <c r="O174" s="3236"/>
      <c r="P174" s="3288"/>
      <c r="Q174" s="2461"/>
      <c r="R174" s="2448"/>
      <c r="S174" s="2450"/>
      <c r="T174" s="2200"/>
      <c r="U174" s="4" t="b">
        <f>U168</f>
        <v>0</v>
      </c>
    </row>
    <row r="175" spans="2:21" ht="13.5" customHeight="1">
      <c r="B175" s="3367"/>
      <c r="C175" s="2445"/>
      <c r="D175" s="2444"/>
      <c r="E175" s="2421"/>
      <c r="F175" s="2423"/>
      <c r="G175" s="3082"/>
      <c r="H175" s="307" t="e">
        <f>HLOOKUP(H174,I174:M175,2,0)</f>
        <v>#N/A</v>
      </c>
      <c r="I175" s="308" t="e">
        <f>VLOOKUP($L$10,ＵＢ,10,0)</f>
        <v>#N/A</v>
      </c>
      <c r="J175" s="316" t="e">
        <f>VLOOKUP($L$10,ＵＢ,12,0)</f>
        <v>#N/A</v>
      </c>
      <c r="K175" s="309" t="e">
        <f>VLOOKUP($L$10,ＵＢ,14,0)</f>
        <v>#N/A</v>
      </c>
      <c r="L175" s="44"/>
      <c r="M175" s="44"/>
      <c r="N175" s="3240"/>
      <c r="O175" s="3237"/>
      <c r="P175" s="3289"/>
      <c r="Q175" s="2516"/>
      <c r="R175" s="2421"/>
      <c r="S175" s="2423"/>
      <c r="T175" s="2200"/>
      <c r="U175" s="4" t="b">
        <f>U168</f>
        <v>0</v>
      </c>
    </row>
    <row r="176" spans="2:21" ht="6" customHeight="1">
      <c r="B176" s="3367"/>
      <c r="C176" s="2445"/>
      <c r="D176" s="2444"/>
      <c r="E176" s="189"/>
      <c r="F176" s="9"/>
      <c r="G176" s="9"/>
      <c r="H176" s="9"/>
      <c r="I176" s="9"/>
      <c r="J176" s="9"/>
      <c r="K176" s="9"/>
      <c r="L176" s="9"/>
      <c r="M176" s="9"/>
      <c r="N176" s="2"/>
      <c r="O176" s="9"/>
      <c r="P176" s="2"/>
      <c r="Q176" s="2"/>
      <c r="R176" s="9"/>
      <c r="S176" s="10"/>
      <c r="T176" s="2200"/>
      <c r="U176" s="4" t="b">
        <f>+J178&lt;&gt;0</f>
        <v>0</v>
      </c>
    </row>
    <row r="177" spans="2:21" ht="13.5" customHeight="1">
      <c r="B177" s="3367"/>
      <c r="C177" s="2445"/>
      <c r="D177" s="2444"/>
      <c r="E177" s="189"/>
      <c r="F177" s="9"/>
      <c r="G177" s="3081" t="s">
        <v>793</v>
      </c>
      <c r="H177" s="1549" t="s">
        <v>1127</v>
      </c>
      <c r="I177" s="1547"/>
      <c r="J177" s="1548"/>
      <c r="K177" s="9"/>
      <c r="L177" s="9"/>
      <c r="M177" s="9"/>
      <c r="N177" s="2"/>
      <c r="O177" s="9"/>
      <c r="P177" s="2"/>
      <c r="Q177" s="2"/>
      <c r="R177" s="9"/>
      <c r="S177" s="10"/>
      <c r="T177" s="2200"/>
      <c r="U177" s="4" t="b">
        <f>+$U$176</f>
        <v>0</v>
      </c>
    </row>
    <row r="178" spans="2:21" ht="13.5" customHeight="1">
      <c r="B178" s="3367"/>
      <c r="C178" s="2445"/>
      <c r="D178" s="2444"/>
      <c r="E178" s="189"/>
      <c r="F178" s="9"/>
      <c r="G178" s="3082"/>
      <c r="H178" s="2050"/>
      <c r="I178" s="2051"/>
      <c r="J178" s="649">
        <f>H178*I178</f>
        <v>0</v>
      </c>
      <c r="K178" s="9"/>
      <c r="L178" s="9"/>
      <c r="M178" s="9"/>
      <c r="N178" s="2"/>
      <c r="O178" s="9"/>
      <c r="P178" s="2"/>
      <c r="Q178" s="2"/>
      <c r="R178" s="9"/>
      <c r="S178" s="10"/>
      <c r="T178" s="2200"/>
      <c r="U178" s="4" t="b">
        <f t="shared" ref="U178:U179" si="26">+$U$176</f>
        <v>0</v>
      </c>
    </row>
    <row r="179" spans="2:21" ht="6" customHeight="1">
      <c r="B179" s="3367"/>
      <c r="C179" s="2446"/>
      <c r="D179" s="2447"/>
      <c r="E179" s="190"/>
      <c r="F179" s="44"/>
      <c r="G179" s="44"/>
      <c r="H179" s="44"/>
      <c r="I179" s="44"/>
      <c r="J179" s="44"/>
      <c r="K179" s="44"/>
      <c r="L179" s="44"/>
      <c r="M179" s="44"/>
      <c r="N179" s="70"/>
      <c r="O179" s="44"/>
      <c r="P179" s="70"/>
      <c r="Q179" s="70"/>
      <c r="R179" s="44"/>
      <c r="S179" s="69"/>
      <c r="T179" s="2200"/>
      <c r="U179" s="4" t="b">
        <f t="shared" si="26"/>
        <v>0</v>
      </c>
    </row>
    <row r="180" spans="2:21" ht="13.5" customHeight="1">
      <c r="B180" s="3367"/>
      <c r="C180" s="1578"/>
      <c r="D180" s="1580"/>
      <c r="E180" s="3243" t="s">
        <v>111</v>
      </c>
      <c r="F180" s="3244"/>
      <c r="G180" s="1549" t="s">
        <v>112</v>
      </c>
      <c r="H180" s="1547"/>
      <c r="I180" s="1547"/>
      <c r="J180" s="1547"/>
      <c r="K180" s="1547"/>
      <c r="L180" s="1547"/>
      <c r="M180" s="1548"/>
      <c r="N180" s="1556" t="s">
        <v>458</v>
      </c>
      <c r="O180" s="1556" t="s">
        <v>113</v>
      </c>
      <c r="P180" s="1842" t="s">
        <v>114</v>
      </c>
      <c r="Q180" s="1843" t="s">
        <v>156</v>
      </c>
      <c r="R180" s="2498" t="s">
        <v>686</v>
      </c>
      <c r="S180" s="3082"/>
      <c r="T180" s="2200"/>
      <c r="U180" s="4" t="b">
        <f>COUNTA(H184,H181,H188:I188,P181)&lt;&gt;0</f>
        <v>0</v>
      </c>
    </row>
    <row r="181" spans="2:21" ht="13.5" customHeight="1">
      <c r="B181" s="3367"/>
      <c r="C181" s="2443" t="s">
        <v>159</v>
      </c>
      <c r="D181" s="2444"/>
      <c r="E181" s="2418" t="e">
        <f>VLOOKUP($L$10,ＨＵＢ,2,0)</f>
        <v>#N/A</v>
      </c>
      <c r="F181" s="2420"/>
      <c r="G181" s="2498" t="s">
        <v>157</v>
      </c>
      <c r="H181" s="357"/>
      <c r="I181" s="358" t="e">
        <f>VLOOKUP($L$10,ＨＵＢ,9,0)</f>
        <v>#N/A</v>
      </c>
      <c r="J181" s="359" t="e">
        <f>VLOOKUP($L$10,ＨＵＢ,12,0)</f>
        <v>#N/A</v>
      </c>
      <c r="K181" s="360" t="e">
        <f>VLOOKUP($L$10,ＨＵＢ,15,0)</f>
        <v>#N/A</v>
      </c>
      <c r="L181" s="361" t="s">
        <v>736</v>
      </c>
      <c r="M181" s="179" t="s">
        <v>5484</v>
      </c>
      <c r="N181" s="3238" t="e">
        <f>ROUNDDOWN(H185*H183,2)</f>
        <v>#N/A</v>
      </c>
      <c r="O181" s="3235" t="e">
        <f>INT(E181*N181)</f>
        <v>#N/A</v>
      </c>
      <c r="P181" s="3287"/>
      <c r="Q181" s="2515" t="s">
        <v>158</v>
      </c>
      <c r="R181" s="2418">
        <f>IF(ISERROR(INT(O181*P181)),0,INT(O181*P181))</f>
        <v>0</v>
      </c>
      <c r="S181" s="2420"/>
      <c r="T181" s="2200"/>
      <c r="U181" s="4" t="b">
        <f>U180</f>
        <v>0</v>
      </c>
    </row>
    <row r="182" spans="2:21" ht="13.5" customHeight="1">
      <c r="B182" s="3367"/>
      <c r="C182" s="2445"/>
      <c r="D182" s="2444"/>
      <c r="E182" s="2448"/>
      <c r="F182" s="2450"/>
      <c r="G182" s="3082"/>
      <c r="H182" s="678" t="e">
        <f>HLOOKUP(H181,I181:M183,2,0)</f>
        <v>#N/A</v>
      </c>
      <c r="I182" s="645" t="e">
        <f>VLOOKUP($L$10,ＨＵＢ,10,0)</f>
        <v>#N/A</v>
      </c>
      <c r="J182" s="646" t="e">
        <f>VLOOKUP($L$10,ＨＵＢ,13,0)</f>
        <v>#N/A</v>
      </c>
      <c r="K182" s="647" t="e">
        <f>VLOOKUP($L$10,ＨＵＢ,16,0)</f>
        <v>#N/A</v>
      </c>
      <c r="L182" s="648" t="str">
        <f>IF(J188,J188,"-")</f>
        <v>-</v>
      </c>
      <c r="M182" s="9"/>
      <c r="N182" s="3239"/>
      <c r="O182" s="3236"/>
      <c r="P182" s="3288"/>
      <c r="Q182" s="2461"/>
      <c r="R182" s="2448"/>
      <c r="S182" s="2450"/>
      <c r="T182" s="2200"/>
      <c r="U182" s="4" t="b">
        <f>U180</f>
        <v>0</v>
      </c>
    </row>
    <row r="183" spans="2:21" ht="13.5" customHeight="1">
      <c r="B183" s="3367"/>
      <c r="C183" s="2445"/>
      <c r="D183" s="2444"/>
      <c r="E183" s="2448"/>
      <c r="F183" s="2450"/>
      <c r="G183" s="3082"/>
      <c r="H183" s="307" t="e">
        <f>HLOOKUP(H181,I181:M183,3,0)</f>
        <v>#N/A</v>
      </c>
      <c r="I183" s="308" t="e">
        <f>VLOOKUP($L$10,ＨＵＢ,11,0)</f>
        <v>#N/A</v>
      </c>
      <c r="J183" s="316" t="e">
        <f>VLOOKUP($L$10,ＨＵＢ,14,0)</f>
        <v>#N/A</v>
      </c>
      <c r="K183" s="324" t="e">
        <f>VLOOKUP($L$10,ＨＵＢ,17,0)</f>
        <v>#N/A</v>
      </c>
      <c r="L183" s="309" t="e">
        <f>+MAX(IF(J188,ROUNDDOWN(1+(L182-J182)*(I183-J183)/(I182-J182),2),"-"),J183)</f>
        <v>#VALUE!</v>
      </c>
      <c r="M183" s="893"/>
      <c r="N183" s="3239"/>
      <c r="O183" s="3236"/>
      <c r="P183" s="3288"/>
      <c r="Q183" s="2461"/>
      <c r="R183" s="2448"/>
      <c r="S183" s="2450"/>
      <c r="T183" s="2200"/>
      <c r="U183" s="4" t="b">
        <f>U180</f>
        <v>0</v>
      </c>
    </row>
    <row r="184" spans="2:21" ht="13.5" customHeight="1">
      <c r="B184" s="3367"/>
      <c r="C184" s="2445"/>
      <c r="D184" s="2444"/>
      <c r="E184" s="2448"/>
      <c r="F184" s="2450"/>
      <c r="G184" s="2498" t="s">
        <v>689</v>
      </c>
      <c r="H184" s="312"/>
      <c r="I184" s="313" t="e">
        <f>VLOOKUP($L$10,ＨＵＢ,3,0)</f>
        <v>#N/A</v>
      </c>
      <c r="J184" s="314" t="e">
        <f>VLOOKUP($L$10,ＨＵＢ,5,0)</f>
        <v>#N/A</v>
      </c>
      <c r="K184" s="315" t="e">
        <f>VLOOKUP($L$10,ＨＵＢ,7,0)</f>
        <v>#N/A</v>
      </c>
      <c r="L184" s="179"/>
      <c r="M184" s="10"/>
      <c r="N184" s="3239"/>
      <c r="O184" s="3236"/>
      <c r="P184" s="3288"/>
      <c r="Q184" s="2461"/>
      <c r="R184" s="2448"/>
      <c r="S184" s="2450"/>
      <c r="T184" s="2200"/>
      <c r="U184" s="4" t="b">
        <f>U180</f>
        <v>0</v>
      </c>
    </row>
    <row r="185" spans="2:21" ht="13.5" customHeight="1">
      <c r="B185" s="3367"/>
      <c r="C185" s="2445"/>
      <c r="D185" s="2444"/>
      <c r="E185" s="2421"/>
      <c r="F185" s="2423"/>
      <c r="G185" s="3082"/>
      <c r="H185" s="307" t="e">
        <f>HLOOKUP(H184,I184:M185,2,0)</f>
        <v>#N/A</v>
      </c>
      <c r="I185" s="308" t="e">
        <f>VLOOKUP($L$10,ＨＵＢ,4,0)</f>
        <v>#N/A</v>
      </c>
      <c r="J185" s="316" t="e">
        <f>VLOOKUP($L$10,ＨＵＢ,6,0)</f>
        <v>#N/A</v>
      </c>
      <c r="K185" s="309" t="e">
        <f>VLOOKUP($L$10,ＨＵＢ,8,0)</f>
        <v>#N/A</v>
      </c>
      <c r="L185" s="44"/>
      <c r="M185" s="44"/>
      <c r="N185" s="3240"/>
      <c r="O185" s="3237"/>
      <c r="P185" s="3289"/>
      <c r="Q185" s="2516"/>
      <c r="R185" s="2421"/>
      <c r="S185" s="2423"/>
      <c r="T185" s="2200"/>
      <c r="U185" s="4" t="b">
        <f>U180</f>
        <v>0</v>
      </c>
    </row>
    <row r="186" spans="2:21" ht="6" customHeight="1">
      <c r="B186" s="3367"/>
      <c r="C186" s="2445"/>
      <c r="D186" s="2444"/>
      <c r="E186" s="189"/>
      <c r="F186" s="9"/>
      <c r="G186" s="9"/>
      <c r="H186" s="9"/>
      <c r="I186" s="9"/>
      <c r="J186" s="9"/>
      <c r="K186" s="9"/>
      <c r="L186" s="9"/>
      <c r="M186" s="9"/>
      <c r="N186" s="2"/>
      <c r="O186" s="9"/>
      <c r="P186" s="2"/>
      <c r="Q186" s="2"/>
      <c r="R186" s="9"/>
      <c r="S186" s="10"/>
      <c r="T186" s="2200"/>
      <c r="U186" s="4" t="b">
        <f>+J188&lt;&gt;0</f>
        <v>0</v>
      </c>
    </row>
    <row r="187" spans="2:21" ht="13.5" customHeight="1">
      <c r="B187" s="3367"/>
      <c r="C187" s="2445"/>
      <c r="D187" s="2444"/>
      <c r="E187" s="189"/>
      <c r="F187" s="9"/>
      <c r="G187" s="3081" t="s">
        <v>793</v>
      </c>
      <c r="H187" s="1549" t="s">
        <v>1127</v>
      </c>
      <c r="I187" s="1547"/>
      <c r="J187" s="1548"/>
      <c r="K187" s="9"/>
      <c r="L187" s="9"/>
      <c r="M187" s="9"/>
      <c r="N187" s="2"/>
      <c r="O187" s="9"/>
      <c r="P187" s="2"/>
      <c r="Q187" s="2"/>
      <c r="R187" s="9"/>
      <c r="S187" s="10"/>
      <c r="T187" s="2200"/>
      <c r="U187" s="4" t="b">
        <f>+$U$186</f>
        <v>0</v>
      </c>
    </row>
    <row r="188" spans="2:21" ht="13.5" customHeight="1">
      <c r="B188" s="3367"/>
      <c r="C188" s="2445"/>
      <c r="D188" s="2444"/>
      <c r="E188" s="189"/>
      <c r="F188" s="9"/>
      <c r="G188" s="3082"/>
      <c r="H188" s="2050"/>
      <c r="I188" s="2051"/>
      <c r="J188" s="649">
        <f>H188*I188</f>
        <v>0</v>
      </c>
      <c r="K188" s="9"/>
      <c r="L188" s="9"/>
      <c r="M188" s="9"/>
      <c r="N188" s="2"/>
      <c r="O188" s="9"/>
      <c r="P188" s="2"/>
      <c r="Q188" s="2"/>
      <c r="R188" s="9"/>
      <c r="S188" s="10"/>
      <c r="T188" s="2200"/>
      <c r="U188" s="4" t="b">
        <f t="shared" ref="U188:U189" si="27">+$U$186</f>
        <v>0</v>
      </c>
    </row>
    <row r="189" spans="2:21" ht="6" customHeight="1">
      <c r="B189" s="3367"/>
      <c r="C189" s="2446"/>
      <c r="D189" s="2447"/>
      <c r="E189" s="190"/>
      <c r="F189" s="44"/>
      <c r="G189" s="44"/>
      <c r="H189" s="44"/>
      <c r="I189" s="44"/>
      <c r="J189" s="44"/>
      <c r="K189" s="44"/>
      <c r="L189" s="44"/>
      <c r="M189" s="44"/>
      <c r="N189" s="70"/>
      <c r="O189" s="44"/>
      <c r="P189" s="70"/>
      <c r="Q189" s="70"/>
      <c r="R189" s="44"/>
      <c r="S189" s="69"/>
      <c r="T189" s="2200"/>
      <c r="U189" s="4" t="b">
        <f t="shared" si="27"/>
        <v>0</v>
      </c>
    </row>
    <row r="190" spans="2:21" ht="13.5" customHeight="1">
      <c r="B190" s="3367"/>
      <c r="C190" s="1578"/>
      <c r="D190" s="1580"/>
      <c r="E190" s="3243" t="s">
        <v>111</v>
      </c>
      <c r="F190" s="3244"/>
      <c r="G190" s="1549" t="s">
        <v>112</v>
      </c>
      <c r="H190" s="1547"/>
      <c r="I190" s="1547"/>
      <c r="J190" s="1547"/>
      <c r="K190" s="1547"/>
      <c r="L190" s="1547"/>
      <c r="M190" s="1548"/>
      <c r="N190" s="1556" t="s">
        <v>458</v>
      </c>
      <c r="O190" s="1556" t="s">
        <v>113</v>
      </c>
      <c r="P190" s="1842" t="s">
        <v>114</v>
      </c>
      <c r="Q190" s="1843" t="s">
        <v>156</v>
      </c>
      <c r="R190" s="2498" t="s">
        <v>686</v>
      </c>
      <c r="S190" s="3082"/>
      <c r="T190" s="2200"/>
      <c r="U190" s="4" t="b">
        <f>COUNTA(H191,P191)&lt;&gt;0</f>
        <v>0</v>
      </c>
    </row>
    <row r="191" spans="2:21" ht="13.5" customHeight="1">
      <c r="B191" s="3367"/>
      <c r="C191" s="2443" t="s">
        <v>1201</v>
      </c>
      <c r="D191" s="2444"/>
      <c r="E191" s="2418" t="e">
        <f>VLOOKUP($L$10,浴室換気乾燥機,2,0)</f>
        <v>#N/A</v>
      </c>
      <c r="F191" s="2420"/>
      <c r="G191" s="3067" t="s">
        <v>689</v>
      </c>
      <c r="H191" s="312"/>
      <c r="I191" s="313" t="e">
        <f>VLOOKUP($L$10,浴室換気乾燥機,3,0)</f>
        <v>#N/A</v>
      </c>
      <c r="J191" s="314" t="e">
        <f>VLOOKUP($L$10,浴室換気乾燥機,5,0)</f>
        <v>#N/A</v>
      </c>
      <c r="K191" s="315" t="e">
        <f>VLOOKUP($L$10,浴室換気乾燥機,7,0)</f>
        <v>#N/A</v>
      </c>
      <c r="L191" s="179"/>
      <c r="M191" s="179"/>
      <c r="N191" s="3238" t="e">
        <f>ROUNDDOWN(H192,2)</f>
        <v>#N/A</v>
      </c>
      <c r="O191" s="3235" t="e">
        <f>INT(E191*N191)</f>
        <v>#N/A</v>
      </c>
      <c r="P191" s="3242"/>
      <c r="Q191" s="2514" t="s">
        <v>158</v>
      </c>
      <c r="R191" s="2418">
        <f>IF(ISERROR(INT(O191*P191)),0,INT(O191*P191))</f>
        <v>0</v>
      </c>
      <c r="S191" s="2420"/>
      <c r="T191" s="2200"/>
      <c r="U191" s="4" t="b">
        <f>U190</f>
        <v>0</v>
      </c>
    </row>
    <row r="192" spans="2:21" ht="13.5" customHeight="1">
      <c r="B192" s="3367"/>
      <c r="C192" s="2445"/>
      <c r="D192" s="2444"/>
      <c r="E192" s="2448"/>
      <c r="F192" s="2450"/>
      <c r="G192" s="2422"/>
      <c r="H192" s="307" t="e">
        <f>HLOOKUP(H191,I191:M192,2,0)</f>
        <v>#N/A</v>
      </c>
      <c r="I192" s="308" t="e">
        <f>VLOOKUP($L$10,浴室換気乾燥機,4,0)</f>
        <v>#N/A</v>
      </c>
      <c r="J192" s="316" t="e">
        <f>VLOOKUP($L$10,浴室換気乾燥機,6,0)</f>
        <v>#N/A</v>
      </c>
      <c r="K192" s="309" t="e">
        <f>VLOOKUP($L$10,浴室換気乾燥機,8,0)</f>
        <v>#N/A</v>
      </c>
      <c r="L192" s="44"/>
      <c r="M192" s="44"/>
      <c r="N192" s="3240"/>
      <c r="O192" s="3237"/>
      <c r="P192" s="2471"/>
      <c r="Q192" s="2471"/>
      <c r="R192" s="2421"/>
      <c r="S192" s="2423"/>
      <c r="T192" s="2200"/>
      <c r="U192" s="4" t="b">
        <f>U191</f>
        <v>0</v>
      </c>
    </row>
    <row r="193" spans="2:21" ht="13.5" customHeight="1">
      <c r="B193" s="3367"/>
      <c r="C193" s="1578"/>
      <c r="D193" s="1580"/>
      <c r="E193" s="3243" t="s">
        <v>111</v>
      </c>
      <c r="F193" s="3244"/>
      <c r="G193" s="1549" t="s">
        <v>112</v>
      </c>
      <c r="H193" s="1547"/>
      <c r="I193" s="1547"/>
      <c r="J193" s="1547"/>
      <c r="K193" s="1547"/>
      <c r="L193" s="1547"/>
      <c r="M193" s="1548"/>
      <c r="N193" s="1556" t="s">
        <v>458</v>
      </c>
      <c r="O193" s="1556" t="s">
        <v>113</v>
      </c>
      <c r="P193" s="1842" t="s">
        <v>114</v>
      </c>
      <c r="Q193" s="1843" t="s">
        <v>156</v>
      </c>
      <c r="R193" s="3243" t="s">
        <v>686</v>
      </c>
      <c r="S193" s="3244"/>
      <c r="T193" s="2200"/>
      <c r="U193" s="4" t="b">
        <f>COUNTA(H197,H194,H201:I201,P194)&lt;&gt;0</f>
        <v>0</v>
      </c>
    </row>
    <row r="194" spans="2:21" ht="13.5" customHeight="1">
      <c r="B194" s="3367"/>
      <c r="C194" s="2443" t="s">
        <v>161</v>
      </c>
      <c r="D194" s="2444"/>
      <c r="E194" s="2418" t="e">
        <f>VLOOKUP($L$10,ＵＳ,2,0)</f>
        <v>#N/A</v>
      </c>
      <c r="F194" s="2420"/>
      <c r="G194" s="2498" t="s">
        <v>157</v>
      </c>
      <c r="H194" s="357"/>
      <c r="I194" s="358" t="e">
        <f>VLOOKUP($L$10,ＵＳ,9,0)</f>
        <v>#N/A</v>
      </c>
      <c r="J194" s="359" t="e">
        <f>VLOOKUP($L$10,ＵＳ,12,0)</f>
        <v>#N/A</v>
      </c>
      <c r="K194" s="360" t="e">
        <f>VLOOKUP($L$10,ＵＳ,15,0)</f>
        <v>#N/A</v>
      </c>
      <c r="L194" s="361" t="s">
        <v>736</v>
      </c>
      <c r="M194" s="179"/>
      <c r="N194" s="3238" t="e">
        <f>ROUNDDOWN(H198*H196,2)</f>
        <v>#N/A</v>
      </c>
      <c r="O194" s="3235" t="e">
        <f>INT(E194*N194)</f>
        <v>#N/A</v>
      </c>
      <c r="P194" s="3242"/>
      <c r="Q194" s="2514" t="s">
        <v>158</v>
      </c>
      <c r="R194" s="2418">
        <f>IF(ISERROR(INT(O194*P194)),0,INT(O194*P194))</f>
        <v>0</v>
      </c>
      <c r="S194" s="2420"/>
      <c r="T194" s="2200"/>
      <c r="U194" s="4" t="b">
        <f>U193</f>
        <v>0</v>
      </c>
    </row>
    <row r="195" spans="2:21" ht="13.5" customHeight="1">
      <c r="B195" s="3367"/>
      <c r="C195" s="2445"/>
      <c r="D195" s="2444"/>
      <c r="E195" s="2448"/>
      <c r="F195" s="2450"/>
      <c r="G195" s="3082"/>
      <c r="H195" s="362" t="e">
        <f>HLOOKUP(H194,I194:M196,2,0)</f>
        <v>#N/A</v>
      </c>
      <c r="I195" s="645" t="e">
        <f>VLOOKUP($L$10,ＵＳ,10,0)</f>
        <v>#N/A</v>
      </c>
      <c r="J195" s="646" t="e">
        <f>VLOOKUP($L$10,ＵＳ,13,0)</f>
        <v>#N/A</v>
      </c>
      <c r="K195" s="647" t="e">
        <f>VLOOKUP($L$10,ＵＳ,16,0)</f>
        <v>#N/A</v>
      </c>
      <c r="L195" s="648" t="str">
        <f>IF(J201,J201,"-")</f>
        <v>-</v>
      </c>
      <c r="M195" s="9"/>
      <c r="N195" s="3239"/>
      <c r="O195" s="3236"/>
      <c r="P195" s="3320"/>
      <c r="Q195" s="2460"/>
      <c r="R195" s="2448"/>
      <c r="S195" s="2450"/>
      <c r="T195" s="2200"/>
      <c r="U195" s="4" t="b">
        <f>U193</f>
        <v>0</v>
      </c>
    </row>
    <row r="196" spans="2:21" ht="13.5" customHeight="1">
      <c r="B196" s="3367"/>
      <c r="C196" s="2445"/>
      <c r="D196" s="2444"/>
      <c r="E196" s="2448"/>
      <c r="F196" s="2450"/>
      <c r="G196" s="3082"/>
      <c r="H196" s="307" t="e">
        <f>HLOOKUP(H194,I194:M196,3,0)</f>
        <v>#N/A</v>
      </c>
      <c r="I196" s="308" t="e">
        <f>VLOOKUP($L$10,ＵＳ,11,0)</f>
        <v>#N/A</v>
      </c>
      <c r="J196" s="316" t="e">
        <f>VLOOKUP($L$10,ＵＳ,14,0)</f>
        <v>#N/A</v>
      </c>
      <c r="K196" s="324" t="e">
        <f>VLOOKUP($L$10,ＵＳ,17,0)</f>
        <v>#N/A</v>
      </c>
      <c r="L196" s="309" t="str">
        <f>IF(J201,ROUNDDOWN(1+(L195-J195)*IF(L195&gt;J195,(I196-J196)/(I195-J195),(J196-K196)/(J195-K195)),2),"-")</f>
        <v>-</v>
      </c>
      <c r="M196" s="893"/>
      <c r="N196" s="3239"/>
      <c r="O196" s="3236"/>
      <c r="P196" s="3320"/>
      <c r="Q196" s="2460"/>
      <c r="R196" s="2448"/>
      <c r="S196" s="2450"/>
      <c r="T196" s="2200"/>
      <c r="U196" s="4" t="b">
        <f>U193</f>
        <v>0</v>
      </c>
    </row>
    <row r="197" spans="2:21" ht="13.5" customHeight="1">
      <c r="B197" s="3367"/>
      <c r="C197" s="2445"/>
      <c r="D197" s="2444"/>
      <c r="E197" s="2448"/>
      <c r="F197" s="2450"/>
      <c r="G197" s="2498" t="s">
        <v>689</v>
      </c>
      <c r="H197" s="312"/>
      <c r="I197" s="313" t="e">
        <f>VLOOKUP($L$10,ＵＳ,3,0)</f>
        <v>#N/A</v>
      </c>
      <c r="J197" s="314" t="e">
        <f>VLOOKUP($L$10,ＵＳ,5,0)</f>
        <v>#N/A</v>
      </c>
      <c r="K197" s="315" t="e">
        <f>VLOOKUP($L$10,ＵＳ,7,0)</f>
        <v>#N/A</v>
      </c>
      <c r="L197" s="179"/>
      <c r="M197" s="9"/>
      <c r="N197" s="3239"/>
      <c r="O197" s="3236"/>
      <c r="P197" s="3320"/>
      <c r="Q197" s="2460"/>
      <c r="R197" s="2448"/>
      <c r="S197" s="2450"/>
      <c r="T197" s="2200"/>
      <c r="U197" s="4" t="b">
        <f>U193</f>
        <v>0</v>
      </c>
    </row>
    <row r="198" spans="2:21" ht="13.5" customHeight="1">
      <c r="B198" s="3367"/>
      <c r="C198" s="2445"/>
      <c r="D198" s="2444"/>
      <c r="E198" s="2421"/>
      <c r="F198" s="2423"/>
      <c r="G198" s="3082"/>
      <c r="H198" s="307" t="e">
        <f>HLOOKUP(H197,I197:K198,2,0)</f>
        <v>#N/A</v>
      </c>
      <c r="I198" s="308" t="e">
        <f>VLOOKUP($L$10,ＵＳ,4,0)</f>
        <v>#N/A</v>
      </c>
      <c r="J198" s="316" t="e">
        <f>VLOOKUP($L$10,ＵＳ,6,0)</f>
        <v>#N/A</v>
      </c>
      <c r="K198" s="309" t="e">
        <f>VLOOKUP($L$10,ＵＳ,8,0)</f>
        <v>#N/A</v>
      </c>
      <c r="L198" s="44"/>
      <c r="M198" s="44"/>
      <c r="N198" s="3240"/>
      <c r="O198" s="3237"/>
      <c r="P198" s="3321"/>
      <c r="Q198" s="2471"/>
      <c r="R198" s="2421"/>
      <c r="S198" s="2423"/>
      <c r="T198" s="2200"/>
      <c r="U198" s="4" t="b">
        <f>U193</f>
        <v>0</v>
      </c>
    </row>
    <row r="199" spans="2:21" ht="6" customHeight="1">
      <c r="B199" s="3367"/>
      <c r="C199" s="2445"/>
      <c r="D199" s="2444"/>
      <c r="E199" s="189"/>
      <c r="F199" s="9"/>
      <c r="G199" s="9"/>
      <c r="H199" s="9"/>
      <c r="I199" s="9"/>
      <c r="J199" s="9"/>
      <c r="K199" s="9"/>
      <c r="L199" s="9"/>
      <c r="M199" s="9"/>
      <c r="N199" s="2"/>
      <c r="O199" s="9"/>
      <c r="P199" s="2"/>
      <c r="Q199" s="2"/>
      <c r="R199" s="9"/>
      <c r="S199" s="10"/>
      <c r="T199" s="2200"/>
      <c r="U199" s="4" t="b">
        <f>+J201&lt;&gt;0</f>
        <v>0</v>
      </c>
    </row>
    <row r="200" spans="2:21" ht="13.5" customHeight="1">
      <c r="B200" s="3367"/>
      <c r="C200" s="2445"/>
      <c r="D200" s="2444"/>
      <c r="E200" s="189"/>
      <c r="F200" s="9"/>
      <c r="G200" s="3081" t="s">
        <v>793</v>
      </c>
      <c r="H200" s="1549" t="s">
        <v>1126</v>
      </c>
      <c r="I200" s="1547"/>
      <c r="J200" s="1548"/>
      <c r="K200" s="9"/>
      <c r="L200" s="9"/>
      <c r="M200" s="9"/>
      <c r="N200" s="2"/>
      <c r="O200" s="9"/>
      <c r="P200" s="2"/>
      <c r="Q200" s="2"/>
      <c r="R200" s="9"/>
      <c r="S200" s="10"/>
      <c r="T200" s="2200"/>
      <c r="U200" s="4" t="b">
        <f>U193</f>
        <v>0</v>
      </c>
    </row>
    <row r="201" spans="2:21" ht="13.5" customHeight="1">
      <c r="B201" s="3367"/>
      <c r="C201" s="2445"/>
      <c r="D201" s="2444"/>
      <c r="E201" s="189"/>
      <c r="F201" s="9"/>
      <c r="G201" s="3082"/>
      <c r="H201" s="2050"/>
      <c r="I201" s="2051"/>
      <c r="J201" s="649">
        <f>H201*I201</f>
        <v>0</v>
      </c>
      <c r="K201" s="9"/>
      <c r="L201" s="9"/>
      <c r="M201" s="9"/>
      <c r="N201" s="2"/>
      <c r="O201" s="9"/>
      <c r="P201" s="2"/>
      <c r="Q201" s="2"/>
      <c r="R201" s="9"/>
      <c r="S201" s="10"/>
      <c r="T201" s="2200"/>
      <c r="U201" s="4" t="b">
        <f>U193</f>
        <v>0</v>
      </c>
    </row>
    <row r="202" spans="2:21" ht="6" customHeight="1">
      <c r="B202" s="3367"/>
      <c r="C202" s="2446"/>
      <c r="D202" s="2447"/>
      <c r="E202" s="190"/>
      <c r="F202" s="44"/>
      <c r="G202" s="44"/>
      <c r="H202" s="44"/>
      <c r="I202" s="44"/>
      <c r="J202" s="44"/>
      <c r="K202" s="44"/>
      <c r="L202" s="44"/>
      <c r="M202" s="44"/>
      <c r="N202" s="70"/>
      <c r="O202" s="44"/>
      <c r="P202" s="70"/>
      <c r="Q202" s="70"/>
      <c r="R202" s="44"/>
      <c r="S202" s="69"/>
      <c r="T202" s="2200"/>
      <c r="U202" s="4" t="b">
        <f>U193</f>
        <v>0</v>
      </c>
    </row>
    <row r="203" spans="2:21" ht="13.5" customHeight="1">
      <c r="B203" s="3367"/>
      <c r="C203" s="1578"/>
      <c r="D203" s="1580"/>
      <c r="E203" s="3243" t="s">
        <v>111</v>
      </c>
      <c r="F203" s="3244"/>
      <c r="G203" s="1549" t="s">
        <v>112</v>
      </c>
      <c r="H203" s="1547"/>
      <c r="I203" s="1547"/>
      <c r="J203" s="1547"/>
      <c r="K203" s="1547"/>
      <c r="L203" s="1547"/>
      <c r="M203" s="1548"/>
      <c r="N203" s="1556" t="s">
        <v>458</v>
      </c>
      <c r="O203" s="1556" t="s">
        <v>113</v>
      </c>
      <c r="P203" s="1842" t="s">
        <v>114</v>
      </c>
      <c r="Q203" s="1843" t="s">
        <v>156</v>
      </c>
      <c r="R203" s="3243" t="s">
        <v>686</v>
      </c>
      <c r="S203" s="3244"/>
      <c r="T203" s="2200"/>
      <c r="U203" s="4" t="b">
        <f>COUNTA(H206,H204,M205,P204)&lt;&gt;0</f>
        <v>0</v>
      </c>
    </row>
    <row r="204" spans="2:21" ht="13.5" customHeight="1">
      <c r="B204" s="3367"/>
      <c r="C204" s="2443" t="s">
        <v>5414</v>
      </c>
      <c r="D204" s="2444"/>
      <c r="E204" s="2503" t="e">
        <f>VLOOKUP($L$10,流し台,2,0)</f>
        <v>#N/A</v>
      </c>
      <c r="F204" s="2505"/>
      <c r="G204" s="3276" t="s">
        <v>5609</v>
      </c>
      <c r="H204" s="1434"/>
      <c r="I204" s="372" t="e">
        <f>VLOOKUP($L$10,流し台,9,0)</f>
        <v>#N/A</v>
      </c>
      <c r="J204" s="373" t="e">
        <f>VLOOKUP($L$10,流し台,12,0)</f>
        <v>#N/A</v>
      </c>
      <c r="K204" s="374" t="e">
        <f>VLOOKUP($L$10,流し台,15,0)</f>
        <v>#N/A</v>
      </c>
      <c r="L204" s="361" t="s">
        <v>736</v>
      </c>
      <c r="M204" s="1435" t="s">
        <v>5621</v>
      </c>
      <c r="N204" s="3314" t="e">
        <f>ROUNDDOWN(H207*H205,2)</f>
        <v>#N/A</v>
      </c>
      <c r="O204" s="3312" t="e">
        <f>INT(E204*N204)</f>
        <v>#N/A</v>
      </c>
      <c r="P204" s="3317"/>
      <c r="Q204" s="2756" t="s">
        <v>158</v>
      </c>
      <c r="R204" s="2503">
        <f>IF(ISERROR(INT(O204*P204)),0,INT(O204*P204))</f>
        <v>0</v>
      </c>
      <c r="S204" s="2505"/>
      <c r="T204" s="2200"/>
      <c r="U204" s="4" t="b">
        <f>U$203</f>
        <v>0</v>
      </c>
    </row>
    <row r="205" spans="2:21" ht="13.5" customHeight="1">
      <c r="B205" s="3367"/>
      <c r="C205" s="2445"/>
      <c r="D205" s="2444"/>
      <c r="E205" s="2448"/>
      <c r="F205" s="2640"/>
      <c r="G205" s="3284"/>
      <c r="H205" s="307" t="e">
        <f>HLOOKUP(H204,I204:L205,2,0)</f>
        <v>#N/A</v>
      </c>
      <c r="I205" s="308" t="e">
        <f>VLOOKUP($L$10,流し台,11,0)</f>
        <v>#N/A</v>
      </c>
      <c r="J205" s="316" t="e">
        <f>VLOOKUP($L$10,流し台,14,0)</f>
        <v>#N/A</v>
      </c>
      <c r="K205" s="324" t="e">
        <f>VLOOKUP($L$10,流し台,17,0)</f>
        <v>#N/A</v>
      </c>
      <c r="L205" s="935" t="str">
        <f t="shared" ref="L205" si="28">IF(M205,ROUNDDOWN(1+(M205-J204)*IF(M205&gt;J204,(I205-J205)/(I204-J204),(J205-K205)/(J204-K204)),2),"－")</f>
        <v>－</v>
      </c>
      <c r="M205" s="2052"/>
      <c r="N205" s="3239"/>
      <c r="O205" s="3236"/>
      <c r="P205" s="3272"/>
      <c r="Q205" s="2757"/>
      <c r="R205" s="2448"/>
      <c r="S205" s="2640"/>
      <c r="T205" s="2200"/>
      <c r="U205" s="4" t="b">
        <f t="shared" ref="U205:U212" si="29">U$203</f>
        <v>0</v>
      </c>
    </row>
    <row r="206" spans="2:21" ht="13.5" customHeight="1">
      <c r="B206" s="3367"/>
      <c r="C206" s="2445"/>
      <c r="D206" s="2444"/>
      <c r="E206" s="2448"/>
      <c r="F206" s="2640"/>
      <c r="G206" s="3276" t="s">
        <v>689</v>
      </c>
      <c r="H206" s="312"/>
      <c r="I206" s="313" t="e">
        <f>VLOOKUP($L$10,流し台,3,0)</f>
        <v>#N/A</v>
      </c>
      <c r="J206" s="314" t="e">
        <f>VLOOKUP($L$10,流し台,5,0)</f>
        <v>#N/A</v>
      </c>
      <c r="K206" s="315" t="e">
        <f>VLOOKUP($L$10,流し台,7,0)</f>
        <v>#N/A</v>
      </c>
      <c r="L206" s="792"/>
      <c r="M206" s="827"/>
      <c r="N206" s="3239"/>
      <c r="O206" s="3236"/>
      <c r="P206" s="3272"/>
      <c r="Q206" s="2757"/>
      <c r="R206" s="2448"/>
      <c r="S206" s="2640"/>
      <c r="T206" s="2200"/>
      <c r="U206" s="4" t="b">
        <f t="shared" si="29"/>
        <v>0</v>
      </c>
    </row>
    <row r="207" spans="2:21" ht="13.5" customHeight="1">
      <c r="B207" s="3367"/>
      <c r="C207" s="2445"/>
      <c r="D207" s="2444"/>
      <c r="E207" s="2506"/>
      <c r="F207" s="2508"/>
      <c r="G207" s="3277"/>
      <c r="H207" s="307" t="e">
        <f>HLOOKUP(H206,I206:K207,2,0)</f>
        <v>#N/A</v>
      </c>
      <c r="I207" s="308" t="e">
        <f>VLOOKUP($L$10,流し台,4,0)</f>
        <v>#N/A</v>
      </c>
      <c r="J207" s="316" t="e">
        <f>VLOOKUP($L$10,流し台,6,0)</f>
        <v>#N/A</v>
      </c>
      <c r="K207" s="309" t="e">
        <f>VLOOKUP($L$10,流し台,8,0)</f>
        <v>#N/A</v>
      </c>
      <c r="L207" s="1010"/>
      <c r="M207" s="829"/>
      <c r="N207" s="3315"/>
      <c r="O207" s="3313"/>
      <c r="P207" s="3318"/>
      <c r="Q207" s="3316"/>
      <c r="R207" s="2506"/>
      <c r="S207" s="2508"/>
      <c r="T207" s="2200"/>
      <c r="U207" s="4" t="b">
        <f t="shared" si="29"/>
        <v>0</v>
      </c>
    </row>
    <row r="208" spans="2:21" ht="13.5" customHeight="1">
      <c r="B208" s="3367"/>
      <c r="C208" s="2445"/>
      <c r="D208" s="2444"/>
      <c r="E208" s="189"/>
      <c r="F208" s="9"/>
      <c r="G208" s="9"/>
      <c r="H208" s="9"/>
      <c r="I208" s="9"/>
      <c r="J208" s="9"/>
      <c r="K208" s="9"/>
      <c r="L208" s="9"/>
      <c r="M208" s="9"/>
      <c r="N208" s="2"/>
      <c r="O208" s="9"/>
      <c r="P208" s="2"/>
      <c r="Q208" s="2"/>
      <c r="R208" s="9"/>
      <c r="S208" s="10"/>
      <c r="T208" s="2200"/>
      <c r="U208" s="4" t="b">
        <f t="shared" si="29"/>
        <v>0</v>
      </c>
    </row>
    <row r="209" spans="2:21" ht="13.5" customHeight="1">
      <c r="B209" s="3367"/>
      <c r="C209" s="2445"/>
      <c r="D209" s="2444"/>
      <c r="E209" s="189"/>
      <c r="F209" s="9"/>
      <c r="G209" s="9"/>
      <c r="H209" s="9"/>
      <c r="I209" s="9"/>
      <c r="J209" s="9"/>
      <c r="K209" s="9"/>
      <c r="L209" s="9"/>
      <c r="M209" s="9"/>
      <c r="N209" s="2"/>
      <c r="O209" s="9"/>
      <c r="P209" s="2"/>
      <c r="Q209" s="2"/>
      <c r="R209" s="9"/>
      <c r="S209" s="10"/>
      <c r="T209" s="2200"/>
      <c r="U209" s="4" t="b">
        <f t="shared" si="29"/>
        <v>0</v>
      </c>
    </row>
    <row r="210" spans="2:21" ht="13.5" customHeight="1">
      <c r="B210" s="3367"/>
      <c r="C210" s="2445"/>
      <c r="D210" s="2444"/>
      <c r="E210" s="189"/>
      <c r="F210" s="9"/>
      <c r="I210" s="9"/>
      <c r="J210" s="9"/>
      <c r="K210" s="9"/>
      <c r="L210" s="9"/>
      <c r="M210" s="9"/>
      <c r="N210" s="2"/>
      <c r="O210" s="9"/>
      <c r="P210" s="2"/>
      <c r="Q210" s="2"/>
      <c r="R210" s="9"/>
      <c r="S210" s="10"/>
      <c r="T210" s="2200"/>
      <c r="U210" s="4" t="b">
        <f t="shared" si="29"/>
        <v>0</v>
      </c>
    </row>
    <row r="211" spans="2:21" ht="13.5" customHeight="1">
      <c r="B211" s="3367"/>
      <c r="C211" s="2445"/>
      <c r="D211" s="2444"/>
      <c r="E211" s="189"/>
      <c r="F211" s="9"/>
      <c r="K211" s="9"/>
      <c r="L211" s="9"/>
      <c r="M211" s="9"/>
      <c r="N211" s="2"/>
      <c r="O211" s="9"/>
      <c r="P211" s="2"/>
      <c r="Q211" s="2"/>
      <c r="R211" s="9"/>
      <c r="S211" s="10"/>
      <c r="T211" s="2200"/>
      <c r="U211" s="4" t="b">
        <f t="shared" si="29"/>
        <v>0</v>
      </c>
    </row>
    <row r="212" spans="2:21" ht="13.5" customHeight="1">
      <c r="B212" s="3367"/>
      <c r="C212" s="2446"/>
      <c r="D212" s="2447"/>
      <c r="E212" s="190"/>
      <c r="F212" s="44"/>
      <c r="G212" s="44"/>
      <c r="H212" s="44"/>
      <c r="I212" s="44"/>
      <c r="J212" s="44"/>
      <c r="K212" s="44"/>
      <c r="L212" s="44"/>
      <c r="M212" s="44"/>
      <c r="N212" s="70"/>
      <c r="O212" s="44"/>
      <c r="P212" s="70"/>
      <c r="Q212" s="70"/>
      <c r="R212" s="44"/>
      <c r="S212" s="69"/>
      <c r="T212" s="2200"/>
      <c r="U212" s="4" t="b">
        <f t="shared" si="29"/>
        <v>0</v>
      </c>
    </row>
    <row r="213" spans="2:21" ht="13.5" customHeight="1">
      <c r="B213" s="3367"/>
      <c r="C213" s="1578"/>
      <c r="D213" s="1580"/>
      <c r="E213" s="3243" t="s">
        <v>111</v>
      </c>
      <c r="F213" s="3244"/>
      <c r="G213" s="1549" t="s">
        <v>112</v>
      </c>
      <c r="H213" s="1547"/>
      <c r="I213" s="1547"/>
      <c r="J213" s="1547"/>
      <c r="K213" s="1547"/>
      <c r="L213" s="1547"/>
      <c r="M213" s="1548"/>
      <c r="N213" s="1556" t="s">
        <v>458</v>
      </c>
      <c r="O213" s="1556" t="s">
        <v>113</v>
      </c>
      <c r="P213" s="1842" t="s">
        <v>114</v>
      </c>
      <c r="Q213" s="1843" t="s">
        <v>156</v>
      </c>
      <c r="R213" s="2498" t="s">
        <v>686</v>
      </c>
      <c r="S213" s="3082"/>
      <c r="T213" s="2200"/>
      <c r="U213" s="4" t="b">
        <f>COUNTA(H214,H216,H218,P214,I223,I224)&lt;&gt;0</f>
        <v>0</v>
      </c>
    </row>
    <row r="214" spans="2:21" ht="13.5" customHeight="1">
      <c r="B214" s="3367"/>
      <c r="C214" s="2443" t="s">
        <v>1128</v>
      </c>
      <c r="D214" s="2500"/>
      <c r="E214" s="2418" t="e">
        <f>VLOOKUP($L$10,給湯器,2,0)</f>
        <v>#N/A</v>
      </c>
      <c r="F214" s="2420"/>
      <c r="G214" s="3067" t="s">
        <v>162</v>
      </c>
      <c r="H214" s="667"/>
      <c r="I214" s="650" t="e">
        <f>VLOOKUP($L$10,給湯器,3,0)</f>
        <v>#N/A</v>
      </c>
      <c r="J214" s="651" t="e">
        <f>VLOOKUP($L$10,給湯器,5,0)</f>
        <v>#N/A</v>
      </c>
      <c r="K214" s="652" t="e">
        <f>VLOOKUP($L$10,給湯器,7,0)</f>
        <v>#N/A</v>
      </c>
      <c r="L214" s="720" t="str">
        <f>IF(I222&lt;&gt;0,I222,IF(I223&lt;&gt;0,N223,IF(I224&lt;&gt;0,N224,"-")))</f>
        <v>-</v>
      </c>
      <c r="M214" s="179"/>
      <c r="N214" s="3414" t="e">
        <f>ROUNDDOWN(H215*H217*H219,2)</f>
        <v>#N/A</v>
      </c>
      <c r="O214" s="3245" t="e">
        <f>INT(E214*N214)</f>
        <v>#N/A</v>
      </c>
      <c r="P214" s="3076"/>
      <c r="Q214" s="3030" t="s">
        <v>158</v>
      </c>
      <c r="R214" s="3412">
        <f>IF(ISERROR(INT(O214*P214)),0,INT(O214*P214))</f>
        <v>0</v>
      </c>
      <c r="S214" s="3413"/>
      <c r="T214" s="2200"/>
      <c r="U214" s="4" t="b">
        <f>$U$213</f>
        <v>0</v>
      </c>
    </row>
    <row r="215" spans="2:21" ht="13.5" customHeight="1">
      <c r="B215" s="3367"/>
      <c r="C215" s="2445"/>
      <c r="D215" s="2500"/>
      <c r="E215" s="2448"/>
      <c r="F215" s="2640"/>
      <c r="G215" s="3278"/>
      <c r="H215" s="307" t="e">
        <f>HLOOKUP(H214,I214:L215,2,0)</f>
        <v>#N/A</v>
      </c>
      <c r="I215" s="308" t="e">
        <f>VLOOKUP($L$10,給湯器,4,0)</f>
        <v>#N/A</v>
      </c>
      <c r="J215" s="316" t="e">
        <f>VLOOKUP($L$10,給湯器,6,0)</f>
        <v>#N/A</v>
      </c>
      <c r="K215" s="309" t="e">
        <f>VLOOKUP($L$10,給湯器,8,0)</f>
        <v>#N/A</v>
      </c>
      <c r="L215" s="655" t="str">
        <f>IF(ISNUMBER(L214),+ROUNDDOWN(J215+(L214-J214)*IF(L214&gt;J214,(I215-J215)/(I214-J214),(K215-J215)/(K214-J214)),2),"-")</f>
        <v>-</v>
      </c>
      <c r="M215" s="10"/>
      <c r="N215" s="3414"/>
      <c r="O215" s="3245"/>
      <c r="P215" s="3415"/>
      <c r="Q215" s="3030"/>
      <c r="R215" s="3412"/>
      <c r="S215" s="3413"/>
      <c r="T215" s="2200"/>
      <c r="U215" s="4" t="b">
        <f t="shared" ref="U215:U219" si="30">$U$213</f>
        <v>0</v>
      </c>
    </row>
    <row r="216" spans="2:21" ht="13.5" customHeight="1">
      <c r="B216" s="3367"/>
      <c r="C216" s="2445"/>
      <c r="D216" s="2500"/>
      <c r="E216" s="2448"/>
      <c r="F216" s="2640"/>
      <c r="G216" s="3067" t="s">
        <v>1136</v>
      </c>
      <c r="H216" s="585"/>
      <c r="I216" s="583" t="e">
        <f>VLOOKUP($L$10,給湯器,11,0)</f>
        <v>#N/A</v>
      </c>
      <c r="J216" s="485" t="e">
        <f>VLOOKUP($L$10,給湯器,13,0)</f>
        <v>#N/A</v>
      </c>
      <c r="K216" s="584"/>
      <c r="L216" s="891" t="s">
        <v>5480</v>
      </c>
      <c r="M216" s="10"/>
      <c r="N216" s="3414"/>
      <c r="O216" s="3245"/>
      <c r="P216" s="3415"/>
      <c r="Q216" s="3030"/>
      <c r="R216" s="3412"/>
      <c r="S216" s="3413"/>
      <c r="T216" s="2200"/>
      <c r="U216" s="4" t="b">
        <f t="shared" si="30"/>
        <v>0</v>
      </c>
    </row>
    <row r="217" spans="2:21" ht="13.5" customHeight="1">
      <c r="B217" s="3367"/>
      <c r="C217" s="2445"/>
      <c r="D217" s="2500"/>
      <c r="E217" s="2448"/>
      <c r="F217" s="2640"/>
      <c r="G217" s="3278"/>
      <c r="H217" s="307" t="e">
        <f>HLOOKUP(H216,I216:M217,2,0)</f>
        <v>#N/A</v>
      </c>
      <c r="I217" s="308" t="e">
        <f>VLOOKUP($L$10,給湯器,12,0)</f>
        <v>#N/A</v>
      </c>
      <c r="J217" s="309" t="e">
        <f>VLOOKUP($L$10,給湯器,14,0)</f>
        <v>#N/A</v>
      </c>
      <c r="K217" s="310"/>
      <c r="L217" s="9"/>
      <c r="M217" s="10"/>
      <c r="N217" s="3414"/>
      <c r="O217" s="3245"/>
      <c r="P217" s="3415"/>
      <c r="Q217" s="3030"/>
      <c r="R217" s="3412"/>
      <c r="S217" s="3413"/>
      <c r="T217" s="2200"/>
      <c r="U217" s="4" t="b">
        <f t="shared" si="30"/>
        <v>0</v>
      </c>
    </row>
    <row r="218" spans="2:21" ht="13.5" customHeight="1">
      <c r="B218" s="3367"/>
      <c r="C218" s="2445"/>
      <c r="D218" s="2500"/>
      <c r="E218" s="2448"/>
      <c r="F218" s="2640"/>
      <c r="G218" s="3067" t="s">
        <v>689</v>
      </c>
      <c r="H218" s="312"/>
      <c r="I218" s="313" t="e">
        <f>VLOOKUP($L$10,給湯器,15,0)</f>
        <v>#N/A</v>
      </c>
      <c r="J218" s="314" t="e">
        <f>VLOOKUP($L$10,給湯器,17,0)</f>
        <v>#N/A</v>
      </c>
      <c r="K218" s="315" t="e">
        <f>VLOOKUP($L$10,給湯器,19,0)</f>
        <v>#N/A</v>
      </c>
      <c r="L218" s="9"/>
      <c r="M218" s="10"/>
      <c r="N218" s="3414"/>
      <c r="O218" s="3245"/>
      <c r="P218" s="3415"/>
      <c r="Q218" s="3030"/>
      <c r="R218" s="3412"/>
      <c r="S218" s="3413"/>
      <c r="T218" s="2200"/>
      <c r="U218" s="4" t="b">
        <f t="shared" si="30"/>
        <v>0</v>
      </c>
    </row>
    <row r="219" spans="2:21" ht="13.5" customHeight="1">
      <c r="B219" s="3367"/>
      <c r="C219" s="2445"/>
      <c r="D219" s="2500"/>
      <c r="E219" s="2421"/>
      <c r="F219" s="2423"/>
      <c r="G219" s="3281"/>
      <c r="H219" s="307" t="e">
        <f>HLOOKUP(H218,I218:M219,2,0)</f>
        <v>#N/A</v>
      </c>
      <c r="I219" s="308" t="e">
        <f>VLOOKUP($L$10,給湯器,16,0)</f>
        <v>#N/A</v>
      </c>
      <c r="J219" s="316" t="e">
        <f>VLOOKUP($L$10,給湯器,18,0)</f>
        <v>#N/A</v>
      </c>
      <c r="K219" s="309" t="e">
        <f>VLOOKUP($L$10,給湯器,20,0)</f>
        <v>#N/A</v>
      </c>
      <c r="L219" s="44"/>
      <c r="M219" s="44"/>
      <c r="N219" s="3414"/>
      <c r="O219" s="3245"/>
      <c r="P219" s="3415"/>
      <c r="Q219" s="3030"/>
      <c r="R219" s="3412"/>
      <c r="S219" s="3413"/>
      <c r="T219" s="2200"/>
      <c r="U219" s="4" t="b">
        <f t="shared" si="30"/>
        <v>0</v>
      </c>
    </row>
    <row r="220" spans="2:21" ht="6" customHeight="1">
      <c r="B220" s="3367"/>
      <c r="C220" s="2445"/>
      <c r="D220" s="2500"/>
      <c r="E220" s="644"/>
      <c r="F220" s="179"/>
      <c r="G220" s="653"/>
      <c r="H220" s="642"/>
      <c r="I220" s="642"/>
      <c r="J220" s="642"/>
      <c r="K220" s="642"/>
      <c r="L220" s="179"/>
      <c r="M220" s="179"/>
      <c r="N220" s="641"/>
      <c r="O220" s="179"/>
      <c r="P220" s="179"/>
      <c r="Q220" s="641"/>
      <c r="R220" s="179"/>
      <c r="S220" s="531"/>
      <c r="T220" s="2200"/>
      <c r="U220" s="4" t="b">
        <f>+OR($U$223,$U$224)</f>
        <v>0</v>
      </c>
    </row>
    <row r="221" spans="2:21" ht="13.5" customHeight="1">
      <c r="B221" s="3367"/>
      <c r="C221" s="2445"/>
      <c r="D221" s="2500"/>
      <c r="E221" s="189"/>
      <c r="F221" s="9"/>
      <c r="G221" s="18"/>
      <c r="H221" s="2" t="s">
        <v>1289</v>
      </c>
      <c r="I221" s="311"/>
      <c r="J221" s="311"/>
      <c r="K221" s="311"/>
      <c r="L221" s="9"/>
      <c r="M221" s="9"/>
      <c r="N221" s="2"/>
      <c r="O221" s="9"/>
      <c r="P221" s="9"/>
      <c r="Q221" s="2"/>
      <c r="R221" s="9"/>
      <c r="S221" s="643"/>
      <c r="T221" s="2200"/>
      <c r="U221" s="4" t="b">
        <v>0</v>
      </c>
    </row>
    <row r="222" spans="2:21" ht="13.5" customHeight="1">
      <c r="B222" s="3367"/>
      <c r="C222" s="2445"/>
      <c r="D222" s="2500"/>
      <c r="E222" s="189"/>
      <c r="F222" s="9"/>
      <c r="G222" s="18" t="s">
        <v>1193</v>
      </c>
      <c r="H222" s="656" t="s">
        <v>1194</v>
      </c>
      <c r="I222" s="2053"/>
      <c r="J222" s="657">
        <v>28</v>
      </c>
      <c r="K222" s="658">
        <v>24</v>
      </c>
      <c r="L222" s="658">
        <v>20</v>
      </c>
      <c r="M222" s="659">
        <v>16</v>
      </c>
      <c r="N222" s="660" t="s">
        <v>1197</v>
      </c>
      <c r="O222" s="9"/>
      <c r="P222" s="9"/>
      <c r="Q222" s="2"/>
      <c r="R222" s="9"/>
      <c r="S222" s="643"/>
      <c r="T222" s="2200"/>
      <c r="U222" s="4" t="b">
        <f>+OR($U$223,$U$224)</f>
        <v>0</v>
      </c>
    </row>
    <row r="223" spans="2:21" ht="13.5" customHeight="1">
      <c r="B223" s="3367"/>
      <c r="C223" s="2445"/>
      <c r="D223" s="2500"/>
      <c r="E223" s="189"/>
      <c r="F223" s="9"/>
      <c r="G223" s="18"/>
      <c r="H223" s="656" t="s">
        <v>1195</v>
      </c>
      <c r="I223" s="2054"/>
      <c r="J223" s="661">
        <v>42000</v>
      </c>
      <c r="K223" s="662">
        <v>36000</v>
      </c>
      <c r="L223" s="662">
        <v>30000</v>
      </c>
      <c r="M223" s="663">
        <v>24000</v>
      </c>
      <c r="N223" s="668">
        <f>ROUNDDOWN(+I223/1500,2)</f>
        <v>0</v>
      </c>
      <c r="O223" s="9"/>
      <c r="P223" s="9"/>
      <c r="Q223" s="2"/>
      <c r="R223" s="9"/>
      <c r="S223" s="643"/>
      <c r="T223" s="2200"/>
      <c r="U223" s="4" t="b">
        <f>+I223&lt;&gt;0</f>
        <v>0</v>
      </c>
    </row>
    <row r="224" spans="2:21" ht="13.5" customHeight="1">
      <c r="B224" s="3367"/>
      <c r="C224" s="2445"/>
      <c r="D224" s="2500"/>
      <c r="E224" s="189"/>
      <c r="F224" s="9"/>
      <c r="G224" s="18"/>
      <c r="H224" s="656" t="s">
        <v>1196</v>
      </c>
      <c r="I224" s="2055"/>
      <c r="J224" s="664">
        <v>48.83</v>
      </c>
      <c r="K224" s="665">
        <v>41.86</v>
      </c>
      <c r="L224" s="665">
        <v>34.880000000000003</v>
      </c>
      <c r="M224" s="666">
        <v>27.9</v>
      </c>
      <c r="N224" s="668">
        <f>+ROUND(I224/1.744185,2)</f>
        <v>0</v>
      </c>
      <c r="O224" s="9"/>
      <c r="P224" s="9"/>
      <c r="Q224" s="2"/>
      <c r="R224" s="9"/>
      <c r="S224" s="643"/>
      <c r="T224" s="2200"/>
      <c r="U224" s="4" t="b">
        <f>+I224&lt;&gt;0</f>
        <v>0</v>
      </c>
    </row>
    <row r="225" spans="2:21" ht="6" customHeight="1">
      <c r="B225" s="3367"/>
      <c r="C225" s="2446"/>
      <c r="D225" s="2447"/>
      <c r="E225" s="190"/>
      <c r="F225" s="44"/>
      <c r="G225" s="654"/>
      <c r="H225" s="329"/>
      <c r="I225" s="329"/>
      <c r="J225" s="329"/>
      <c r="K225" s="329"/>
      <c r="L225" s="44"/>
      <c r="M225" s="44"/>
      <c r="N225" s="70"/>
      <c r="O225" s="44"/>
      <c r="P225" s="44"/>
      <c r="Q225" s="70"/>
      <c r="R225" s="44"/>
      <c r="S225" s="69"/>
      <c r="T225" s="2200"/>
      <c r="U225" s="4" t="b">
        <f>+OR($U$223,$U$224)</f>
        <v>0</v>
      </c>
    </row>
    <row r="226" spans="2:21" ht="13.5" customHeight="1">
      <c r="B226" s="3367"/>
      <c r="C226" s="1578"/>
      <c r="D226" s="1580"/>
      <c r="E226" s="3243" t="s">
        <v>111</v>
      </c>
      <c r="F226" s="3244"/>
      <c r="G226" s="1549" t="s">
        <v>112</v>
      </c>
      <c r="H226" s="1547"/>
      <c r="I226" s="1547"/>
      <c r="J226" s="1547"/>
      <c r="K226" s="1547"/>
      <c r="L226" s="1548"/>
      <c r="M226" s="1548"/>
      <c r="N226" s="1556" t="s">
        <v>458</v>
      </c>
      <c r="O226" s="1556" t="s">
        <v>113</v>
      </c>
      <c r="P226" s="1842" t="s">
        <v>114</v>
      </c>
      <c r="Q226" s="1843" t="s">
        <v>156</v>
      </c>
      <c r="R226" s="2498" t="s">
        <v>686</v>
      </c>
      <c r="S226" s="3082"/>
      <c r="T226" s="2200"/>
      <c r="U226" s="4" t="b">
        <f>COUNTA(H227,H229,M228,P227)&lt;&gt;0</f>
        <v>0</v>
      </c>
    </row>
    <row r="227" spans="2:21" ht="13.5" customHeight="1">
      <c r="B227" s="3367"/>
      <c r="C227" s="2443" t="s">
        <v>163</v>
      </c>
      <c r="D227" s="2444"/>
      <c r="E227" s="2418" t="e">
        <f>VLOOKUP($L$10,給湯貯湯式,2,0)</f>
        <v>#N/A</v>
      </c>
      <c r="F227" s="2420"/>
      <c r="G227" s="3279" t="s">
        <v>164</v>
      </c>
      <c r="H227" s="586"/>
      <c r="I227" s="368" t="e">
        <f>VLOOKUP($L$10,給湯貯湯式,3,0)</f>
        <v>#N/A</v>
      </c>
      <c r="J227" s="369" t="e">
        <f>VLOOKUP($L$10,給湯貯湯式,5,0)</f>
        <v>#N/A</v>
      </c>
      <c r="K227" s="369" t="e">
        <f>VLOOKUP($L$10,給湯貯湯式,7,0)</f>
        <v>#N/A</v>
      </c>
      <c r="L227" s="367" t="s">
        <v>736</v>
      </c>
      <c r="M227" s="1655" t="s">
        <v>164</v>
      </c>
      <c r="N227" s="3238" t="e">
        <f>ROUNDDOWN(H228*H230,2)</f>
        <v>#N/A</v>
      </c>
      <c r="O227" s="3235" t="e">
        <f>INT(E227*N227)</f>
        <v>#N/A</v>
      </c>
      <c r="P227" s="3271"/>
      <c r="Q227" s="2515" t="s">
        <v>158</v>
      </c>
      <c r="R227" s="2418">
        <f>IF(ISERROR(INT(O227*P227)),0,INT(O227*P227))</f>
        <v>0</v>
      </c>
      <c r="S227" s="2420"/>
      <c r="T227" s="2200"/>
      <c r="U227" s="4" t="b">
        <f>U$226</f>
        <v>0</v>
      </c>
    </row>
    <row r="228" spans="2:21" ht="13.5" customHeight="1">
      <c r="B228" s="3367"/>
      <c r="C228" s="2445"/>
      <c r="D228" s="2444"/>
      <c r="E228" s="2421"/>
      <c r="F228" s="2423"/>
      <c r="G228" s="3280"/>
      <c r="H228" s="307" t="e">
        <f>HLOOKUP(H227,I227:M228,2,0)</f>
        <v>#N/A</v>
      </c>
      <c r="I228" s="308" t="e">
        <f>VLOOKUP($L$10,給湯貯湯式,4,0)</f>
        <v>#N/A</v>
      </c>
      <c r="J228" s="316" t="e">
        <f>VLOOKUP($L$10,給湯貯湯式,6,0)</f>
        <v>#N/A</v>
      </c>
      <c r="K228" s="316" t="e">
        <f>VLOOKUP($L$10,給湯貯湯式,8,0)</f>
        <v>#N/A</v>
      </c>
      <c r="L228" s="309" t="str">
        <f>IF(M228,ROUNDDOWN(1+(M228-J227)*IF(M228&gt;J227,(I228-J228)/(I227-J227),(J228-K228)/(J227-K227)),2),"-")</f>
        <v>-</v>
      </c>
      <c r="M228" s="2056"/>
      <c r="N228" s="3239"/>
      <c r="O228" s="3236"/>
      <c r="P228" s="3272"/>
      <c r="Q228" s="2461"/>
      <c r="R228" s="2448"/>
      <c r="S228" s="2450"/>
      <c r="T228" s="2200"/>
      <c r="U228" s="4" t="b">
        <f t="shared" ref="U228:U230" si="31">U$226</f>
        <v>0</v>
      </c>
    </row>
    <row r="229" spans="2:21" ht="13.5" customHeight="1">
      <c r="B229" s="3367"/>
      <c r="C229" s="2445"/>
      <c r="D229" s="2444"/>
      <c r="E229" s="2421"/>
      <c r="F229" s="2423"/>
      <c r="G229" s="3279" t="s">
        <v>689</v>
      </c>
      <c r="H229" s="312"/>
      <c r="I229" s="313" t="e">
        <f>VLOOKUP($L$10,給湯貯湯式,9,0)</f>
        <v>#N/A</v>
      </c>
      <c r="J229" s="314" t="e">
        <f>VLOOKUP($L$10,給湯貯湯式,11,0)</f>
        <v>#N/A</v>
      </c>
      <c r="K229" s="315" t="e">
        <f>VLOOKUP($L$10,給湯貯湯式,13,0)</f>
        <v>#N/A</v>
      </c>
      <c r="L229" s="9"/>
      <c r="M229" s="891"/>
      <c r="N229" s="3239"/>
      <c r="O229" s="3236"/>
      <c r="P229" s="3272"/>
      <c r="Q229" s="2461"/>
      <c r="R229" s="2448"/>
      <c r="S229" s="2450"/>
      <c r="T229" s="2200"/>
      <c r="U229" s="4" t="b">
        <f t="shared" si="31"/>
        <v>0</v>
      </c>
    </row>
    <row r="230" spans="2:21" ht="13.5" customHeight="1">
      <c r="B230" s="3367"/>
      <c r="C230" s="2445"/>
      <c r="D230" s="2444"/>
      <c r="E230" s="2421"/>
      <c r="F230" s="2423"/>
      <c r="G230" s="3278"/>
      <c r="H230" s="307" t="e">
        <f>HLOOKUP(H229,I229:M230,2,0)</f>
        <v>#N/A</v>
      </c>
      <c r="I230" s="308" t="e">
        <f>VLOOKUP($L$10,給湯貯湯式,10,0)</f>
        <v>#N/A</v>
      </c>
      <c r="J230" s="316" t="e">
        <f>VLOOKUP($L$10,給湯貯湯式,12,0)</f>
        <v>#N/A</v>
      </c>
      <c r="K230" s="309" t="e">
        <f>VLOOKUP($L$10,給湯貯湯式,14,0)</f>
        <v>#N/A</v>
      </c>
      <c r="L230" s="9"/>
      <c r="M230" s="9"/>
      <c r="N230" s="3240"/>
      <c r="O230" s="3237"/>
      <c r="P230" s="3290"/>
      <c r="Q230" s="2516"/>
      <c r="R230" s="2421"/>
      <c r="S230" s="2423"/>
      <c r="T230" s="2200"/>
      <c r="U230" s="4" t="b">
        <f t="shared" si="31"/>
        <v>0</v>
      </c>
    </row>
    <row r="231" spans="2:21" ht="13.5" customHeight="1">
      <c r="B231" s="3367"/>
      <c r="C231" s="1578"/>
      <c r="D231" s="1580"/>
      <c r="E231" s="3243" t="s">
        <v>111</v>
      </c>
      <c r="F231" s="3244"/>
      <c r="G231" s="1549" t="s">
        <v>112</v>
      </c>
      <c r="H231" s="1547"/>
      <c r="I231" s="1547"/>
      <c r="J231" s="1547"/>
      <c r="K231" s="1547"/>
      <c r="L231" s="1548"/>
      <c r="M231" s="1548"/>
      <c r="N231" s="1556" t="s">
        <v>458</v>
      </c>
      <c r="O231" s="1556" t="s">
        <v>113</v>
      </c>
      <c r="P231" s="1842" t="s">
        <v>114</v>
      </c>
      <c r="Q231" s="1843" t="s">
        <v>1283</v>
      </c>
      <c r="R231" s="2498" t="s">
        <v>686</v>
      </c>
      <c r="S231" s="3082"/>
      <c r="T231" s="2200"/>
      <c r="U231" s="4" t="b">
        <f>COUNTA(H232,P232)&lt;&gt;0</f>
        <v>0</v>
      </c>
    </row>
    <row r="232" spans="2:21" ht="13.5" customHeight="1">
      <c r="B232" s="3367"/>
      <c r="C232" s="2443" t="s">
        <v>1187</v>
      </c>
      <c r="D232" s="2444"/>
      <c r="E232" s="2421" t="e">
        <f>VLOOKUP($L$10,給湯管,2,0)</f>
        <v>#N/A</v>
      </c>
      <c r="F232" s="2423"/>
      <c r="G232" s="3279" t="s">
        <v>689</v>
      </c>
      <c r="H232" s="312"/>
      <c r="I232" s="313" t="e">
        <f>VLOOKUP($L$10,給湯管,3,0)</f>
        <v>#N/A</v>
      </c>
      <c r="J232" s="314" t="e">
        <f>VLOOKUP($L$10,給湯管,5,0)</f>
        <v>#N/A</v>
      </c>
      <c r="K232" s="315" t="e">
        <f>VLOOKUP($L$10,給湯管,7,0)</f>
        <v>#N/A</v>
      </c>
      <c r="L232" s="9"/>
      <c r="M232" s="9"/>
      <c r="N232" s="3239" t="e">
        <f>+H233</f>
        <v>#N/A</v>
      </c>
      <c r="O232" s="3236" t="e">
        <f>+INT(E232*N232)</f>
        <v>#N/A</v>
      </c>
      <c r="P232" s="3416"/>
      <c r="Q232" s="2461" t="s">
        <v>198</v>
      </c>
      <c r="R232" s="2448">
        <f>IF(ISERROR(INT(O232*P232)),0,INT(O232*P232))</f>
        <v>0</v>
      </c>
      <c r="S232" s="2450"/>
      <c r="T232" s="2200"/>
      <c r="U232" s="4" t="b">
        <f>+$U$231</f>
        <v>0</v>
      </c>
    </row>
    <row r="233" spans="2:21" ht="13.5" customHeight="1">
      <c r="B233" s="3367"/>
      <c r="C233" s="2445"/>
      <c r="D233" s="2444"/>
      <c r="E233" s="2421"/>
      <c r="F233" s="2423"/>
      <c r="G233" s="3278"/>
      <c r="H233" s="307" t="e">
        <f>HLOOKUP(H232,I232:M233,2,0)</f>
        <v>#N/A</v>
      </c>
      <c r="I233" s="308" t="e">
        <f>VLOOKUP($L$10,給湯管,4,0)</f>
        <v>#N/A</v>
      </c>
      <c r="J233" s="316" t="e">
        <f>VLOOKUP($L$10,給湯管,6,0)</f>
        <v>#N/A</v>
      </c>
      <c r="K233" s="309" t="e">
        <f>VLOOKUP($L$10,給湯管,8,0)</f>
        <v>#N/A</v>
      </c>
      <c r="L233" s="9"/>
      <c r="M233" s="9"/>
      <c r="N233" s="3240"/>
      <c r="O233" s="3237"/>
      <c r="P233" s="3295"/>
      <c r="Q233" s="2516"/>
      <c r="R233" s="2421"/>
      <c r="S233" s="2423"/>
      <c r="T233" s="2200"/>
      <c r="U233" s="4" t="b">
        <f>+$U$231</f>
        <v>0</v>
      </c>
    </row>
    <row r="234" spans="2:21" ht="13.5" customHeight="1">
      <c r="B234" s="3367"/>
      <c r="C234" s="1578"/>
      <c r="D234" s="1580"/>
      <c r="E234" s="3243" t="s">
        <v>111</v>
      </c>
      <c r="F234" s="3244"/>
      <c r="G234" s="1549" t="s">
        <v>112</v>
      </c>
      <c r="H234" s="1547"/>
      <c r="I234" s="1547"/>
      <c r="J234" s="1547"/>
      <c r="K234" s="1547"/>
      <c r="L234" s="1547"/>
      <c r="M234" s="1548"/>
      <c r="N234" s="1556" t="s">
        <v>458</v>
      </c>
      <c r="O234" s="1556" t="s">
        <v>113</v>
      </c>
      <c r="P234" s="1842" t="s">
        <v>114</v>
      </c>
      <c r="Q234" s="1843" t="s">
        <v>156</v>
      </c>
      <c r="R234" s="2498" t="s">
        <v>686</v>
      </c>
      <c r="S234" s="3082"/>
      <c r="T234" s="2200"/>
      <c r="U234" s="4" t="b">
        <f>COUNTA(H235,H237,M236,P235)&lt;&gt;0</f>
        <v>0</v>
      </c>
    </row>
    <row r="235" spans="2:21" ht="13.5" customHeight="1">
      <c r="B235" s="3367"/>
      <c r="C235" s="2443" t="s">
        <v>1203</v>
      </c>
      <c r="D235" s="2444"/>
      <c r="E235" s="2418" t="e">
        <f>VLOOKUP($L$10,ミニＳＫ,2,0)</f>
        <v>#N/A</v>
      </c>
      <c r="F235" s="2420"/>
      <c r="G235" s="3081" t="s">
        <v>1138</v>
      </c>
      <c r="H235" s="357"/>
      <c r="I235" s="372" t="e">
        <f>VLOOKUP($L$10,ミニＳＫ,3,0)</f>
        <v>#N/A</v>
      </c>
      <c r="J235" s="373" t="e">
        <f>VLOOKUP($L$10,ミニＳＫ,5,0)</f>
        <v>#N/A</v>
      </c>
      <c r="K235" s="374" t="e">
        <f>VLOOKUP($L$10,ミニＳＫ,7,0)</f>
        <v>#N/A</v>
      </c>
      <c r="L235" s="371" t="s">
        <v>736</v>
      </c>
      <c r="M235" s="1550" t="s">
        <v>1139</v>
      </c>
      <c r="N235" s="3238" t="e">
        <f>ROUNDDOWN(H236*H238,2)</f>
        <v>#N/A</v>
      </c>
      <c r="O235" s="3235" t="e">
        <f>INT(E235*N235)</f>
        <v>#N/A</v>
      </c>
      <c r="P235" s="3271"/>
      <c r="Q235" s="2515" t="s">
        <v>158</v>
      </c>
      <c r="R235" s="2418">
        <f>IF(ISERROR(INT(O235*P235)),0,INT(O235*P235))</f>
        <v>0</v>
      </c>
      <c r="S235" s="2420"/>
      <c r="T235" s="2200"/>
      <c r="U235" s="4" t="b">
        <f>U234</f>
        <v>0</v>
      </c>
    </row>
    <row r="236" spans="2:21" ht="13.5" customHeight="1">
      <c r="B236" s="3367"/>
      <c r="C236" s="2445"/>
      <c r="D236" s="2444"/>
      <c r="E236" s="2448"/>
      <c r="F236" s="2450"/>
      <c r="G236" s="3275"/>
      <c r="H236" s="307" t="e">
        <f>HLOOKUP(H235,I235:M236,2,0)</f>
        <v>#N/A</v>
      </c>
      <c r="I236" s="308" t="e">
        <f>VLOOKUP($L$10,ミニＳＫ,4,0)</f>
        <v>#N/A</v>
      </c>
      <c r="J236" s="316" t="e">
        <f>VLOOKUP($L$10,ミニＳＫ,6,0)</f>
        <v>#N/A</v>
      </c>
      <c r="K236" s="324" t="e">
        <f>VLOOKUP($L$10,ミニＳＫ,8,0)</f>
        <v>#N/A</v>
      </c>
      <c r="L236" s="309" t="str">
        <f>IF(M236,ROUNDDOWN(1+(M236-J235)*IF(M236&gt;J235,(I236-J236)/(I235-J235),(J236-K236)/(J235-K235)),2),"－")</f>
        <v>－</v>
      </c>
      <c r="M236" s="2052"/>
      <c r="N236" s="3239"/>
      <c r="O236" s="3236"/>
      <c r="P236" s="3272"/>
      <c r="Q236" s="2461"/>
      <c r="R236" s="2448"/>
      <c r="S236" s="2450"/>
      <c r="T236" s="2200"/>
      <c r="U236" s="4" t="b">
        <f>U234</f>
        <v>0</v>
      </c>
    </row>
    <row r="237" spans="2:21" ht="13.5" customHeight="1">
      <c r="B237" s="3367"/>
      <c r="C237" s="2445"/>
      <c r="D237" s="2444"/>
      <c r="E237" s="2448"/>
      <c r="F237" s="2450"/>
      <c r="G237" s="3274" t="s">
        <v>689</v>
      </c>
      <c r="H237" s="312"/>
      <c r="I237" s="313" t="e">
        <f>VLOOKUP($L$10,ミニＳＫ,9,0)</f>
        <v>#N/A</v>
      </c>
      <c r="J237" s="314" t="e">
        <f>VLOOKUP($L$10,ミニＳＫ,11,0)</f>
        <v>#N/A</v>
      </c>
      <c r="K237" s="315" t="e">
        <f>VLOOKUP($L$10,ミニＳＫ,13,0)</f>
        <v>#N/A</v>
      </c>
      <c r="L237" s="9"/>
      <c r="M237" s="9"/>
      <c r="N237" s="3239"/>
      <c r="O237" s="3236"/>
      <c r="P237" s="3272"/>
      <c r="Q237" s="2461"/>
      <c r="R237" s="2448"/>
      <c r="S237" s="2450"/>
      <c r="T237" s="2200"/>
      <c r="U237" s="4" t="b">
        <f>U234</f>
        <v>0</v>
      </c>
    </row>
    <row r="238" spans="2:21" ht="13.5" customHeight="1">
      <c r="B238" s="3367"/>
      <c r="C238" s="2445"/>
      <c r="D238" s="2444"/>
      <c r="E238" s="2421"/>
      <c r="F238" s="2423"/>
      <c r="G238" s="3275"/>
      <c r="H238" s="307" t="e">
        <f>HLOOKUP(H237,I237:M238,2,0)</f>
        <v>#N/A</v>
      </c>
      <c r="I238" s="308" t="e">
        <f>VLOOKUP($L$10,ミニＳＫ,10,0)</f>
        <v>#N/A</v>
      </c>
      <c r="J238" s="316" t="e">
        <f>VLOOKUP($L$10,ミニＳＫ,12,0)</f>
        <v>#N/A</v>
      </c>
      <c r="K238" s="309" t="e">
        <f>VLOOKUP($L$10,ミニＳＫ,14,0)</f>
        <v>#N/A</v>
      </c>
      <c r="L238" s="9"/>
      <c r="M238" s="9"/>
      <c r="N238" s="3240"/>
      <c r="O238" s="3237"/>
      <c r="P238" s="3290"/>
      <c r="Q238" s="2516"/>
      <c r="R238" s="2421"/>
      <c r="S238" s="2423"/>
      <c r="T238" s="2200"/>
      <c r="U238" s="4" t="b">
        <f>U234</f>
        <v>0</v>
      </c>
    </row>
    <row r="239" spans="2:21" ht="13.5" customHeight="1">
      <c r="B239" s="3367"/>
      <c r="C239" s="1578"/>
      <c r="D239" s="1580"/>
      <c r="E239" s="3243" t="s">
        <v>111</v>
      </c>
      <c r="F239" s="3244"/>
      <c r="G239" s="1549" t="s">
        <v>112</v>
      </c>
      <c r="H239" s="1547"/>
      <c r="I239" s="1547"/>
      <c r="J239" s="1547"/>
      <c r="K239" s="1547"/>
      <c r="L239" s="1547"/>
      <c r="M239" s="1548"/>
      <c r="N239" s="1556" t="s">
        <v>458</v>
      </c>
      <c r="O239" s="1556" t="s">
        <v>113</v>
      </c>
      <c r="P239" s="1842" t="s">
        <v>114</v>
      </c>
      <c r="Q239" s="1843" t="s">
        <v>156</v>
      </c>
      <c r="R239" s="2498" t="s">
        <v>686</v>
      </c>
      <c r="S239" s="3082"/>
      <c r="T239" s="2200"/>
      <c r="U239" s="4" t="b">
        <f>COUNTA(H240,H242,M241,P240)&lt;&gt;0</f>
        <v>0</v>
      </c>
    </row>
    <row r="240" spans="2:21" ht="13.5" customHeight="1">
      <c r="B240" s="3367"/>
      <c r="C240" s="2443" t="s">
        <v>1202</v>
      </c>
      <c r="D240" s="2444"/>
      <c r="E240" s="2418" t="e">
        <f>VLOOKUP($L$10,ＳＫ,2,0)</f>
        <v>#N/A</v>
      </c>
      <c r="F240" s="2420"/>
      <c r="G240" s="3081" t="s">
        <v>1138</v>
      </c>
      <c r="H240" s="357"/>
      <c r="I240" s="372" t="e">
        <f>VLOOKUP($L$10,ＳＫ,3,0)</f>
        <v>#N/A</v>
      </c>
      <c r="J240" s="373" t="e">
        <f>VLOOKUP($L$10,ＳＫ,5,0)</f>
        <v>#N/A</v>
      </c>
      <c r="K240" s="374" t="e">
        <f>VLOOKUP($L$10,ＳＫ,7,0)</f>
        <v>#N/A</v>
      </c>
      <c r="L240" s="371" t="s">
        <v>736</v>
      </c>
      <c r="M240" s="1550" t="s">
        <v>1139</v>
      </c>
      <c r="N240" s="3238" t="e">
        <f>ROUNDDOWN(H241*H243,2)</f>
        <v>#N/A</v>
      </c>
      <c r="O240" s="3235" t="e">
        <f>INT(E240*N240)</f>
        <v>#N/A</v>
      </c>
      <c r="P240" s="3271"/>
      <c r="Q240" s="2515" t="s">
        <v>158</v>
      </c>
      <c r="R240" s="2418">
        <f>IF(ISERROR(INT(O240*P240)),0,INT(O240*P240))</f>
        <v>0</v>
      </c>
      <c r="S240" s="2420"/>
      <c r="T240" s="2200"/>
      <c r="U240" s="4" t="b">
        <f>U239</f>
        <v>0</v>
      </c>
    </row>
    <row r="241" spans="2:21" ht="13.5" customHeight="1">
      <c r="B241" s="3367"/>
      <c r="C241" s="2445"/>
      <c r="D241" s="2444"/>
      <c r="E241" s="2448"/>
      <c r="F241" s="2450"/>
      <c r="G241" s="3275"/>
      <c r="H241" s="307" t="e">
        <f>HLOOKUP(H240,I240:M241,2,0)</f>
        <v>#N/A</v>
      </c>
      <c r="I241" s="308" t="e">
        <f>VLOOKUP($L$10,ＳＫ,4,0)</f>
        <v>#N/A</v>
      </c>
      <c r="J241" s="316" t="e">
        <f>VLOOKUP($L$10,ＳＫ,6,0)</f>
        <v>#N/A</v>
      </c>
      <c r="K241" s="324" t="e">
        <f>VLOOKUP($L$10,ＳＫ,8,0)</f>
        <v>#N/A</v>
      </c>
      <c r="L241" s="309" t="str">
        <f>IF(M241,ROUNDDOWN(1+(M241-J240)*IF(M241&gt;J240,(I241-J241)/(I240-J240),(J241-K241)/(J240-K240)),2),"－")</f>
        <v>－</v>
      </c>
      <c r="M241" s="2052"/>
      <c r="N241" s="3239"/>
      <c r="O241" s="3236"/>
      <c r="P241" s="3272"/>
      <c r="Q241" s="2461"/>
      <c r="R241" s="2448"/>
      <c r="S241" s="2450"/>
      <c r="T241" s="2200"/>
      <c r="U241" s="4" t="b">
        <f>U239</f>
        <v>0</v>
      </c>
    </row>
    <row r="242" spans="2:21" ht="13.5" customHeight="1">
      <c r="B242" s="3367"/>
      <c r="C242" s="2445"/>
      <c r="D242" s="2444"/>
      <c r="E242" s="2448"/>
      <c r="F242" s="2450"/>
      <c r="G242" s="3274" t="s">
        <v>689</v>
      </c>
      <c r="H242" s="312"/>
      <c r="I242" s="313" t="e">
        <f>VLOOKUP($L$10,ＳＫ,9,0)</f>
        <v>#N/A</v>
      </c>
      <c r="J242" s="314" t="e">
        <f>VLOOKUP($L$10,ＳＫ,11,0)</f>
        <v>#N/A</v>
      </c>
      <c r="K242" s="315" t="e">
        <f>VLOOKUP($L$10,ＳＫ,13,0)</f>
        <v>#N/A</v>
      </c>
      <c r="L242" s="179"/>
      <c r="M242" s="10"/>
      <c r="N242" s="3239"/>
      <c r="O242" s="3236"/>
      <c r="P242" s="3272"/>
      <c r="Q242" s="2461"/>
      <c r="R242" s="2448"/>
      <c r="S242" s="2450"/>
      <c r="T242" s="2200"/>
      <c r="U242" s="4" t="b">
        <f>U239</f>
        <v>0</v>
      </c>
    </row>
    <row r="243" spans="2:21" ht="13.5" customHeight="1">
      <c r="B243" s="3367"/>
      <c r="C243" s="2445"/>
      <c r="D243" s="2444"/>
      <c r="E243" s="2421"/>
      <c r="F243" s="2423"/>
      <c r="G243" s="3275"/>
      <c r="H243" s="307" t="e">
        <f>HLOOKUP(H242,I242:M243,2,0)</f>
        <v>#N/A</v>
      </c>
      <c r="I243" s="308" t="e">
        <f>VLOOKUP($L$10,ＳＫ,10,0)</f>
        <v>#N/A</v>
      </c>
      <c r="J243" s="316" t="e">
        <f>VLOOKUP($L$10,ＳＫ,12,0)</f>
        <v>#N/A</v>
      </c>
      <c r="K243" s="309" t="e">
        <f>VLOOKUP($L$10,ＳＫ,14,0)</f>
        <v>#N/A</v>
      </c>
      <c r="L243" s="44"/>
      <c r="M243" s="69"/>
      <c r="N243" s="3239"/>
      <c r="O243" s="3236"/>
      <c r="P243" s="3272"/>
      <c r="Q243" s="2461"/>
      <c r="R243" s="2421"/>
      <c r="S243" s="2423"/>
      <c r="T243" s="2200"/>
      <c r="U243" s="4" t="b">
        <f>U239</f>
        <v>0</v>
      </c>
    </row>
    <row r="244" spans="2:21" ht="13.5" customHeight="1">
      <c r="B244" s="3367"/>
      <c r="C244" s="1578"/>
      <c r="D244" s="1580"/>
      <c r="E244" s="3243" t="s">
        <v>111</v>
      </c>
      <c r="F244" s="3244"/>
      <c r="G244" s="1549" t="s">
        <v>112</v>
      </c>
      <c r="H244" s="1547"/>
      <c r="I244" s="1547"/>
      <c r="J244" s="1547"/>
      <c r="K244" s="1547"/>
      <c r="L244" s="1547"/>
      <c r="M244" s="1548"/>
      <c r="N244" s="1556" t="s">
        <v>458</v>
      </c>
      <c r="O244" s="1556" t="s">
        <v>113</v>
      </c>
      <c r="P244" s="1842" t="s">
        <v>114</v>
      </c>
      <c r="Q244" s="1850" t="s">
        <v>5333</v>
      </c>
      <c r="R244" s="2498" t="s">
        <v>686</v>
      </c>
      <c r="S244" s="3082"/>
      <c r="T244" s="2200"/>
      <c r="U244" s="4" t="b">
        <f>COUNTA(H245,H247,M248,P245)&lt;&gt;0</f>
        <v>0</v>
      </c>
    </row>
    <row r="245" spans="2:21" ht="13.5" customHeight="1">
      <c r="B245" s="3367"/>
      <c r="C245" s="2443" t="s">
        <v>5335</v>
      </c>
      <c r="D245" s="2500"/>
      <c r="E245" s="3260" t="e">
        <f>VLOOKUP($L$10,ガス,2,0)</f>
        <v>#N/A</v>
      </c>
      <c r="F245" s="2766"/>
      <c r="G245" s="2498" t="s">
        <v>502</v>
      </c>
      <c r="H245" s="312"/>
      <c r="I245" s="313" t="e">
        <f>VLOOKUP($L$10,ガス,5,0)</f>
        <v>#N/A</v>
      </c>
      <c r="J245" s="315" t="e">
        <f>VLOOKUP($L$10,ガス,7,0)</f>
        <v>#N/A</v>
      </c>
      <c r="K245" s="9"/>
      <c r="L245" s="9"/>
      <c r="M245" s="179"/>
      <c r="N245" s="3282" t="e">
        <f>ROUNDDOWN(H246*H248,2)</f>
        <v>#N/A</v>
      </c>
      <c r="O245" s="3246" t="e">
        <f>INT(E245*N245)</f>
        <v>#N/A</v>
      </c>
      <c r="P245" s="3268"/>
      <c r="Q245" s="3265" t="s">
        <v>5336</v>
      </c>
      <c r="R245" s="3260">
        <f>IF(ISERROR(INT(O245*P245)),0,INT(O245*P245))</f>
        <v>0</v>
      </c>
      <c r="S245" s="2766"/>
      <c r="T245" s="2200"/>
      <c r="U245" s="4" t="b">
        <f t="shared" ref="U245:U248" si="32">U$244</f>
        <v>0</v>
      </c>
    </row>
    <row r="246" spans="2:21" ht="13.5" customHeight="1">
      <c r="B246" s="3367"/>
      <c r="C246" s="2445"/>
      <c r="D246" s="2500"/>
      <c r="E246" s="2767"/>
      <c r="F246" s="2769"/>
      <c r="G246" s="3082"/>
      <c r="H246" s="307" t="e">
        <f>HLOOKUP(H245,I245:J246,2,0)</f>
        <v>#N/A</v>
      </c>
      <c r="I246" s="308" t="e">
        <f>VLOOKUP($L$10,ガス,6,0)</f>
        <v>#N/A</v>
      </c>
      <c r="J246" s="309" t="e">
        <f>VLOOKUP($L$10,ガス,8,0)</f>
        <v>#N/A</v>
      </c>
      <c r="K246" s="9"/>
      <c r="L246" s="9"/>
      <c r="M246" s="9"/>
      <c r="N246" s="3296"/>
      <c r="O246" s="3247"/>
      <c r="P246" s="3269"/>
      <c r="Q246" s="3266"/>
      <c r="R246" s="2767"/>
      <c r="S246" s="2769"/>
      <c r="T246" s="2200"/>
      <c r="U246" s="4" t="b">
        <f t="shared" si="32"/>
        <v>0</v>
      </c>
    </row>
    <row r="247" spans="2:21" ht="13.5" customHeight="1">
      <c r="B247" s="3367"/>
      <c r="C247" s="2445"/>
      <c r="D247" s="2500"/>
      <c r="E247" s="2767"/>
      <c r="F247" s="2769"/>
      <c r="G247" s="2498" t="s">
        <v>5334</v>
      </c>
      <c r="H247" s="936"/>
      <c r="I247" s="937" t="e">
        <f>VLOOKUP($L$10,ガス,9,0)</f>
        <v>#N/A</v>
      </c>
      <c r="J247" s="929" t="e">
        <f>VLOOKUP($L$10,ガス,11,0)</f>
        <v>#N/A</v>
      </c>
      <c r="K247" s="318" t="e">
        <f>VLOOKUP($L$10,ガス,13,0)</f>
        <v>#N/A</v>
      </c>
      <c r="L247" s="315" t="s">
        <v>736</v>
      </c>
      <c r="M247" s="1550" t="s">
        <v>5334</v>
      </c>
      <c r="N247" s="3296"/>
      <c r="O247" s="3247"/>
      <c r="P247" s="3269"/>
      <c r="Q247" s="3266"/>
      <c r="R247" s="2767"/>
      <c r="S247" s="2769"/>
      <c r="T247" s="2200"/>
      <c r="U247" s="4" t="b">
        <f t="shared" si="32"/>
        <v>0</v>
      </c>
    </row>
    <row r="248" spans="2:21" ht="13.5" customHeight="1">
      <c r="B248" s="3367"/>
      <c r="C248" s="2445"/>
      <c r="D248" s="2500"/>
      <c r="E248" s="2770"/>
      <c r="F248" s="2772"/>
      <c r="G248" s="3082"/>
      <c r="H248" s="307" t="e">
        <f>HLOOKUP(H247,I247:L248,2,0)</f>
        <v>#N/A</v>
      </c>
      <c r="I248" s="308" t="e">
        <f>VLOOKUP($L$10,ガス,10,0)</f>
        <v>#N/A</v>
      </c>
      <c r="J248" s="316" t="e">
        <f>VLOOKUP($L$10,ガス,12,0)</f>
        <v>#N/A</v>
      </c>
      <c r="K248" s="324" t="e">
        <f>VLOOKUP($L$10,ガス,14,0)</f>
        <v>#N/A</v>
      </c>
      <c r="L248" s="309" t="str">
        <f>IF(M248,ROUNDDOWN(1+(M248-J247)*(I248-J248)/(I247-J247),2),"－")</f>
        <v>－</v>
      </c>
      <c r="M248" s="2057"/>
      <c r="N248" s="3283"/>
      <c r="O248" s="3248"/>
      <c r="P248" s="3270"/>
      <c r="Q248" s="3267"/>
      <c r="R248" s="2770"/>
      <c r="S248" s="2772"/>
      <c r="T248" s="2200"/>
      <c r="U248" s="4" t="b">
        <f t="shared" si="32"/>
        <v>0</v>
      </c>
    </row>
    <row r="249" spans="2:21" ht="13.5" customHeight="1">
      <c r="B249" s="1848"/>
      <c r="C249" s="1578"/>
      <c r="D249" s="1580"/>
      <c r="E249" s="3243" t="s">
        <v>111</v>
      </c>
      <c r="F249" s="3244"/>
      <c r="G249" s="1549" t="s">
        <v>112</v>
      </c>
      <c r="H249" s="1547"/>
      <c r="I249" s="1547"/>
      <c r="J249" s="1547"/>
      <c r="K249" s="1547"/>
      <c r="L249" s="1547"/>
      <c r="M249" s="1548"/>
      <c r="N249" s="1556" t="s">
        <v>458</v>
      </c>
      <c r="O249" s="1556" t="s">
        <v>113</v>
      </c>
      <c r="P249" s="1842" t="s">
        <v>114</v>
      </c>
      <c r="Q249" s="1843" t="s">
        <v>685</v>
      </c>
      <c r="R249" s="2498" t="s">
        <v>686</v>
      </c>
      <c r="S249" s="3082"/>
      <c r="T249" s="2200"/>
      <c r="U249" s="4" t="b">
        <f>COUNTA(H250,H252,H254,H256,H258)&lt;&gt;0</f>
        <v>0</v>
      </c>
    </row>
    <row r="250" spans="2:21" ht="13.5" customHeight="1">
      <c r="B250" s="1848"/>
      <c r="C250" s="2564" t="s">
        <v>5488</v>
      </c>
      <c r="D250" s="2879"/>
      <c r="E250" s="2418" t="e">
        <f>VLOOKUP($L$10,総合集合小,2,0)</f>
        <v>#N/A</v>
      </c>
      <c r="F250" s="2420"/>
      <c r="G250" s="3081" t="s">
        <v>5407</v>
      </c>
      <c r="H250" s="938"/>
      <c r="I250" s="939" t="e">
        <f>VLOOKUP($L$10,総合集合小,3,0)</f>
        <v>#N/A</v>
      </c>
      <c r="J250" s="940" t="e">
        <f>VLOOKUP($L$10,総合集合小,5,0)</f>
        <v>#N/A</v>
      </c>
      <c r="K250" s="360" t="e">
        <f>VLOOKUP($L$10,総合集合小,7,0)</f>
        <v>#N/A</v>
      </c>
      <c r="L250" s="371" t="s">
        <v>736</v>
      </c>
      <c r="M250" s="1606" t="s">
        <v>5410</v>
      </c>
      <c r="N250" s="3238" t="e">
        <f>ROUNDDOWN(H251*H253*H255*H259*H257,2)</f>
        <v>#N/A</v>
      </c>
      <c r="O250" s="3235" t="e">
        <f>INT(E250*N250)</f>
        <v>#N/A</v>
      </c>
      <c r="P250" s="2513">
        <f>$P$10</f>
        <v>0</v>
      </c>
      <c r="Q250" s="2515" t="s">
        <v>44</v>
      </c>
      <c r="R250" s="2418">
        <f>IF(ISERROR(INT(O250*P250)),0,INT(O250*P250))</f>
        <v>0</v>
      </c>
      <c r="S250" s="2420"/>
      <c r="T250" s="2200"/>
      <c r="U250" s="4" t="b">
        <f>U$249</f>
        <v>0</v>
      </c>
    </row>
    <row r="251" spans="2:21" ht="13.5" customHeight="1">
      <c r="B251" s="1848"/>
      <c r="C251" s="2566"/>
      <c r="D251" s="2879"/>
      <c r="E251" s="2448"/>
      <c r="F251" s="2450"/>
      <c r="G251" s="3273"/>
      <c r="H251" s="307" t="e">
        <f>HLOOKUP(H250,I250:L251,2,0)</f>
        <v>#N/A</v>
      </c>
      <c r="I251" s="308" t="e">
        <f>VLOOKUP($L$10,総合集合小,4,0)</f>
        <v>#N/A</v>
      </c>
      <c r="J251" s="316" t="e">
        <f>VLOOKUP($L$10,総合集合小,6,0)</f>
        <v>#N/A</v>
      </c>
      <c r="K251" s="324" t="e">
        <f>VLOOKUP($L$10,総合集合小,8,0)</f>
        <v>#N/A</v>
      </c>
      <c r="L251" s="309" t="str">
        <f>IF(M251,ROUNDDOWN(1+(M251-J250)*(I251-J251)/(I250-J250),2),"－")</f>
        <v>－</v>
      </c>
      <c r="M251" s="2058"/>
      <c r="N251" s="3239"/>
      <c r="O251" s="3236"/>
      <c r="P251" s="2459"/>
      <c r="Q251" s="2461"/>
      <c r="R251" s="2448"/>
      <c r="S251" s="2450"/>
      <c r="T251" s="2200"/>
      <c r="U251" s="4" t="b">
        <f t="shared" ref="U251:U259" si="33">U$249</f>
        <v>0</v>
      </c>
    </row>
    <row r="252" spans="2:21" ht="13.5" customHeight="1">
      <c r="B252" s="1848"/>
      <c r="C252" s="2566"/>
      <c r="D252" s="2879"/>
      <c r="E252" s="2448"/>
      <c r="F252" s="2450"/>
      <c r="G252" s="2498" t="s">
        <v>165</v>
      </c>
      <c r="H252" s="941"/>
      <c r="I252" s="942" t="e">
        <f>VLOOKUP($L$10,総合集合小,9,0)</f>
        <v>#N/A</v>
      </c>
      <c r="J252" s="943" t="e">
        <f>VLOOKUP($L$10,総合集合小,11,0)</f>
        <v>#N/A</v>
      </c>
      <c r="K252" s="361" t="e">
        <f>VLOOKUP($L$10,総合集合小,13,0)</f>
        <v>#N/A</v>
      </c>
      <c r="L252" s="355"/>
      <c r="M252" s="944"/>
      <c r="N252" s="2757"/>
      <c r="O252" s="3236"/>
      <c r="P252" s="2459"/>
      <c r="Q252" s="2461"/>
      <c r="R252" s="2448"/>
      <c r="S252" s="2450"/>
      <c r="T252" s="2200"/>
      <c r="U252" s="4" t="b">
        <f t="shared" si="33"/>
        <v>0</v>
      </c>
    </row>
    <row r="253" spans="2:21" ht="13.5" customHeight="1">
      <c r="B253" s="1848"/>
      <c r="C253" s="2566"/>
      <c r="D253" s="2879"/>
      <c r="E253" s="2448"/>
      <c r="F253" s="2450"/>
      <c r="G253" s="3082"/>
      <c r="H253" s="307" t="e">
        <f>HLOOKUP(H252,I252:L253,2,0)</f>
        <v>#N/A</v>
      </c>
      <c r="I253" s="308" t="e">
        <f>VLOOKUP($L$10,総合集合小,10,0)</f>
        <v>#N/A</v>
      </c>
      <c r="J253" s="316" t="e">
        <f>VLOOKUP($L$10,総合集合小,12,0)</f>
        <v>#N/A</v>
      </c>
      <c r="K253" s="309" t="e">
        <f>VLOOKUP($L$10,総合集合小,14,0)</f>
        <v>#N/A</v>
      </c>
      <c r="L253" s="311"/>
      <c r="M253" s="945"/>
      <c r="N253" s="2757"/>
      <c r="O253" s="3236"/>
      <c r="P253" s="2459"/>
      <c r="Q253" s="2461"/>
      <c r="R253" s="2448"/>
      <c r="S253" s="2450"/>
      <c r="T253" s="2200"/>
      <c r="U253" s="4" t="b">
        <f t="shared" si="33"/>
        <v>0</v>
      </c>
    </row>
    <row r="254" spans="2:21" ht="13.5" customHeight="1">
      <c r="B254" s="1848"/>
      <c r="C254" s="2566"/>
      <c r="D254" s="2879"/>
      <c r="E254" s="2448"/>
      <c r="F254" s="2450"/>
      <c r="G254" s="3081" t="s">
        <v>5408</v>
      </c>
      <c r="H254" s="312"/>
      <c r="I254" s="313" t="e">
        <f>VLOOKUP($L$10,総合集合小,15,0)</f>
        <v>#N/A</v>
      </c>
      <c r="J254" s="314" t="e">
        <f>VLOOKUP($L$10,総合集合小,17,0)</f>
        <v>#N/A</v>
      </c>
      <c r="K254" s="315" t="e">
        <f>VLOOKUP($L$10,総合集合小,19,0)</f>
        <v>#N/A</v>
      </c>
      <c r="L254" s="9"/>
      <c r="M254" s="643"/>
      <c r="N254" s="2757"/>
      <c r="O254" s="3236"/>
      <c r="P254" s="2459"/>
      <c r="Q254" s="2461"/>
      <c r="R254" s="2448"/>
      <c r="S254" s="2450"/>
      <c r="T254" s="2200"/>
      <c r="U254" s="4" t="b">
        <f t="shared" si="33"/>
        <v>0</v>
      </c>
    </row>
    <row r="255" spans="2:21" ht="13.5" customHeight="1">
      <c r="B255" s="1848"/>
      <c r="C255" s="2566"/>
      <c r="D255" s="2879"/>
      <c r="E255" s="2448"/>
      <c r="F255" s="2450"/>
      <c r="G255" s="3082"/>
      <c r="H255" s="307" t="e">
        <f>HLOOKUP(H254,I254:K255,2,0)</f>
        <v>#N/A</v>
      </c>
      <c r="I255" s="308" t="e">
        <f>VLOOKUP($L$10,総合集合小,16,0)</f>
        <v>#N/A</v>
      </c>
      <c r="J255" s="316" t="e">
        <f>VLOOKUP($L$10,総合集合小,18,0)</f>
        <v>#N/A</v>
      </c>
      <c r="K255" s="309" t="e">
        <f>VLOOKUP($L$10,総合集合小,20,0)</f>
        <v>#N/A</v>
      </c>
      <c r="L255" s="9"/>
      <c r="M255" s="9"/>
      <c r="N255" s="3239"/>
      <c r="O255" s="3236"/>
      <c r="P255" s="2459"/>
      <c r="Q255" s="2461"/>
      <c r="R255" s="2448"/>
      <c r="S255" s="2450"/>
      <c r="T255" s="2200"/>
      <c r="U255" s="4" t="b">
        <f t="shared" si="33"/>
        <v>0</v>
      </c>
    </row>
    <row r="256" spans="2:21" ht="13.5" customHeight="1">
      <c r="B256" s="1848"/>
      <c r="C256" s="2566"/>
      <c r="D256" s="2565"/>
      <c r="E256" s="2448"/>
      <c r="F256" s="2640"/>
      <c r="G256" s="2498" t="s">
        <v>5409</v>
      </c>
      <c r="H256" s="946"/>
      <c r="I256" s="326" t="e">
        <f>VLOOKUP($L$10,総合集合小,29,0)</f>
        <v>#N/A</v>
      </c>
      <c r="J256" s="399" t="e">
        <f>VLOOKUP($L$10,総合集合小,31,0)</f>
        <v>#N/A</v>
      </c>
      <c r="K256" s="947"/>
      <c r="L256" s="9"/>
      <c r="M256" s="9"/>
      <c r="N256" s="3239"/>
      <c r="O256" s="3236"/>
      <c r="P256" s="2459"/>
      <c r="Q256" s="2757"/>
      <c r="R256" s="2448"/>
      <c r="S256" s="2640"/>
      <c r="T256" s="2200"/>
      <c r="U256" s="4" t="b">
        <f t="shared" si="33"/>
        <v>0</v>
      </c>
    </row>
    <row r="257" spans="2:21" ht="13.5" customHeight="1">
      <c r="B257" s="1848"/>
      <c r="C257" s="2566"/>
      <c r="D257" s="2565"/>
      <c r="E257" s="2448"/>
      <c r="F257" s="2640"/>
      <c r="G257" s="3082"/>
      <c r="H257" s="307" t="e">
        <f>HLOOKUP(H256,I256:J257,2,0)</f>
        <v>#N/A</v>
      </c>
      <c r="I257" s="308" t="e">
        <f>VLOOKUP($L$10,総合集合小,30,0)</f>
        <v>#N/A</v>
      </c>
      <c r="J257" s="324" t="e">
        <f>VLOOKUP($L$10,総合集合小,32,0)</f>
        <v>#N/A</v>
      </c>
      <c r="K257" s="854"/>
      <c r="L257" s="9"/>
      <c r="M257" s="9"/>
      <c r="N257" s="3239"/>
      <c r="O257" s="3236"/>
      <c r="P257" s="2459"/>
      <c r="Q257" s="2757"/>
      <c r="R257" s="2448"/>
      <c r="S257" s="2640"/>
      <c r="T257" s="2200"/>
      <c r="U257" s="4" t="b">
        <f t="shared" si="33"/>
        <v>0</v>
      </c>
    </row>
    <row r="258" spans="2:21" ht="13.5" customHeight="1">
      <c r="B258" s="1848"/>
      <c r="C258" s="2566"/>
      <c r="D258" s="2879"/>
      <c r="E258" s="2448"/>
      <c r="F258" s="2450"/>
      <c r="G258" s="2498" t="s">
        <v>689</v>
      </c>
      <c r="H258" s="946"/>
      <c r="I258" s="326" t="e">
        <f>VLOOKUP($L$10,総合集合小,21,0)</f>
        <v>#N/A</v>
      </c>
      <c r="J258" s="327" t="e">
        <f>VLOOKUP($L$10,総合集合小,23,0)</f>
        <v>#N/A</v>
      </c>
      <c r="K258" s="328" t="e">
        <f>VLOOKUP($L$10,総合集合小,25,0)</f>
        <v>#N/A</v>
      </c>
      <c r="L258" s="189"/>
      <c r="M258" s="643"/>
      <c r="N258" s="3239"/>
      <c r="O258" s="3236"/>
      <c r="P258" s="2459"/>
      <c r="Q258" s="2461"/>
      <c r="R258" s="2448"/>
      <c r="S258" s="2450"/>
      <c r="T258" s="2200"/>
      <c r="U258" s="4" t="b">
        <f t="shared" si="33"/>
        <v>0</v>
      </c>
    </row>
    <row r="259" spans="2:21" ht="13.5" customHeight="1">
      <c r="B259" s="1848"/>
      <c r="C259" s="2880"/>
      <c r="D259" s="2882"/>
      <c r="E259" s="2421"/>
      <c r="F259" s="2423"/>
      <c r="G259" s="3082"/>
      <c r="H259" s="307" t="e">
        <f>HLOOKUP(H258,I258:K259,2,0)</f>
        <v>#N/A</v>
      </c>
      <c r="I259" s="308" t="e">
        <f>VLOOKUP($L$10,総合集合小,22,0)</f>
        <v>#N/A</v>
      </c>
      <c r="J259" s="316" t="e">
        <f>VLOOKUP($L$10,総合集合小,24,0)</f>
        <v>#N/A</v>
      </c>
      <c r="K259" s="309" t="e">
        <f>VLOOKUP($L$10,総合集合小,26,0)</f>
        <v>#N/A</v>
      </c>
      <c r="L259" s="44"/>
      <c r="M259" s="44"/>
      <c r="N259" s="3240"/>
      <c r="O259" s="3237"/>
      <c r="P259" s="2470"/>
      <c r="Q259" s="2516"/>
      <c r="R259" s="2421"/>
      <c r="S259" s="2423"/>
      <c r="T259" s="2200"/>
      <c r="U259" s="4" t="b">
        <f t="shared" si="33"/>
        <v>0</v>
      </c>
    </row>
    <row r="260" spans="2:21" ht="13.5" customHeight="1">
      <c r="B260" s="1848"/>
      <c r="C260" s="1845"/>
      <c r="D260" s="1846"/>
      <c r="E260" s="3243" t="s">
        <v>111</v>
      </c>
      <c r="F260" s="3244"/>
      <c r="G260" s="1549" t="s">
        <v>112</v>
      </c>
      <c r="H260" s="1547"/>
      <c r="I260" s="1547"/>
      <c r="J260" s="1547"/>
      <c r="K260" s="1547"/>
      <c r="L260" s="1547"/>
      <c r="M260" s="1548"/>
      <c r="N260" s="1556" t="s">
        <v>458</v>
      </c>
      <c r="O260" s="1556" t="s">
        <v>113</v>
      </c>
      <c r="P260" s="1842" t="s">
        <v>114</v>
      </c>
      <c r="Q260" s="1843" t="s">
        <v>685</v>
      </c>
      <c r="R260" s="2498" t="s">
        <v>686</v>
      </c>
      <c r="S260" s="3082"/>
      <c r="T260" s="2200"/>
      <c r="U260" s="4" t="b">
        <f>COUNTA(H261,H263,H265,H267,H269)&lt;&gt;0</f>
        <v>0</v>
      </c>
    </row>
    <row r="261" spans="2:21" ht="13.5" customHeight="1">
      <c r="B261" s="1848"/>
      <c r="C261" s="2564" t="s">
        <v>5489</v>
      </c>
      <c r="D261" s="2879"/>
      <c r="E261" s="2418" t="e">
        <f>VLOOKUP($L$10,総合集合大,2,0)</f>
        <v>#N/A</v>
      </c>
      <c r="F261" s="2420"/>
      <c r="G261" s="3081" t="s">
        <v>5407</v>
      </c>
      <c r="H261" s="938"/>
      <c r="I261" s="939" t="e">
        <f>VLOOKUP($L$10,総合集合大,3,0)</f>
        <v>#N/A</v>
      </c>
      <c r="J261" s="940" t="e">
        <f>VLOOKUP($L$10,総合集合大,5,0)</f>
        <v>#N/A</v>
      </c>
      <c r="K261" s="374" t="e">
        <f>VLOOKUP($L$10,総合集合大,7,0)</f>
        <v>#N/A</v>
      </c>
      <c r="L261" s="371" t="s">
        <v>736</v>
      </c>
      <c r="M261" s="1550" t="s">
        <v>5410</v>
      </c>
      <c r="N261" s="3238" t="e">
        <f>ROUNDDOWN(H262*H264*H266*H270*H268,2)</f>
        <v>#N/A</v>
      </c>
      <c r="O261" s="3235" t="e">
        <f>INT(E261*N261)</f>
        <v>#N/A</v>
      </c>
      <c r="P261" s="2513">
        <f>$P$10</f>
        <v>0</v>
      </c>
      <c r="Q261" s="2515" t="s">
        <v>44</v>
      </c>
      <c r="R261" s="2418">
        <f>IF(ISERROR(INT(O261*P261)),0,INT(O261*P261))</f>
        <v>0</v>
      </c>
      <c r="S261" s="2420"/>
      <c r="T261" s="2200"/>
      <c r="U261" s="4" t="b">
        <f>U$260</f>
        <v>0</v>
      </c>
    </row>
    <row r="262" spans="2:21" ht="13.5" customHeight="1">
      <c r="B262" s="1848"/>
      <c r="C262" s="2566"/>
      <c r="D262" s="2879"/>
      <c r="E262" s="2448"/>
      <c r="F262" s="2450"/>
      <c r="G262" s="3273"/>
      <c r="H262" s="307" t="e">
        <f>HLOOKUP(H261,I261:L262,2,0)</f>
        <v>#N/A</v>
      </c>
      <c r="I262" s="308" t="e">
        <f>VLOOKUP($L$10,総合集合大,4,0)</f>
        <v>#N/A</v>
      </c>
      <c r="J262" s="316" t="e">
        <f>VLOOKUP($L$10,総合集合大,6,0)</f>
        <v>#N/A</v>
      </c>
      <c r="K262" s="324" t="e">
        <f>VLOOKUP($L$10,総合集合大,8,0)</f>
        <v>#N/A</v>
      </c>
      <c r="L262" s="309" t="str">
        <f>IF(M262,ROUNDDOWN(1+(M262-J261)*(I262-J262)/(I261-J261),2),"－")</f>
        <v>－</v>
      </c>
      <c r="M262" s="2059"/>
      <c r="N262" s="3239"/>
      <c r="O262" s="3236"/>
      <c r="P262" s="2459"/>
      <c r="Q262" s="2461"/>
      <c r="R262" s="2448"/>
      <c r="S262" s="2450"/>
      <c r="T262" s="2200"/>
      <c r="U262" s="4" t="b">
        <f t="shared" ref="U262:U270" si="34">U$260</f>
        <v>0</v>
      </c>
    </row>
    <row r="263" spans="2:21" ht="13.5" customHeight="1">
      <c r="B263" s="1848"/>
      <c r="C263" s="2566"/>
      <c r="D263" s="2879"/>
      <c r="E263" s="2448"/>
      <c r="F263" s="2450"/>
      <c r="G263" s="2498" t="s">
        <v>165</v>
      </c>
      <c r="H263" s="941"/>
      <c r="I263" s="942" t="e">
        <f>VLOOKUP($L$10,総合集合大,9,0)</f>
        <v>#N/A</v>
      </c>
      <c r="J263" s="943" t="e">
        <f>VLOOKUP($L$10,総合集合大,11,0)</f>
        <v>#N/A</v>
      </c>
      <c r="K263" s="374" t="e">
        <f>VLOOKUP($L$10,総合集合大,13,0)</f>
        <v>#N/A</v>
      </c>
      <c r="L263" s="371" t="s">
        <v>673</v>
      </c>
      <c r="M263" s="1550" t="s">
        <v>165</v>
      </c>
      <c r="N263" s="3239"/>
      <c r="O263" s="3236"/>
      <c r="P263" s="2459"/>
      <c r="Q263" s="2461"/>
      <c r="R263" s="2448"/>
      <c r="S263" s="2450"/>
      <c r="T263" s="2200"/>
      <c r="U263" s="4" t="b">
        <f t="shared" si="34"/>
        <v>0</v>
      </c>
    </row>
    <row r="264" spans="2:21" ht="13.5" customHeight="1">
      <c r="B264" s="1848"/>
      <c r="C264" s="2566"/>
      <c r="D264" s="2879"/>
      <c r="E264" s="2448"/>
      <c r="F264" s="2450"/>
      <c r="G264" s="3082"/>
      <c r="H264" s="307" t="e">
        <f>HLOOKUP(H263,I263:L264,2,0)</f>
        <v>#N/A</v>
      </c>
      <c r="I264" s="308" t="e">
        <f>VLOOKUP($L$10,総合集合大,10,0)</f>
        <v>#N/A</v>
      </c>
      <c r="J264" s="316" t="e">
        <f>VLOOKUP($L$10,総合集合大,12,0)</f>
        <v>#N/A</v>
      </c>
      <c r="K264" s="324" t="e">
        <f>VLOOKUP($L$10,総合集合大,14,0)</f>
        <v>#N/A</v>
      </c>
      <c r="L264" s="309" t="str">
        <f>IF(M264,ROUNDDOWN(1+(M264-J263)*(I264-J264)/(I263-J263),2),"－")</f>
        <v>－</v>
      </c>
      <c r="M264" s="2060"/>
      <c r="N264" s="3239"/>
      <c r="O264" s="3236"/>
      <c r="P264" s="2459"/>
      <c r="Q264" s="2461"/>
      <c r="R264" s="2448"/>
      <c r="S264" s="2450"/>
      <c r="T264" s="2200"/>
      <c r="U264" s="4" t="b">
        <f t="shared" si="34"/>
        <v>0</v>
      </c>
    </row>
    <row r="265" spans="2:21" ht="13.5" customHeight="1">
      <c r="B265" s="1848"/>
      <c r="C265" s="2566"/>
      <c r="D265" s="2879"/>
      <c r="E265" s="2448"/>
      <c r="F265" s="2450"/>
      <c r="G265" s="3081" t="s">
        <v>5408</v>
      </c>
      <c r="H265" s="312"/>
      <c r="I265" s="313" t="e">
        <f>VLOOKUP($L$10,総合集合大,15,0)</f>
        <v>#N/A</v>
      </c>
      <c r="J265" s="314" t="e">
        <f>VLOOKUP($L$10,総合集合大,17,0)</f>
        <v>#N/A</v>
      </c>
      <c r="K265" s="315" t="e">
        <f>VLOOKUP($L$10,総合集合大,19,0)</f>
        <v>#N/A</v>
      </c>
      <c r="L265" s="9"/>
      <c r="M265" s="9"/>
      <c r="N265" s="3239"/>
      <c r="O265" s="3236"/>
      <c r="P265" s="2459"/>
      <c r="Q265" s="2461"/>
      <c r="R265" s="2448"/>
      <c r="S265" s="2450"/>
      <c r="T265" s="2200"/>
      <c r="U265" s="4" t="b">
        <f t="shared" si="34"/>
        <v>0</v>
      </c>
    </row>
    <row r="266" spans="2:21" ht="13.5" customHeight="1">
      <c r="B266" s="1848"/>
      <c r="C266" s="2566"/>
      <c r="D266" s="2879"/>
      <c r="E266" s="2448"/>
      <c r="F266" s="2450"/>
      <c r="G266" s="3082"/>
      <c r="H266" s="307" t="e">
        <f>HLOOKUP(H265,I265:K266,2,0)</f>
        <v>#N/A</v>
      </c>
      <c r="I266" s="308" t="e">
        <f>VLOOKUP($L$10,総合集合大,16,0)</f>
        <v>#N/A</v>
      </c>
      <c r="J266" s="316" t="e">
        <f>VLOOKUP($L$10,総合集合大,18,0)</f>
        <v>#N/A</v>
      </c>
      <c r="K266" s="309" t="e">
        <f>VLOOKUP($L$10,総合集合大,20,0)</f>
        <v>#N/A</v>
      </c>
      <c r="L266" s="9"/>
      <c r="M266" s="9"/>
      <c r="N266" s="3239"/>
      <c r="O266" s="3236"/>
      <c r="P266" s="2459"/>
      <c r="Q266" s="2461"/>
      <c r="R266" s="2448"/>
      <c r="S266" s="2450"/>
      <c r="T266" s="2200"/>
      <c r="U266" s="4" t="b">
        <f t="shared" si="34"/>
        <v>0</v>
      </c>
    </row>
    <row r="267" spans="2:21" ht="13.5" customHeight="1">
      <c r="B267" s="1848"/>
      <c r="C267" s="2566"/>
      <c r="D267" s="2565"/>
      <c r="E267" s="2448"/>
      <c r="F267" s="2640"/>
      <c r="G267" s="2498" t="s">
        <v>5409</v>
      </c>
      <c r="H267" s="946"/>
      <c r="I267" s="326" t="e">
        <f>VLOOKUP($L$10,総合集合大,29,0)</f>
        <v>#N/A</v>
      </c>
      <c r="J267" s="399" t="e">
        <f>VLOOKUP($L$10,総合集合大,31,0)</f>
        <v>#N/A</v>
      </c>
      <c r="K267" s="947"/>
      <c r="L267" s="9"/>
      <c r="M267" s="9"/>
      <c r="N267" s="3239"/>
      <c r="O267" s="3236"/>
      <c r="P267" s="2459"/>
      <c r="Q267" s="2757"/>
      <c r="R267" s="2448"/>
      <c r="S267" s="2640"/>
      <c r="T267" s="2200"/>
      <c r="U267" s="4" t="b">
        <f t="shared" si="34"/>
        <v>0</v>
      </c>
    </row>
    <row r="268" spans="2:21" ht="13.5" customHeight="1">
      <c r="B268" s="1848"/>
      <c r="C268" s="2566"/>
      <c r="D268" s="2565"/>
      <c r="E268" s="2448"/>
      <c r="F268" s="2640"/>
      <c r="G268" s="3082"/>
      <c r="H268" s="307" t="e">
        <f>HLOOKUP(H267,I267:J268,2,0)</f>
        <v>#N/A</v>
      </c>
      <c r="I268" s="308" t="e">
        <f>VLOOKUP($L$10,総合集合大,30,0)</f>
        <v>#N/A</v>
      </c>
      <c r="J268" s="324" t="e">
        <f>VLOOKUP($L$10,総合集合大,32,0)</f>
        <v>#N/A</v>
      </c>
      <c r="K268" s="854"/>
      <c r="L268" s="9"/>
      <c r="M268" s="9"/>
      <c r="N268" s="3239"/>
      <c r="O268" s="3236"/>
      <c r="P268" s="2459"/>
      <c r="Q268" s="2757"/>
      <c r="R268" s="2448"/>
      <c r="S268" s="2640"/>
      <c r="T268" s="2200"/>
      <c r="U268" s="4" t="b">
        <f t="shared" si="34"/>
        <v>0</v>
      </c>
    </row>
    <row r="269" spans="2:21" ht="13.5" customHeight="1">
      <c r="B269" s="1848"/>
      <c r="C269" s="2566"/>
      <c r="D269" s="2879"/>
      <c r="E269" s="2448"/>
      <c r="F269" s="2450"/>
      <c r="G269" s="2498" t="s">
        <v>689</v>
      </c>
      <c r="H269" s="946"/>
      <c r="I269" s="326" t="e">
        <f>VLOOKUP($L$10,総合集合大,21,0)</f>
        <v>#N/A</v>
      </c>
      <c r="J269" s="327" t="e">
        <f>VLOOKUP($L$10,総合集合大,23,0)</f>
        <v>#N/A</v>
      </c>
      <c r="K269" s="328" t="e">
        <f>VLOOKUP($L$10,総合集合大,25,0)</f>
        <v>#N/A</v>
      </c>
      <c r="L269" s="189"/>
      <c r="M269" s="643"/>
      <c r="N269" s="3239"/>
      <c r="O269" s="3236"/>
      <c r="P269" s="2459"/>
      <c r="Q269" s="2461"/>
      <c r="R269" s="2448"/>
      <c r="S269" s="2450"/>
      <c r="T269" s="2200"/>
      <c r="U269" s="4" t="b">
        <f t="shared" si="34"/>
        <v>0</v>
      </c>
    </row>
    <row r="270" spans="2:21" ht="13.5" customHeight="1">
      <c r="B270" s="1848"/>
      <c r="C270" s="2880"/>
      <c r="D270" s="2882"/>
      <c r="E270" s="2421"/>
      <c r="F270" s="2423"/>
      <c r="G270" s="3082"/>
      <c r="H270" s="307" t="e">
        <f>HLOOKUP(H269,I269:K270,2,0)</f>
        <v>#N/A</v>
      </c>
      <c r="I270" s="308" t="e">
        <f>VLOOKUP($L$10,総合集合小,22,0)</f>
        <v>#N/A</v>
      </c>
      <c r="J270" s="316" t="e">
        <f>VLOOKUP($L$10,総合集合大,24,0)</f>
        <v>#N/A</v>
      </c>
      <c r="K270" s="309" t="e">
        <f>VLOOKUP($L$10,総合集合大,26,0)</f>
        <v>#N/A</v>
      </c>
      <c r="L270" s="44"/>
      <c r="M270" s="44"/>
      <c r="N270" s="3240"/>
      <c r="O270" s="3237"/>
      <c r="P270" s="2470"/>
      <c r="Q270" s="2516"/>
      <c r="R270" s="2421"/>
      <c r="S270" s="2423"/>
      <c r="T270" s="2200"/>
      <c r="U270" s="4" t="b">
        <f t="shared" si="34"/>
        <v>0</v>
      </c>
    </row>
    <row r="271" spans="2:21" ht="13.5" customHeight="1">
      <c r="B271" s="1833"/>
      <c r="C271" s="1851"/>
      <c r="D271" s="1851"/>
      <c r="E271" s="3243" t="s">
        <v>111</v>
      </c>
      <c r="F271" s="3244"/>
      <c r="G271" s="1549" t="s">
        <v>112</v>
      </c>
      <c r="H271" s="1547"/>
      <c r="I271" s="1547"/>
      <c r="J271" s="1547"/>
      <c r="K271" s="1547"/>
      <c r="L271" s="1547"/>
      <c r="M271" s="1548"/>
      <c r="N271" s="1556" t="s">
        <v>458</v>
      </c>
      <c r="O271" s="1556" t="s">
        <v>113</v>
      </c>
      <c r="P271" s="1842" t="s">
        <v>114</v>
      </c>
      <c r="Q271" s="1843" t="s">
        <v>166</v>
      </c>
      <c r="R271" s="2498" t="s">
        <v>686</v>
      </c>
      <c r="S271" s="3082"/>
      <c r="T271" s="2200"/>
      <c r="U271" s="4" t="b">
        <f>COUNTA(H272,H274,H277,H280,H282,H284,J289:R290,K293:K293)&lt;&gt;0</f>
        <v>0</v>
      </c>
    </row>
    <row r="272" spans="2:21" ht="13.5" customHeight="1">
      <c r="B272" s="3369" t="s">
        <v>1290</v>
      </c>
      <c r="C272" s="2564" t="s">
        <v>101</v>
      </c>
      <c r="D272" s="2840" t="s">
        <v>167</v>
      </c>
      <c r="E272" s="3249" t="e">
        <f>VLOOKUP($L$10,熱源方式,2,0)</f>
        <v>#N/A</v>
      </c>
      <c r="F272" s="3250"/>
      <c r="G272" s="3053" t="s">
        <v>168</v>
      </c>
      <c r="H272" s="312"/>
      <c r="I272" s="313" t="e">
        <f>VLOOKUP($L$10,熱源方式,3,0)</f>
        <v>#N/A</v>
      </c>
      <c r="J272" s="315" t="e">
        <f>VLOOKUP($L$10,熱源方式,5,0)</f>
        <v>#N/A</v>
      </c>
      <c r="K272" s="9"/>
      <c r="L272" s="9"/>
      <c r="M272" s="9"/>
      <c r="N272" s="3238" t="e">
        <f>ROUNDDOWN(H273*H276*H279*H281*H283*H285*H287,2)</f>
        <v>#N/A</v>
      </c>
      <c r="O272" s="3235" t="e">
        <f>INT(E272*N272)</f>
        <v>#N/A</v>
      </c>
      <c r="P272" s="2513">
        <f>K291</f>
        <v>0</v>
      </c>
      <c r="Q272" s="2515" t="s">
        <v>44</v>
      </c>
      <c r="R272" s="2614">
        <f>IF(ISERROR(INT(O272*P272)),0,INT(O272*P272))</f>
        <v>0</v>
      </c>
      <c r="S272" s="2616"/>
      <c r="T272" s="2200"/>
      <c r="U272" s="4" t="b">
        <f t="shared" ref="U272:U287" si="35">U$271</f>
        <v>0</v>
      </c>
    </row>
    <row r="273" spans="2:21" ht="13.5" customHeight="1">
      <c r="B273" s="3367"/>
      <c r="C273" s="2566"/>
      <c r="D273" s="2885"/>
      <c r="E273" s="3249"/>
      <c r="F273" s="3250"/>
      <c r="G273" s="3254"/>
      <c r="H273" s="375" t="e">
        <f>HLOOKUP(H272,I272:M273,2,0)</f>
        <v>#N/A</v>
      </c>
      <c r="I273" s="376" t="e">
        <f>VLOOKUP($L$10,熱源方式,4,0)</f>
        <v>#N/A</v>
      </c>
      <c r="J273" s="377" t="e">
        <f>VLOOKUP($L$10,熱源方式,6,0)</f>
        <v>#N/A</v>
      </c>
      <c r="K273" s="9"/>
      <c r="L273" s="9"/>
      <c r="M273" s="9"/>
      <c r="N273" s="3239"/>
      <c r="O273" s="3236"/>
      <c r="P273" s="2459"/>
      <c r="Q273" s="2461"/>
      <c r="R273" s="2630"/>
      <c r="S273" s="3241"/>
      <c r="T273" s="2200"/>
      <c r="U273" s="4" t="b">
        <f t="shared" si="35"/>
        <v>0</v>
      </c>
    </row>
    <row r="274" spans="2:21" ht="13.5" customHeight="1">
      <c r="B274" s="3367"/>
      <c r="C274" s="2566"/>
      <c r="D274" s="2885"/>
      <c r="E274" s="3249"/>
      <c r="F274" s="3250"/>
      <c r="G274" s="3053" t="s">
        <v>169</v>
      </c>
      <c r="H274" s="312"/>
      <c r="I274" s="313" t="e">
        <f>VLOOKUP($L$10,熱源方式,9,0)</f>
        <v>#N/A</v>
      </c>
      <c r="J274" s="314" t="e">
        <f>VLOOKUP($L$10,熱源方式,12,0)</f>
        <v>#N/A</v>
      </c>
      <c r="K274" s="318" t="e">
        <f>VLOOKUP($L$10,熱源方式,15,0)</f>
        <v>#N/A</v>
      </c>
      <c r="L274" s="318" t="s">
        <v>736</v>
      </c>
      <c r="M274" s="378"/>
      <c r="N274" s="3239"/>
      <c r="O274" s="3236"/>
      <c r="P274" s="2459"/>
      <c r="Q274" s="2461"/>
      <c r="R274" s="2630"/>
      <c r="S274" s="3241"/>
      <c r="T274" s="2200"/>
      <c r="U274" s="4" t="b">
        <f t="shared" si="35"/>
        <v>0</v>
      </c>
    </row>
    <row r="275" spans="2:21" ht="13.5" customHeight="1">
      <c r="B275" s="3367"/>
      <c r="C275" s="2566"/>
      <c r="D275" s="2885"/>
      <c r="E275" s="3249"/>
      <c r="F275" s="3250"/>
      <c r="G275" s="3253"/>
      <c r="H275" s="379" t="e">
        <f>HLOOKUP(H274,I274:M276,2,0)</f>
        <v>#N/A</v>
      </c>
      <c r="I275" s="380" t="e">
        <f>VLOOKUP($L$10,熱源方式,10,0)</f>
        <v>#N/A</v>
      </c>
      <c r="J275" s="381" t="e">
        <f>VLOOKUP($L$10,熱源方式,13,0)</f>
        <v>#N/A</v>
      </c>
      <c r="K275" s="322" t="e">
        <f>VLOOKUP($L$10,熱源方式,16,0)</f>
        <v>#N/A</v>
      </c>
      <c r="L275" s="322" t="str">
        <f>IF(I291,M291,"-")</f>
        <v>-</v>
      </c>
      <c r="M275" s="382"/>
      <c r="N275" s="3239"/>
      <c r="O275" s="3236"/>
      <c r="P275" s="2459"/>
      <c r="Q275" s="2461"/>
      <c r="R275" s="2630"/>
      <c r="S275" s="3241"/>
      <c r="T275" s="2200"/>
      <c r="U275" s="4" t="b">
        <f t="shared" si="35"/>
        <v>0</v>
      </c>
    </row>
    <row r="276" spans="2:21" ht="13.5" customHeight="1">
      <c r="B276" s="3367"/>
      <c r="C276" s="2566"/>
      <c r="D276" s="2885"/>
      <c r="E276" s="3249"/>
      <c r="F276" s="3250"/>
      <c r="G276" s="3254"/>
      <c r="H276" s="307" t="e">
        <f>HLOOKUP(H274,I274:M276,3,0)</f>
        <v>#N/A</v>
      </c>
      <c r="I276" s="308" t="e">
        <f>VLOOKUP($L$10,熱源方式,11,0)</f>
        <v>#N/A</v>
      </c>
      <c r="J276" s="316" t="e">
        <f>VLOOKUP($L$10,熱源方式,14,0)</f>
        <v>#N/A</v>
      </c>
      <c r="K276" s="324" t="e">
        <f>VLOOKUP($L$10,熱源方式,17,0)</f>
        <v>#N/A</v>
      </c>
      <c r="L276" s="324" t="str">
        <f>IF(I291,ROUNDDOWN(1+(L275-J275)*IF(L275&gt;J275,(I276-J276)/(I275-J275),(J276-K276)/(J275-K275)),2),"-")</f>
        <v>-</v>
      </c>
      <c r="M276" s="383"/>
      <c r="N276" s="3239"/>
      <c r="O276" s="3236"/>
      <c r="P276" s="2459"/>
      <c r="Q276" s="2461"/>
      <c r="R276" s="2630"/>
      <c r="S276" s="3241"/>
      <c r="T276" s="2200"/>
      <c r="U276" s="4" t="b">
        <f t="shared" si="35"/>
        <v>0</v>
      </c>
    </row>
    <row r="277" spans="2:21" ht="13.5" customHeight="1">
      <c r="B277" s="3367"/>
      <c r="C277" s="2566"/>
      <c r="D277" s="2885"/>
      <c r="E277" s="3249"/>
      <c r="F277" s="3250"/>
      <c r="G277" s="3053" t="s">
        <v>170</v>
      </c>
      <c r="H277" s="312"/>
      <c r="I277" s="313" t="e">
        <f>VLOOKUP($L$10,熱源方式,18,0)</f>
        <v>#N/A</v>
      </c>
      <c r="J277" s="314" t="e">
        <f>VLOOKUP($L$10,熱源方式,21,0)</f>
        <v>#N/A</v>
      </c>
      <c r="K277" s="315" t="s">
        <v>736</v>
      </c>
      <c r="L277" s="639"/>
      <c r="M277" s="9"/>
      <c r="N277" s="3239"/>
      <c r="O277" s="3236"/>
      <c r="P277" s="2459"/>
      <c r="Q277" s="2461"/>
      <c r="R277" s="2630"/>
      <c r="S277" s="3241"/>
      <c r="T277" s="2200"/>
      <c r="U277" s="4" t="b">
        <f t="shared" si="35"/>
        <v>0</v>
      </c>
    </row>
    <row r="278" spans="2:21" ht="13.5" customHeight="1">
      <c r="B278" s="3367"/>
      <c r="C278" s="2566"/>
      <c r="D278" s="2885"/>
      <c r="E278" s="3249"/>
      <c r="F278" s="3250"/>
      <c r="G278" s="3253"/>
      <c r="H278" s="337" t="e">
        <f>HLOOKUP(H277,I277:M279,2,0)</f>
        <v>#N/A</v>
      </c>
      <c r="I278" s="338" t="e">
        <f>VLOOKUP($L$10,熱源方式,19,0)</f>
        <v>#N/A</v>
      </c>
      <c r="J278" s="339" t="e">
        <f>VLOOKUP($L$10,熱源方式,22,0)</f>
        <v>#N/A</v>
      </c>
      <c r="K278" s="341" t="str">
        <f>IF(K293,N293,"-")</f>
        <v>-</v>
      </c>
      <c r="L278" s="640"/>
      <c r="M278" s="9"/>
      <c r="N278" s="3239"/>
      <c r="O278" s="3236"/>
      <c r="P278" s="2459"/>
      <c r="Q278" s="2461"/>
      <c r="R278" s="2630"/>
      <c r="S278" s="3241"/>
      <c r="T278" s="2200"/>
      <c r="U278" s="4" t="b">
        <f t="shared" si="35"/>
        <v>0</v>
      </c>
    </row>
    <row r="279" spans="2:21" ht="13.5" customHeight="1">
      <c r="B279" s="3367"/>
      <c r="C279" s="2566"/>
      <c r="D279" s="2885"/>
      <c r="E279" s="3249"/>
      <c r="F279" s="3250"/>
      <c r="G279" s="3254"/>
      <c r="H279" s="307" t="e">
        <f>HLOOKUP(H277,I277:M279,3,0)</f>
        <v>#N/A</v>
      </c>
      <c r="I279" s="308" t="e">
        <f>VLOOKUP($L$10,熱源方式,20,0)</f>
        <v>#N/A</v>
      </c>
      <c r="J279" s="316" t="e">
        <f>VLOOKUP($L$10,熱源方式,23,0)</f>
        <v>#N/A</v>
      </c>
      <c r="K279" s="309" t="str">
        <f>IF(K293,MAX(1,ROUNDDOWN(1+(I279-J279)/(I278-J278)*(K278-J278),2)),"-")</f>
        <v>-</v>
      </c>
      <c r="L279" s="311"/>
      <c r="M279" s="9"/>
      <c r="N279" s="3239"/>
      <c r="O279" s="3236"/>
      <c r="P279" s="2459"/>
      <c r="Q279" s="2461"/>
      <c r="R279" s="2630"/>
      <c r="S279" s="3241"/>
      <c r="T279" s="2200"/>
      <c r="U279" s="4" t="b">
        <f t="shared" si="35"/>
        <v>0</v>
      </c>
    </row>
    <row r="280" spans="2:21" ht="13.5" customHeight="1">
      <c r="B280" s="3367"/>
      <c r="C280" s="2566"/>
      <c r="D280" s="2885"/>
      <c r="E280" s="3249"/>
      <c r="F280" s="3250"/>
      <c r="G280" s="3067" t="s">
        <v>171</v>
      </c>
      <c r="H280" s="312"/>
      <c r="I280" s="313" t="e">
        <f>VLOOKUP($L$10,熱源方式,24,0)</f>
        <v>#N/A</v>
      </c>
      <c r="J280" s="315" t="e">
        <f>VLOOKUP($L$10,熱源方式,26,0)</f>
        <v>#N/A</v>
      </c>
      <c r="K280" s="9"/>
      <c r="L280" s="9"/>
      <c r="M280" s="9"/>
      <c r="N280" s="3239"/>
      <c r="O280" s="3236"/>
      <c r="P280" s="2459"/>
      <c r="Q280" s="2461"/>
      <c r="R280" s="2630"/>
      <c r="S280" s="3241"/>
      <c r="T280" s="2200"/>
      <c r="U280" s="4" t="b">
        <f t="shared" si="35"/>
        <v>0</v>
      </c>
    </row>
    <row r="281" spans="2:21" ht="13.5" customHeight="1">
      <c r="B281" s="3367"/>
      <c r="C281" s="2566"/>
      <c r="D281" s="2885"/>
      <c r="E281" s="3249"/>
      <c r="F281" s="3250"/>
      <c r="G281" s="3055"/>
      <c r="H281" s="307" t="e">
        <f>HLOOKUP(H280,I280:M281,2,0)</f>
        <v>#N/A</v>
      </c>
      <c r="I281" s="308" t="e">
        <f>VLOOKUP($L$10,熱源方式,25,0)</f>
        <v>#N/A</v>
      </c>
      <c r="J281" s="309" t="e">
        <f>VLOOKUP($L$10,熱源方式,27,0)</f>
        <v>#N/A</v>
      </c>
      <c r="K281" s="9"/>
      <c r="L281" s="9"/>
      <c r="M281" s="9"/>
      <c r="N281" s="3239"/>
      <c r="O281" s="3236"/>
      <c r="P281" s="2459"/>
      <c r="Q281" s="2461"/>
      <c r="R281" s="2630"/>
      <c r="S281" s="3241"/>
      <c r="T281" s="2200"/>
      <c r="U281" s="4" t="b">
        <f t="shared" si="35"/>
        <v>0</v>
      </c>
    </row>
    <row r="282" spans="2:21" ht="13.5" customHeight="1">
      <c r="B282" s="3367"/>
      <c r="C282" s="2566"/>
      <c r="D282" s="2885"/>
      <c r="E282" s="3249"/>
      <c r="F282" s="3250"/>
      <c r="G282" s="3067" t="s">
        <v>172</v>
      </c>
      <c r="H282" s="312"/>
      <c r="I282" s="313" t="e">
        <f>VLOOKUP($L$10,熱源方式,30,0)</f>
        <v>#N/A</v>
      </c>
      <c r="J282" s="315" t="e">
        <f>VLOOKUP($L$10,熱源方式,32,0)</f>
        <v>#N/A</v>
      </c>
      <c r="K282" s="9"/>
      <c r="L282" s="9"/>
      <c r="M282" s="9"/>
      <c r="N282" s="3239"/>
      <c r="O282" s="3236"/>
      <c r="P282" s="2459"/>
      <c r="Q282" s="2461"/>
      <c r="R282" s="2630"/>
      <c r="S282" s="3241"/>
      <c r="T282" s="2200"/>
      <c r="U282" s="4" t="b">
        <f t="shared" si="35"/>
        <v>0</v>
      </c>
    </row>
    <row r="283" spans="2:21" ht="13.5" customHeight="1">
      <c r="B283" s="3367"/>
      <c r="C283" s="2566"/>
      <c r="D283" s="2885"/>
      <c r="E283" s="3249"/>
      <c r="F283" s="3250"/>
      <c r="G283" s="3055"/>
      <c r="H283" s="307" t="e">
        <f>HLOOKUP(H282,I282:M283,2,0)</f>
        <v>#N/A</v>
      </c>
      <c r="I283" s="308" t="e">
        <f>VLOOKUP($L$10,熱源方式,31,0)</f>
        <v>#N/A</v>
      </c>
      <c r="J283" s="309" t="e">
        <f>VLOOKUP($L$10,熱源方式,33,0)</f>
        <v>#N/A</v>
      </c>
      <c r="K283" s="9"/>
      <c r="M283" s="9"/>
      <c r="N283" s="3239"/>
      <c r="O283" s="3236"/>
      <c r="P283" s="2459"/>
      <c r="Q283" s="2461"/>
      <c r="R283" s="2630"/>
      <c r="S283" s="3241"/>
      <c r="T283" s="2200"/>
      <c r="U283" s="4" t="b">
        <f t="shared" si="35"/>
        <v>0</v>
      </c>
    </row>
    <row r="284" spans="2:21" ht="13.5" customHeight="1">
      <c r="B284" s="3367"/>
      <c r="C284" s="2566"/>
      <c r="D284" s="2885"/>
      <c r="E284" s="3249"/>
      <c r="F284" s="3250"/>
      <c r="G284" s="3053" t="s">
        <v>173</v>
      </c>
      <c r="H284" s="312"/>
      <c r="I284" s="313" t="e">
        <f>VLOOKUP($L$10,熱源方式,34,0)</f>
        <v>#N/A</v>
      </c>
      <c r="J284" s="315" t="e">
        <f>VLOOKUP($L$10,熱源方式,36,0)</f>
        <v>#N/A</v>
      </c>
      <c r="K284" s="9"/>
      <c r="L284" s="9"/>
      <c r="M284" s="9"/>
      <c r="N284" s="3239"/>
      <c r="O284" s="3236"/>
      <c r="P284" s="2459"/>
      <c r="Q284" s="2461"/>
      <c r="R284" s="2630"/>
      <c r="S284" s="3241"/>
      <c r="T284" s="2200"/>
      <c r="U284" s="4" t="b">
        <f t="shared" si="35"/>
        <v>0</v>
      </c>
    </row>
    <row r="285" spans="2:21" ht="13.5" customHeight="1">
      <c r="B285" s="3367"/>
      <c r="C285" s="2566"/>
      <c r="D285" s="2885"/>
      <c r="E285" s="3249"/>
      <c r="F285" s="3250"/>
      <c r="G285" s="3254"/>
      <c r="H285" s="307" t="e">
        <f>HLOOKUP(H284,I284:M285,2,0)</f>
        <v>#N/A</v>
      </c>
      <c r="I285" s="308" t="e">
        <f>VLOOKUP($L$10,熱源方式,35,0)</f>
        <v>#N/A</v>
      </c>
      <c r="J285" s="309" t="e">
        <f>VLOOKUP($L$10,熱源方式,37,0)</f>
        <v>#N/A</v>
      </c>
      <c r="K285" s="9"/>
      <c r="L285" s="9"/>
      <c r="M285" s="9"/>
      <c r="N285" s="3239"/>
      <c r="O285" s="3236"/>
      <c r="P285" s="2459"/>
      <c r="Q285" s="2461"/>
      <c r="R285" s="2630"/>
      <c r="S285" s="3241"/>
      <c r="T285" s="2200"/>
      <c r="U285" s="4" t="b">
        <f t="shared" si="35"/>
        <v>0</v>
      </c>
    </row>
    <row r="286" spans="2:21" ht="13.5" customHeight="1">
      <c r="B286" s="3367"/>
      <c r="C286" s="2566"/>
      <c r="D286" s="2885"/>
      <c r="E286" s="3249"/>
      <c r="F286" s="3250"/>
      <c r="G286" s="3067" t="s">
        <v>667</v>
      </c>
      <c r="H286" s="325">
        <f>$P$10</f>
        <v>0</v>
      </c>
      <c r="I286" s="326" t="e">
        <f>VLOOKUP($L$10,熱源方式,38,0)</f>
        <v>#N/A</v>
      </c>
      <c r="J286" s="327" t="e">
        <f>VLOOKUP($L$10,熱源方式,40,0)</f>
        <v>#N/A</v>
      </c>
      <c r="K286" s="327" t="e">
        <f>VLOOKUP($L$10,熱源方式,42,0)</f>
        <v>#N/A</v>
      </c>
      <c r="L286" s="328" t="e">
        <f>VLOOKUP($L$10,熱源方式,44,0)</f>
        <v>#N/A</v>
      </c>
      <c r="M286" s="9"/>
      <c r="N286" s="3239"/>
      <c r="O286" s="3236"/>
      <c r="P286" s="2459"/>
      <c r="Q286" s="2461"/>
      <c r="R286" s="2630"/>
      <c r="S286" s="3241"/>
      <c r="T286" s="2200"/>
      <c r="U286" s="4" t="b">
        <f t="shared" si="35"/>
        <v>0</v>
      </c>
    </row>
    <row r="287" spans="2:21" ht="13.5" customHeight="1">
      <c r="B287" s="3367"/>
      <c r="C287" s="2566"/>
      <c r="D287" s="2885"/>
      <c r="E287" s="3251"/>
      <c r="F287" s="2423"/>
      <c r="G287" s="3055"/>
      <c r="H287" s="307" t="e">
        <f>MIN(I287,MAX(L287,ROUNDDOWN(IF(H286&lt;J286,J287+(I287-J287)/(I286-J286)*(H286-J286),IF(H286&lt;K286,J287-(J287-K287)/(J286-K286)*(J286-H286),K287-(K287-L287)/(K286-L286)*(K286-H286))),2)))</f>
        <v>#N/A</v>
      </c>
      <c r="I287" s="308" t="e">
        <f>VLOOKUP($L$10,熱源方式,39,0)</f>
        <v>#N/A</v>
      </c>
      <c r="J287" s="316" t="e">
        <f>VLOOKUP($L$10,熱源方式,41,0)</f>
        <v>#N/A</v>
      </c>
      <c r="K287" s="316" t="e">
        <f>VLOOKUP($L$10,熱源方式,43,0)</f>
        <v>#N/A</v>
      </c>
      <c r="L287" s="309" t="e">
        <f>VLOOKUP($L$10,熱源方式,45,0)</f>
        <v>#N/A</v>
      </c>
      <c r="M287" s="44"/>
      <c r="N287" s="3240"/>
      <c r="O287" s="3237"/>
      <c r="P287" s="2470"/>
      <c r="Q287" s="2516"/>
      <c r="R287" s="2617"/>
      <c r="S287" s="2619"/>
      <c r="T287" s="2200"/>
      <c r="U287" s="4" t="b">
        <f t="shared" si="35"/>
        <v>0</v>
      </c>
    </row>
    <row r="288" spans="2:21" ht="6" customHeight="1">
      <c r="B288" s="3367"/>
      <c r="C288" s="2566"/>
      <c r="D288" s="2885"/>
      <c r="E288" s="644"/>
      <c r="F288" s="179"/>
      <c r="G288" s="179"/>
      <c r="H288" s="179"/>
      <c r="I288" s="179"/>
      <c r="J288" s="179"/>
      <c r="K288" s="179"/>
      <c r="L288" s="179"/>
      <c r="M288" s="179"/>
      <c r="N288" s="179"/>
      <c r="O288" s="179"/>
      <c r="P288" s="179"/>
      <c r="Q288" s="179"/>
      <c r="R288" s="179"/>
      <c r="S288" s="531"/>
      <c r="T288" s="2200"/>
      <c r="U288" s="4" t="b">
        <f>+$I$291&lt;&gt;0</f>
        <v>0</v>
      </c>
    </row>
    <row r="289" spans="2:21" ht="13.5" customHeight="1">
      <c r="B289" s="3367"/>
      <c r="C289" s="2566"/>
      <c r="D289" s="2885"/>
      <c r="E289" s="9"/>
      <c r="F289" s="9"/>
      <c r="G289" s="3053" t="s">
        <v>174</v>
      </c>
      <c r="H289" s="3067" t="s">
        <v>175</v>
      </c>
      <c r="I289" s="3422">
        <f>SUM(J289:Q290)</f>
        <v>0</v>
      </c>
      <c r="J289" s="2061"/>
      <c r="K289" s="2062"/>
      <c r="L289" s="2062"/>
      <c r="M289" s="2062"/>
      <c r="N289" s="2062"/>
      <c r="O289" s="2062"/>
      <c r="P289" s="2062"/>
      <c r="Q289" s="2063"/>
      <c r="R289" s="9"/>
      <c r="S289" s="10"/>
      <c r="T289" s="2200"/>
      <c r="U289" s="4" t="b">
        <f>+$U$288</f>
        <v>0</v>
      </c>
    </row>
    <row r="290" spans="2:21" ht="13.5" customHeight="1">
      <c r="B290" s="3367"/>
      <c r="C290" s="2566"/>
      <c r="D290" s="2885"/>
      <c r="E290" s="9"/>
      <c r="F290" s="9"/>
      <c r="G290" s="3253"/>
      <c r="H290" s="3055"/>
      <c r="I290" s="3423"/>
      <c r="J290" s="2064"/>
      <c r="K290" s="2065"/>
      <c r="L290" s="2065"/>
      <c r="M290" s="2065"/>
      <c r="N290" s="2065"/>
      <c r="O290" s="2065"/>
      <c r="P290" s="2065"/>
      <c r="Q290" s="2066"/>
      <c r="R290" s="9"/>
      <c r="S290" s="10"/>
      <c r="T290" s="2200"/>
      <c r="U290" s="4" t="b">
        <f>AND(+$U$288,SUM(J290:Q290)&lt;&gt;0)</f>
        <v>0</v>
      </c>
    </row>
    <row r="291" spans="2:21" ht="13.5" customHeight="1">
      <c r="B291" s="3367"/>
      <c r="C291" s="2566"/>
      <c r="D291" s="2885"/>
      <c r="E291" s="9"/>
      <c r="F291" s="9"/>
      <c r="G291" s="3254"/>
      <c r="H291" s="1834" t="s">
        <v>736</v>
      </c>
      <c r="I291" s="596">
        <f>I289</f>
        <v>0</v>
      </c>
      <c r="J291" s="597" t="s">
        <v>176</v>
      </c>
      <c r="K291" s="598">
        <f>床・天井!K91</f>
        <v>0</v>
      </c>
      <c r="L291" s="8" t="s">
        <v>177</v>
      </c>
      <c r="M291" s="387" t="e">
        <f>ROUNDDOWN(I291/K291,2)</f>
        <v>#DIV/0!</v>
      </c>
      <c r="N291" s="80" t="s">
        <v>178</v>
      </c>
      <c r="O291" s="9"/>
      <c r="P291" s="9"/>
      <c r="Q291" s="9"/>
      <c r="R291" s="9"/>
      <c r="S291" s="10"/>
      <c r="T291" s="2200"/>
      <c r="U291" s="4" t="b">
        <f t="shared" ref="U291" si="36">+$U$288</f>
        <v>0</v>
      </c>
    </row>
    <row r="292" spans="2:21" ht="6" customHeight="1">
      <c r="B292" s="3367"/>
      <c r="C292" s="2566"/>
      <c r="D292" s="2885"/>
      <c r="E292" s="9"/>
      <c r="F292" s="9"/>
      <c r="G292" s="9"/>
      <c r="H292" s="9"/>
      <c r="I292" s="9"/>
      <c r="J292" s="9"/>
      <c r="K292" s="9"/>
      <c r="L292" s="9"/>
      <c r="M292" s="9"/>
      <c r="N292" s="9"/>
      <c r="O292" s="9"/>
      <c r="P292" s="9"/>
      <c r="Q292" s="9"/>
      <c r="R292" s="9"/>
      <c r="S292" s="10"/>
      <c r="T292" s="2200"/>
      <c r="U292" s="4" t="b">
        <f>+$K$293&lt;&gt;0</f>
        <v>0</v>
      </c>
    </row>
    <row r="293" spans="2:21" ht="13.5" customHeight="1">
      <c r="B293" s="3367"/>
      <c r="C293" s="2566"/>
      <c r="D293" s="2885"/>
      <c r="E293" s="9"/>
      <c r="F293" s="9"/>
      <c r="G293" s="1852" t="s">
        <v>179</v>
      </c>
      <c r="H293" s="1556" t="s">
        <v>736</v>
      </c>
      <c r="I293" s="388">
        <f>床・天井!K91</f>
        <v>0</v>
      </c>
      <c r="J293" s="192" t="s">
        <v>180</v>
      </c>
      <c r="K293" s="1991"/>
      <c r="L293" s="193" t="s">
        <v>181</v>
      </c>
      <c r="M293" s="193"/>
      <c r="N293" s="388" t="e">
        <f>ROUNDDOWN(I293/K293,2)</f>
        <v>#DIV/0!</v>
      </c>
      <c r="O293" s="389" t="s">
        <v>182</v>
      </c>
      <c r="P293" s="9"/>
      <c r="Q293" s="9"/>
      <c r="R293" s="9"/>
      <c r="S293" s="10"/>
      <c r="T293" s="2200"/>
      <c r="U293" s="4" t="b">
        <f>+$U$292</f>
        <v>0</v>
      </c>
    </row>
    <row r="294" spans="2:21" ht="6" customHeight="1">
      <c r="B294" s="3367"/>
      <c r="C294" s="2566"/>
      <c r="D294" s="3371"/>
      <c r="E294" s="44"/>
      <c r="F294" s="44"/>
      <c r="G294" s="44"/>
      <c r="H294" s="44"/>
      <c r="I294" s="44"/>
      <c r="J294" s="44"/>
      <c r="K294" s="44"/>
      <c r="L294" s="44"/>
      <c r="M294" s="44"/>
      <c r="N294" s="44"/>
      <c r="O294" s="44"/>
      <c r="P294" s="44"/>
      <c r="Q294" s="44"/>
      <c r="R294" s="44"/>
      <c r="S294" s="69"/>
      <c r="T294" s="2200"/>
      <c r="U294" s="4" t="b">
        <f>OR($U$292,$U$288)</f>
        <v>0</v>
      </c>
    </row>
    <row r="295" spans="2:21" ht="27" customHeight="1">
      <c r="B295" s="3367"/>
      <c r="C295" s="2566"/>
      <c r="D295" s="1844"/>
      <c r="E295" s="3390" t="s">
        <v>111</v>
      </c>
      <c r="F295" s="3391"/>
      <c r="G295" s="1549" t="s">
        <v>112</v>
      </c>
      <c r="H295" s="1547"/>
      <c r="I295" s="1547"/>
      <c r="J295" s="1547"/>
      <c r="K295" s="1547"/>
      <c r="L295" s="1547"/>
      <c r="M295" s="1593"/>
      <c r="N295" s="1556" t="s">
        <v>458</v>
      </c>
      <c r="O295" s="1556" t="s">
        <v>113</v>
      </c>
      <c r="P295" s="1853" t="s">
        <v>114</v>
      </c>
      <c r="Q295" s="1854" t="s">
        <v>166</v>
      </c>
      <c r="R295" s="2498" t="s">
        <v>686</v>
      </c>
      <c r="S295" s="3082"/>
      <c r="T295" s="2200"/>
      <c r="U295" s="4" t="b">
        <f>COUNTA(H296,H299,H301,H303,J309:Q314)&lt;&gt;0</f>
        <v>0</v>
      </c>
    </row>
    <row r="296" spans="2:21" ht="13.5" customHeight="1">
      <c r="B296" s="3367"/>
      <c r="C296" s="2566"/>
      <c r="D296" s="3387" t="s">
        <v>183</v>
      </c>
      <c r="E296" s="3255" t="e">
        <f>VLOOKUP($L$10,個別,2,0)</f>
        <v>#N/A</v>
      </c>
      <c r="F296" s="3256"/>
      <c r="G296" s="3053" t="s">
        <v>169</v>
      </c>
      <c r="H296" s="312"/>
      <c r="I296" s="313" t="e">
        <f>VLOOKUP($L$10,個別,3,0)</f>
        <v>#N/A</v>
      </c>
      <c r="J296" s="314" t="e">
        <f>VLOOKUP($L$10,個別,6,0)</f>
        <v>#N/A</v>
      </c>
      <c r="K296" s="318" t="e">
        <f>VLOOKUP($L$10,個別,9,0)</f>
        <v>#N/A</v>
      </c>
      <c r="L296" s="2146" t="s">
        <v>736</v>
      </c>
      <c r="M296" s="921"/>
      <c r="N296" s="3114" t="e">
        <f>ROUNDDOWN(H298*H300*H302*H304,2)</f>
        <v>#N/A</v>
      </c>
      <c r="O296" s="3432" t="e">
        <f>INT(E296*N296)</f>
        <v>#N/A</v>
      </c>
      <c r="P296" s="2543">
        <f>K315</f>
        <v>0</v>
      </c>
      <c r="Q296" s="3027" t="s">
        <v>44</v>
      </c>
      <c r="R296" s="3433">
        <f>IF(ISERROR(INT(O296*P296)),0,INT(O296*P296))</f>
        <v>0</v>
      </c>
      <c r="S296" s="3433"/>
      <c r="T296" s="2200"/>
      <c r="U296" s="4" t="b">
        <f t="shared" ref="U296:U304" si="37">U$295</f>
        <v>0</v>
      </c>
    </row>
    <row r="297" spans="2:21" ht="13.5" customHeight="1">
      <c r="B297" s="3367"/>
      <c r="C297" s="2566"/>
      <c r="D297" s="3388"/>
      <c r="E297" s="3249"/>
      <c r="F297" s="3257"/>
      <c r="G297" s="3253"/>
      <c r="H297" s="319" t="e">
        <f>HLOOKUP(H296,I296:M298,2,0)</f>
        <v>#N/A</v>
      </c>
      <c r="I297" s="320" t="e">
        <f>VLOOKUP($L$10,個別,4,0)</f>
        <v>#N/A</v>
      </c>
      <c r="J297" s="321" t="e">
        <f>VLOOKUP($L$10,個別,7,0)</f>
        <v>#N/A</v>
      </c>
      <c r="K297" s="322" t="e">
        <f>VLOOKUP($L$10,個別,10,0)</f>
        <v>#N/A</v>
      </c>
      <c r="L297" s="319" t="str">
        <f>IF(I315,M315,"-")</f>
        <v>-</v>
      </c>
      <c r="M297" s="993"/>
      <c r="N297" s="3114"/>
      <c r="O297" s="3432"/>
      <c r="P297" s="2543"/>
      <c r="Q297" s="3027"/>
      <c r="R297" s="3433"/>
      <c r="S297" s="3433"/>
      <c r="T297" s="2200"/>
      <c r="U297" s="4" t="b">
        <f t="shared" si="37"/>
        <v>0</v>
      </c>
    </row>
    <row r="298" spans="2:21" ht="13.5" customHeight="1">
      <c r="B298" s="3367"/>
      <c r="C298" s="2566"/>
      <c r="D298" s="3388"/>
      <c r="E298" s="3249"/>
      <c r="F298" s="3257"/>
      <c r="G298" s="3254"/>
      <c r="H298" s="307" t="e">
        <f>HLOOKUP(H296,I296:M298,3,0)</f>
        <v>#N/A</v>
      </c>
      <c r="I298" s="308" t="e">
        <f>VLOOKUP($L$10,個別,5,0)</f>
        <v>#N/A</v>
      </c>
      <c r="J298" s="316" t="e">
        <f>VLOOKUP($L$10,個別,8,0)</f>
        <v>#N/A</v>
      </c>
      <c r="K298" s="324" t="e">
        <f>VLOOKUP($L$10,個別,11,0)</f>
        <v>#N/A</v>
      </c>
      <c r="L298" s="307" t="str">
        <f>IF(I315&lt;&gt;0,ROUNDDOWN(1+(L297-J297)*IF(L297&gt;J297,(I298-J298)/(I297-J297),(J298-K298)/(J297-K297)),2),"-")</f>
        <v>-</v>
      </c>
      <c r="M298" s="311"/>
      <c r="N298" s="3114"/>
      <c r="O298" s="3432"/>
      <c r="P298" s="2543"/>
      <c r="Q298" s="3027"/>
      <c r="R298" s="3433"/>
      <c r="S298" s="3433"/>
      <c r="T298" s="2200"/>
      <c r="U298" s="4" t="b">
        <f t="shared" si="37"/>
        <v>0</v>
      </c>
    </row>
    <row r="299" spans="2:21" ht="13.5" customHeight="1">
      <c r="B299" s="3367"/>
      <c r="C299" s="2566"/>
      <c r="D299" s="3388"/>
      <c r="E299" s="3249"/>
      <c r="F299" s="3257"/>
      <c r="G299" s="2498" t="s">
        <v>172</v>
      </c>
      <c r="H299" s="312"/>
      <c r="I299" s="313" t="e">
        <f>VLOOKUP($L$10,個別,12,0)</f>
        <v>#N/A</v>
      </c>
      <c r="J299" s="315" t="e">
        <f>VLOOKUP($L$10,個別,14,0)</f>
        <v>#N/A</v>
      </c>
      <c r="K299" s="315" t="s">
        <v>736</v>
      </c>
      <c r="L299" s="9"/>
      <c r="M299" s="9"/>
      <c r="N299" s="3114"/>
      <c r="O299" s="3432"/>
      <c r="P299" s="2543"/>
      <c r="Q299" s="3027"/>
      <c r="R299" s="3433"/>
      <c r="S299" s="3433"/>
      <c r="T299" s="2200"/>
      <c r="U299" s="4" t="b">
        <f t="shared" si="37"/>
        <v>0</v>
      </c>
    </row>
    <row r="300" spans="2:21" ht="13.5" customHeight="1">
      <c r="B300" s="3367"/>
      <c r="C300" s="2566"/>
      <c r="D300" s="3388"/>
      <c r="E300" s="3249"/>
      <c r="F300" s="3257"/>
      <c r="G300" s="3082"/>
      <c r="H300" s="307" t="e">
        <f>HLOOKUP(H299,I299:M300,2,0)</f>
        <v>#N/A</v>
      </c>
      <c r="I300" s="308" t="e">
        <f>VLOOKUP($L$10,個別,13,0)</f>
        <v>#N/A</v>
      </c>
      <c r="J300" s="309" t="e">
        <f>VLOOKUP($L$10,個別,15,0)</f>
        <v>#N/A</v>
      </c>
      <c r="K300" s="655" t="e">
        <f>I300*J308+J300*N308</f>
        <v>#N/A</v>
      </c>
      <c r="L300" s="9"/>
      <c r="M300" s="9"/>
      <c r="N300" s="3114"/>
      <c r="O300" s="3432"/>
      <c r="P300" s="2543"/>
      <c r="Q300" s="3027"/>
      <c r="R300" s="3433"/>
      <c r="S300" s="3433"/>
      <c r="T300" s="2200"/>
      <c r="U300" s="4" t="b">
        <f t="shared" si="37"/>
        <v>0</v>
      </c>
    </row>
    <row r="301" spans="2:21" ht="13.5" customHeight="1">
      <c r="B301" s="3367"/>
      <c r="C301" s="2566"/>
      <c r="D301" s="3388"/>
      <c r="E301" s="3249"/>
      <c r="F301" s="3257"/>
      <c r="G301" s="3081" t="s">
        <v>184</v>
      </c>
      <c r="H301" s="312"/>
      <c r="I301" s="313" t="e">
        <f>VLOOKUP($L$10,個別,18,0)</f>
        <v>#N/A</v>
      </c>
      <c r="J301" s="314" t="e">
        <f>VLOOKUP($L$10,個別,20,0)</f>
        <v>#N/A</v>
      </c>
      <c r="K301" s="315" t="e">
        <f>VLOOKUP($L$10,個別,22,0)</f>
        <v>#N/A</v>
      </c>
      <c r="L301" s="315" t="s">
        <v>736</v>
      </c>
      <c r="M301" s="9"/>
      <c r="N301" s="3114"/>
      <c r="O301" s="3432"/>
      <c r="P301" s="2543"/>
      <c r="Q301" s="3027"/>
      <c r="R301" s="3433"/>
      <c r="S301" s="3433"/>
      <c r="T301" s="2200"/>
      <c r="U301" s="4" t="b">
        <f t="shared" si="37"/>
        <v>0</v>
      </c>
    </row>
    <row r="302" spans="2:21" ht="13.5" customHeight="1">
      <c r="B302" s="3367"/>
      <c r="C302" s="2566"/>
      <c r="D302" s="3388"/>
      <c r="E302" s="3249"/>
      <c r="F302" s="3257"/>
      <c r="G302" s="3082"/>
      <c r="H302" s="307" t="e">
        <f>HLOOKUP(H301,I301:M302,2,0)</f>
        <v>#N/A</v>
      </c>
      <c r="I302" s="308" t="e">
        <f>VLOOKUP($L$10,個別,19,0)</f>
        <v>#N/A</v>
      </c>
      <c r="J302" s="316" t="e">
        <f>VLOOKUP($L$10,個別,21,0)</f>
        <v>#N/A</v>
      </c>
      <c r="K302" s="309" t="e">
        <f>VLOOKUP($L$10,個別,23,0)</f>
        <v>#N/A</v>
      </c>
      <c r="L302" s="655" t="e">
        <f>ROUNDDOWN(I302*I310+J302*I312+K302*I314,2)</f>
        <v>#N/A</v>
      </c>
      <c r="M302" s="9"/>
      <c r="N302" s="3114"/>
      <c r="O302" s="3432"/>
      <c r="P302" s="2543"/>
      <c r="Q302" s="3027"/>
      <c r="R302" s="3433"/>
      <c r="S302" s="3433"/>
      <c r="T302" s="2200"/>
      <c r="U302" s="4" t="b">
        <f t="shared" si="37"/>
        <v>0</v>
      </c>
    </row>
    <row r="303" spans="2:21" ht="13.5" customHeight="1">
      <c r="B303" s="3367"/>
      <c r="C303" s="2566"/>
      <c r="D303" s="3388"/>
      <c r="E303" s="3249"/>
      <c r="F303" s="3257"/>
      <c r="G303" s="3081" t="s">
        <v>689</v>
      </c>
      <c r="H303" s="312"/>
      <c r="I303" s="313" t="e">
        <f>VLOOKUP($L$10,個別,24,0)</f>
        <v>#N/A</v>
      </c>
      <c r="J303" s="314" t="e">
        <f>VLOOKUP($L$10,個別,26,0)</f>
        <v>#N/A</v>
      </c>
      <c r="K303" s="315" t="e">
        <f>VLOOKUP($L$10,個別,28,0)</f>
        <v>#N/A</v>
      </c>
      <c r="L303" s="994" t="s">
        <v>5490</v>
      </c>
      <c r="M303" s="948" t="s">
        <v>175</v>
      </c>
      <c r="N303" s="3114"/>
      <c r="O303" s="3432"/>
      <c r="P303" s="2543"/>
      <c r="Q303" s="3027"/>
      <c r="R303" s="3433"/>
      <c r="S303" s="3433"/>
      <c r="T303" s="2200"/>
      <c r="U303" s="4" t="b">
        <f t="shared" si="37"/>
        <v>0</v>
      </c>
    </row>
    <row r="304" spans="2:21" ht="13.5" customHeight="1">
      <c r="B304" s="3367"/>
      <c r="C304" s="2566"/>
      <c r="D304" s="3388"/>
      <c r="E304" s="3258"/>
      <c r="F304" s="3259"/>
      <c r="G304" s="3082"/>
      <c r="H304" s="307" t="e">
        <f>HLOOKUP(H303,I303:M304,2,0)</f>
        <v>#N/A</v>
      </c>
      <c r="I304" s="308" t="e">
        <f>VLOOKUP($L$10,個別,25,0)</f>
        <v>#N/A</v>
      </c>
      <c r="J304" s="316" t="e">
        <f>VLOOKUP($L$10,個別,27,0)</f>
        <v>#N/A</v>
      </c>
      <c r="K304" s="309" t="e">
        <f>ROUNDDOWN(1-(1-J304)*L304/M304,2)</f>
        <v>#N/A</v>
      </c>
      <c r="L304" s="2067"/>
      <c r="M304" s="995">
        <f>H312</f>
        <v>0</v>
      </c>
      <c r="N304" s="3114"/>
      <c r="O304" s="3432"/>
      <c r="P304" s="2543"/>
      <c r="Q304" s="3027"/>
      <c r="R304" s="3433"/>
      <c r="S304" s="3433"/>
      <c r="T304" s="2200"/>
      <c r="U304" s="4" t="b">
        <f t="shared" si="37"/>
        <v>0</v>
      </c>
    </row>
    <row r="305" spans="2:21" ht="6" customHeight="1">
      <c r="B305" s="3367"/>
      <c r="C305" s="2566"/>
      <c r="D305" s="3388"/>
      <c r="E305" s="644"/>
      <c r="F305" s="179"/>
      <c r="G305" s="179"/>
      <c r="H305" s="179"/>
      <c r="I305" s="179"/>
      <c r="J305" s="179"/>
      <c r="K305" s="179"/>
      <c r="L305" s="179"/>
      <c r="M305" s="179"/>
      <c r="N305" s="179"/>
      <c r="O305" s="179"/>
      <c r="P305" s="179"/>
      <c r="Q305" s="179"/>
      <c r="R305" s="179"/>
      <c r="S305" s="531"/>
      <c r="T305" s="2200"/>
      <c r="U305" s="4" t="b">
        <f>+I315&lt;&gt;0</f>
        <v>0</v>
      </c>
    </row>
    <row r="306" spans="2:21" ht="11">
      <c r="B306" s="3367"/>
      <c r="C306" s="2566"/>
      <c r="D306" s="3388"/>
      <c r="E306" s="9"/>
      <c r="F306" s="9"/>
      <c r="G306" s="9"/>
      <c r="H306" s="9"/>
      <c r="I306" s="3430" t="s">
        <v>5770</v>
      </c>
      <c r="J306" s="3434" t="s">
        <v>5771</v>
      </c>
      <c r="K306" s="3434"/>
      <c r="L306" s="3434"/>
      <c r="M306" s="3434"/>
      <c r="N306" s="3434"/>
      <c r="O306" s="3434"/>
      <c r="P306" s="3434"/>
      <c r="Q306" s="3434"/>
      <c r="R306" s="9"/>
      <c r="S306" s="643"/>
      <c r="T306" s="2200"/>
      <c r="U306" s="4" t="b">
        <f t="shared" ref="U306:U315" si="38">+$U$305</f>
        <v>0</v>
      </c>
    </row>
    <row r="307" spans="2:21" ht="11">
      <c r="B307" s="3367"/>
      <c r="C307" s="2566"/>
      <c r="D307" s="3388"/>
      <c r="E307" s="9"/>
      <c r="F307" s="9"/>
      <c r="G307" s="9"/>
      <c r="H307" s="9"/>
      <c r="I307" s="3431"/>
      <c r="J307" s="3434" t="s">
        <v>5767</v>
      </c>
      <c r="K307" s="3434"/>
      <c r="L307" s="3434"/>
      <c r="M307" s="3434"/>
      <c r="N307" s="3434" t="s">
        <v>5768</v>
      </c>
      <c r="O307" s="3434"/>
      <c r="P307" s="3434"/>
      <c r="Q307" s="3434"/>
      <c r="R307" s="9"/>
      <c r="S307" s="643"/>
      <c r="T307" s="2200"/>
      <c r="U307" s="4" t="b">
        <f t="shared" si="38"/>
        <v>0</v>
      </c>
    </row>
    <row r="308" spans="2:21" ht="11.5" thickBot="1">
      <c r="B308" s="3367"/>
      <c r="C308" s="2566"/>
      <c r="D308" s="3388"/>
      <c r="E308" s="9"/>
      <c r="F308" s="9"/>
      <c r="G308" s="9"/>
      <c r="H308" s="9"/>
      <c r="I308" s="3431"/>
      <c r="J308" s="3435" t="e">
        <f>ROUND(SUM(J309:M314)/H312,2)</f>
        <v>#DIV/0!</v>
      </c>
      <c r="K308" s="3435"/>
      <c r="L308" s="3435"/>
      <c r="M308" s="3435"/>
      <c r="N308" s="3435" t="e">
        <f>ROUND(1-J308,2)</f>
        <v>#DIV/0!</v>
      </c>
      <c r="O308" s="3435"/>
      <c r="P308" s="3435"/>
      <c r="Q308" s="3435"/>
      <c r="R308" s="9"/>
      <c r="S308" s="643"/>
      <c r="T308" s="2200"/>
      <c r="U308" s="4" t="b">
        <f t="shared" si="38"/>
        <v>0</v>
      </c>
    </row>
    <row r="309" spans="2:21" ht="13.5" customHeight="1">
      <c r="B309" s="3367"/>
      <c r="C309" s="2566"/>
      <c r="D309" s="3388"/>
      <c r="E309" s="9"/>
      <c r="F309" s="9"/>
      <c r="G309" s="3261" t="s">
        <v>174</v>
      </c>
      <c r="H309" s="3424" t="s">
        <v>5769</v>
      </c>
      <c r="I309" s="2155" t="s">
        <v>5764</v>
      </c>
      <c r="J309" s="2156"/>
      <c r="K309" s="2157"/>
      <c r="L309" s="2157"/>
      <c r="M309" s="2158"/>
      <c r="N309" s="2156"/>
      <c r="O309" s="2159"/>
      <c r="P309" s="2159"/>
      <c r="Q309" s="2160"/>
      <c r="R309" s="9"/>
      <c r="S309" s="10"/>
      <c r="T309" s="2200"/>
      <c r="U309" s="4" t="b">
        <f t="shared" si="38"/>
        <v>0</v>
      </c>
    </row>
    <row r="310" spans="2:21" ht="13.5" customHeight="1" thickBot="1">
      <c r="B310" s="3367"/>
      <c r="C310" s="2566"/>
      <c r="D310" s="3388"/>
      <c r="E310" s="9"/>
      <c r="F310" s="9"/>
      <c r="G310" s="3262"/>
      <c r="H310" s="3425"/>
      <c r="I310" s="2166" t="e">
        <f>ROUND(SUM(J309:Q310)/H$312,2)</f>
        <v>#DIV/0!</v>
      </c>
      <c r="J310" s="2161"/>
      <c r="K310" s="2162"/>
      <c r="L310" s="2162"/>
      <c r="M310" s="2163"/>
      <c r="N310" s="2161"/>
      <c r="O310" s="2164"/>
      <c r="P310" s="2164"/>
      <c r="Q310" s="2165"/>
      <c r="R310" s="9"/>
      <c r="S310" s="643"/>
      <c r="T310" s="2200"/>
      <c r="U310" s="4" t="b">
        <f t="shared" si="38"/>
        <v>0</v>
      </c>
    </row>
    <row r="311" spans="2:21" ht="13.5" customHeight="1">
      <c r="B311" s="3367"/>
      <c r="C311" s="2566"/>
      <c r="D311" s="3388"/>
      <c r="E311" s="9"/>
      <c r="F311" s="9"/>
      <c r="G311" s="3262"/>
      <c r="H311" s="3426"/>
      <c r="I311" s="2155" t="s">
        <v>5765</v>
      </c>
      <c r="J311" s="2156"/>
      <c r="K311" s="2157"/>
      <c r="L311" s="2157"/>
      <c r="M311" s="2158"/>
      <c r="N311" s="2156"/>
      <c r="O311" s="2159"/>
      <c r="P311" s="2159"/>
      <c r="Q311" s="2160"/>
      <c r="R311" s="9"/>
      <c r="S311" s="643"/>
      <c r="T311" s="2200"/>
      <c r="U311" s="4" t="b">
        <f t="shared" si="38"/>
        <v>0</v>
      </c>
    </row>
    <row r="312" spans="2:21" ht="13.5" customHeight="1" thickBot="1">
      <c r="B312" s="3367"/>
      <c r="C312" s="2566"/>
      <c r="D312" s="3388"/>
      <c r="E312" s="9"/>
      <c r="F312" s="9"/>
      <c r="G312" s="3262"/>
      <c r="H312" s="3427">
        <f>SUM(J309:Q314)</f>
        <v>0</v>
      </c>
      <c r="I312" s="2166" t="e">
        <f>ROUND(SUM(J311:Q312)/H$312,2)</f>
        <v>#DIV/0!</v>
      </c>
      <c r="J312" s="2161"/>
      <c r="K312" s="2162"/>
      <c r="L312" s="2162"/>
      <c r="M312" s="2163"/>
      <c r="N312" s="2161"/>
      <c r="O312" s="2164"/>
      <c r="P312" s="2164"/>
      <c r="Q312" s="2165"/>
      <c r="R312" s="9"/>
      <c r="S312" s="643"/>
      <c r="T312" s="2200"/>
      <c r="U312" s="4" t="b">
        <f t="shared" si="38"/>
        <v>0</v>
      </c>
    </row>
    <row r="313" spans="2:21" ht="13.5" customHeight="1">
      <c r="B313" s="3367"/>
      <c r="C313" s="2566"/>
      <c r="D313" s="3388"/>
      <c r="E313" s="9"/>
      <c r="F313" s="9"/>
      <c r="G313" s="3262"/>
      <c r="H313" s="3428"/>
      <c r="I313" s="2155" t="s">
        <v>5766</v>
      </c>
      <c r="J313" s="2156"/>
      <c r="K313" s="2157"/>
      <c r="L313" s="2157"/>
      <c r="M313" s="2158"/>
      <c r="N313" s="2156"/>
      <c r="O313" s="2159"/>
      <c r="P313" s="2159"/>
      <c r="Q313" s="2160"/>
      <c r="R313" s="9"/>
      <c r="S313" s="643"/>
      <c r="T313" s="2200"/>
      <c r="U313" s="4" t="b">
        <f t="shared" si="38"/>
        <v>0</v>
      </c>
    </row>
    <row r="314" spans="2:21" ht="13.5" customHeight="1" thickBot="1">
      <c r="B314" s="3367"/>
      <c r="C314" s="2566"/>
      <c r="D314" s="3388"/>
      <c r="E314" s="9"/>
      <c r="F314" s="9"/>
      <c r="G314" s="3263"/>
      <c r="H314" s="3429"/>
      <c r="I314" s="2166" t="e">
        <f>ROUND(SUM(J313:Q314)/H$312,2)</f>
        <v>#DIV/0!</v>
      </c>
      <c r="J314" s="2161"/>
      <c r="K314" s="2162"/>
      <c r="L314" s="2162"/>
      <c r="M314" s="2163"/>
      <c r="N314" s="2161"/>
      <c r="O314" s="2164"/>
      <c r="P314" s="2164"/>
      <c r="Q314" s="2165"/>
      <c r="R314" s="9"/>
      <c r="S314" s="10"/>
      <c r="T314" s="2200"/>
      <c r="U314" s="4" t="b">
        <f t="shared" si="38"/>
        <v>0</v>
      </c>
    </row>
    <row r="315" spans="2:21" ht="13.5" customHeight="1">
      <c r="B315" s="3367"/>
      <c r="C315" s="2566"/>
      <c r="D315" s="3388"/>
      <c r="E315" s="9"/>
      <c r="F315" s="9"/>
      <c r="G315" s="3264"/>
      <c r="H315" s="2167"/>
      <c r="I315" s="2147">
        <f>H312</f>
        <v>0</v>
      </c>
      <c r="J315" s="2148" t="s">
        <v>176</v>
      </c>
      <c r="K315" s="2168">
        <f>床・天井!K91</f>
        <v>0</v>
      </c>
      <c r="L315" s="2145" t="s">
        <v>177</v>
      </c>
      <c r="M315" s="2154" t="e">
        <f>ROUNDDOWN(I315/K315,2)</f>
        <v>#DIV/0!</v>
      </c>
      <c r="N315" s="829" t="s">
        <v>178</v>
      </c>
      <c r="O315" s="9"/>
      <c r="P315" s="9"/>
      <c r="Q315" s="9"/>
      <c r="R315" s="9"/>
      <c r="S315" s="10"/>
      <c r="T315" s="2200"/>
      <c r="U315" s="4" t="b">
        <f t="shared" si="38"/>
        <v>0</v>
      </c>
    </row>
    <row r="316" spans="2:21" ht="6" customHeight="1">
      <c r="B316" s="3367"/>
      <c r="C316" s="2566"/>
      <c r="D316" s="3389"/>
      <c r="E316" s="44"/>
      <c r="F316" s="44"/>
      <c r="G316" s="44"/>
      <c r="H316" s="44"/>
      <c r="I316" s="44"/>
      <c r="J316" s="44"/>
      <c r="K316" s="44"/>
      <c r="L316" s="44"/>
      <c r="M316" s="44"/>
      <c r="N316" s="44"/>
      <c r="O316" s="44"/>
      <c r="P316" s="44"/>
      <c r="Q316" s="44"/>
      <c r="R316" s="44"/>
      <c r="S316" s="69"/>
      <c r="T316" s="2200"/>
      <c r="U316" s="4" t="b">
        <f t="shared" ref="U316" si="39">+$U$305</f>
        <v>0</v>
      </c>
    </row>
    <row r="317" spans="2:21" ht="13.5" customHeight="1">
      <c r="B317" s="3367"/>
      <c r="C317" s="1845"/>
      <c r="D317" s="1846"/>
      <c r="E317" s="3243" t="s">
        <v>111</v>
      </c>
      <c r="F317" s="3244"/>
      <c r="G317" s="1549" t="s">
        <v>112</v>
      </c>
      <c r="H317" s="1547"/>
      <c r="I317" s="1547"/>
      <c r="J317" s="1547"/>
      <c r="K317" s="1547"/>
      <c r="L317" s="1547"/>
      <c r="M317" s="1548"/>
      <c r="N317" s="1556" t="s">
        <v>458</v>
      </c>
      <c r="O317" s="1556" t="s">
        <v>113</v>
      </c>
      <c r="P317" s="1842" t="s">
        <v>114</v>
      </c>
      <c r="Q317" s="1843" t="s">
        <v>166</v>
      </c>
      <c r="R317" s="2498" t="s">
        <v>686</v>
      </c>
      <c r="S317" s="3082"/>
      <c r="T317" s="2200"/>
      <c r="U317" s="4" t="b">
        <f>COUNTA(H318,H320,H323,H326,H328,J333:R334,K337:K337)&lt;&gt;0</f>
        <v>0</v>
      </c>
    </row>
    <row r="318" spans="2:21" ht="13.5" customHeight="1">
      <c r="B318" s="3367"/>
      <c r="C318" s="2443" t="s">
        <v>1205</v>
      </c>
      <c r="D318" s="2444"/>
      <c r="E318" s="3249" t="e">
        <f>VLOOKUP($L$10,熱源冷房,2,0)</f>
        <v>#N/A</v>
      </c>
      <c r="F318" s="3250"/>
      <c r="G318" s="3081" t="s">
        <v>168</v>
      </c>
      <c r="H318" s="312"/>
      <c r="I318" s="313" t="e">
        <f>VLOOKUP($L$10,熱源冷房,3,0)</f>
        <v>#N/A</v>
      </c>
      <c r="J318" s="315" t="e">
        <f>VLOOKUP($L$10,熱源冷房,5,0)</f>
        <v>#N/A</v>
      </c>
      <c r="K318" s="9"/>
      <c r="L318" s="9"/>
      <c r="M318" s="9"/>
      <c r="N318" s="3239" t="e">
        <f>ROUNDDOWN(H319*H322*H325*H327*H329*H331,2)</f>
        <v>#N/A</v>
      </c>
      <c r="O318" s="3236" t="e">
        <f>INT(E318*N318)</f>
        <v>#N/A</v>
      </c>
      <c r="P318" s="2459">
        <f>K335</f>
        <v>0</v>
      </c>
      <c r="Q318" s="2461" t="s">
        <v>44</v>
      </c>
      <c r="R318" s="2614">
        <f>IF(ISERROR(INT(O318*P318)),0,INT(O318*P318))</f>
        <v>0</v>
      </c>
      <c r="S318" s="2616"/>
      <c r="T318" s="2200"/>
      <c r="U318" s="4" t="b">
        <f t="shared" ref="U318:U331" si="40">U$317</f>
        <v>0</v>
      </c>
    </row>
    <row r="319" spans="2:21" ht="13.5" customHeight="1">
      <c r="B319" s="3367"/>
      <c r="C319" s="2445"/>
      <c r="D319" s="2444"/>
      <c r="E319" s="3249"/>
      <c r="F319" s="3250"/>
      <c r="G319" s="3082"/>
      <c r="H319" s="307" t="e">
        <f>HLOOKUP(H318,I318:M319,2,0)</f>
        <v>#N/A</v>
      </c>
      <c r="I319" s="308" t="e">
        <f>VLOOKUP($L$10,熱源冷房,4,0)</f>
        <v>#N/A</v>
      </c>
      <c r="J319" s="309" t="e">
        <f>VLOOKUP($L$10,熱源冷房,6,0)</f>
        <v>#N/A</v>
      </c>
      <c r="K319" s="9"/>
      <c r="L319" s="9"/>
      <c r="M319" s="9"/>
      <c r="N319" s="3239"/>
      <c r="O319" s="3236"/>
      <c r="P319" s="2459"/>
      <c r="Q319" s="2461"/>
      <c r="R319" s="2630"/>
      <c r="S319" s="3241"/>
      <c r="T319" s="2200"/>
      <c r="U319" s="4" t="b">
        <f t="shared" si="40"/>
        <v>0</v>
      </c>
    </row>
    <row r="320" spans="2:21" ht="13.5" customHeight="1">
      <c r="B320" s="3367"/>
      <c r="C320" s="2445"/>
      <c r="D320" s="2444"/>
      <c r="E320" s="3249"/>
      <c r="F320" s="3250"/>
      <c r="G320" s="3053" t="s">
        <v>169</v>
      </c>
      <c r="H320" s="312"/>
      <c r="I320" s="313" t="e">
        <f>VLOOKUP($L$10,熱源冷房,9,0)</f>
        <v>#N/A</v>
      </c>
      <c r="J320" s="314" t="e">
        <f>VLOOKUP($L$10,熱源冷房,12,0)</f>
        <v>#N/A</v>
      </c>
      <c r="K320" s="318" t="e">
        <f>VLOOKUP($L$10,熱源冷房,15,0)</f>
        <v>#N/A</v>
      </c>
      <c r="L320" s="315" t="s">
        <v>736</v>
      </c>
      <c r="M320" s="306"/>
      <c r="N320" s="3239"/>
      <c r="O320" s="3236"/>
      <c r="P320" s="2459"/>
      <c r="Q320" s="2461"/>
      <c r="R320" s="2630"/>
      <c r="S320" s="3241"/>
      <c r="T320" s="2200"/>
      <c r="U320" s="4" t="b">
        <f t="shared" si="40"/>
        <v>0</v>
      </c>
    </row>
    <row r="321" spans="2:21" ht="13.5" customHeight="1">
      <c r="B321" s="3367"/>
      <c r="C321" s="2445"/>
      <c r="D321" s="2444"/>
      <c r="E321" s="3249"/>
      <c r="F321" s="3250"/>
      <c r="G321" s="3253"/>
      <c r="H321" s="319" t="e">
        <f>HLOOKUP(H320,I320:M322,2,0)</f>
        <v>#N/A</v>
      </c>
      <c r="I321" s="320" t="e">
        <f>VLOOKUP($L$10,熱源冷房,10,0)</f>
        <v>#N/A</v>
      </c>
      <c r="J321" s="321" t="e">
        <f>VLOOKUP($L$10,熱源冷房,13,0)</f>
        <v>#N/A</v>
      </c>
      <c r="K321" s="322" t="e">
        <f>VLOOKUP($L$10,熱源冷房,16,0)</f>
        <v>#N/A</v>
      </c>
      <c r="L321" s="323" t="str">
        <f>IF(I335,M335,"-")</f>
        <v>-</v>
      </c>
      <c r="M321" s="630"/>
      <c r="N321" s="3239"/>
      <c r="O321" s="3236"/>
      <c r="P321" s="2459"/>
      <c r="Q321" s="2461"/>
      <c r="R321" s="2630"/>
      <c r="S321" s="3241"/>
      <c r="T321" s="2200"/>
      <c r="U321" s="4" t="b">
        <f t="shared" si="40"/>
        <v>0</v>
      </c>
    </row>
    <row r="322" spans="2:21" ht="13.5" customHeight="1">
      <c r="B322" s="3367"/>
      <c r="C322" s="2445"/>
      <c r="D322" s="2444"/>
      <c r="E322" s="3249"/>
      <c r="F322" s="3250"/>
      <c r="G322" s="3254"/>
      <c r="H322" s="307" t="e">
        <f>HLOOKUP(H320,I320:M322,3,0)</f>
        <v>#N/A</v>
      </c>
      <c r="I322" s="308" t="e">
        <f>VLOOKUP($L$10,熱源冷房,11,0)</f>
        <v>#N/A</v>
      </c>
      <c r="J322" s="316" t="e">
        <f>VLOOKUP($L$10,熱源冷房,14,0)</f>
        <v>#N/A</v>
      </c>
      <c r="K322" s="324" t="e">
        <f>VLOOKUP($L$10,熱源冷房,17,0)</f>
        <v>#N/A</v>
      </c>
      <c r="L322" s="309" t="str">
        <f>IF(I335,ROUNDDOWN(1+(L321-J321)*IF(L321&gt;J321,(I322-J322)/(I321-J321),(J322-K322)/(J321-K321)),2),"-")</f>
        <v>-</v>
      </c>
      <c r="M322" s="333"/>
      <c r="N322" s="3239"/>
      <c r="O322" s="3236"/>
      <c r="P322" s="2459"/>
      <c r="Q322" s="2461"/>
      <c r="R322" s="2630"/>
      <c r="S322" s="3241"/>
      <c r="T322" s="2200"/>
      <c r="U322" s="4" t="b">
        <f t="shared" si="40"/>
        <v>0</v>
      </c>
    </row>
    <row r="323" spans="2:21" ht="13.5" customHeight="1">
      <c r="B323" s="3367"/>
      <c r="C323" s="2445"/>
      <c r="D323" s="2444"/>
      <c r="E323" s="3249"/>
      <c r="F323" s="3250"/>
      <c r="G323" s="3053" t="s">
        <v>170</v>
      </c>
      <c r="H323" s="312"/>
      <c r="I323" s="313" t="e">
        <f>VLOOKUP($L$10,熱源冷房,18,0)</f>
        <v>#N/A</v>
      </c>
      <c r="J323" s="314" t="e">
        <f>VLOOKUP($L$10,熱源冷房,21,0)</f>
        <v>#N/A</v>
      </c>
      <c r="K323" s="318" t="s">
        <v>736</v>
      </c>
      <c r="L323" s="384"/>
      <c r="M323" s="9"/>
      <c r="N323" s="3239"/>
      <c r="O323" s="3236"/>
      <c r="P323" s="2459"/>
      <c r="Q323" s="2461"/>
      <c r="R323" s="2630"/>
      <c r="S323" s="3241"/>
      <c r="T323" s="2200"/>
      <c r="U323" s="4" t="b">
        <f t="shared" si="40"/>
        <v>0</v>
      </c>
    </row>
    <row r="324" spans="2:21" ht="13.5" customHeight="1">
      <c r="B324" s="3367"/>
      <c r="C324" s="2445"/>
      <c r="D324" s="2444"/>
      <c r="E324" s="3249"/>
      <c r="F324" s="3250"/>
      <c r="G324" s="3253"/>
      <c r="H324" s="337" t="e">
        <f>HLOOKUP(H323,I323:M325,2,0)</f>
        <v>#N/A</v>
      </c>
      <c r="I324" s="338" t="e">
        <f>VLOOKUP($L$10,熱源冷房,19,0)</f>
        <v>#N/A</v>
      </c>
      <c r="J324" s="339" t="e">
        <f>VLOOKUP($L$10,熱源冷房,22,0)</f>
        <v>#N/A</v>
      </c>
      <c r="K324" s="340" t="str">
        <f>IF(K337,N337,"-")</f>
        <v>-</v>
      </c>
      <c r="L324" s="385"/>
      <c r="M324" s="9"/>
      <c r="N324" s="3239"/>
      <c r="O324" s="3236"/>
      <c r="P324" s="2459"/>
      <c r="Q324" s="2461"/>
      <c r="R324" s="2630"/>
      <c r="S324" s="3241"/>
      <c r="T324" s="2200"/>
      <c r="U324" s="4" t="b">
        <f t="shared" si="40"/>
        <v>0</v>
      </c>
    </row>
    <row r="325" spans="2:21" ht="13.5" customHeight="1">
      <c r="B325" s="3367"/>
      <c r="C325" s="2445"/>
      <c r="D325" s="2444"/>
      <c r="E325" s="3249"/>
      <c r="F325" s="3250"/>
      <c r="G325" s="3254"/>
      <c r="H325" s="307" t="e">
        <f>HLOOKUP(H323,I323:M325,3,0)</f>
        <v>#N/A</v>
      </c>
      <c r="I325" s="308" t="e">
        <f>VLOOKUP($L$10,熱源冷房,20,0)</f>
        <v>#N/A</v>
      </c>
      <c r="J325" s="316" t="e">
        <f>VLOOKUP($L$10,熱源冷房,23,0)</f>
        <v>#N/A</v>
      </c>
      <c r="K325" s="324" t="str">
        <f>IF(K337,MAX(1,ROUNDDOWN(1+(I325-J325)/(I324-J324)*(K324-J324),2)),"-")</f>
        <v>-</v>
      </c>
      <c r="L325" s="386"/>
      <c r="M325" s="9"/>
      <c r="N325" s="3239"/>
      <c r="O325" s="3236"/>
      <c r="P325" s="2459"/>
      <c r="Q325" s="2461"/>
      <c r="R325" s="2630"/>
      <c r="S325" s="3241"/>
      <c r="T325" s="2200"/>
      <c r="U325" s="4" t="b">
        <f t="shared" si="40"/>
        <v>0</v>
      </c>
    </row>
    <row r="326" spans="2:21" ht="13.5" customHeight="1">
      <c r="B326" s="3367"/>
      <c r="C326" s="2445"/>
      <c r="D326" s="2444"/>
      <c r="E326" s="3249"/>
      <c r="F326" s="3250"/>
      <c r="G326" s="2498" t="s">
        <v>172</v>
      </c>
      <c r="H326" s="312"/>
      <c r="I326" s="313" t="e">
        <f>VLOOKUP($L$10,熱源冷房,24,0)</f>
        <v>#N/A</v>
      </c>
      <c r="J326" s="315" t="e">
        <f>VLOOKUP($L$10,熱源冷房,26,0)</f>
        <v>#N/A</v>
      </c>
      <c r="K326" s="9"/>
      <c r="L326" s="9"/>
      <c r="M326" s="9"/>
      <c r="N326" s="3239"/>
      <c r="O326" s="3236"/>
      <c r="P326" s="2459"/>
      <c r="Q326" s="2461"/>
      <c r="R326" s="2630"/>
      <c r="S326" s="3241"/>
      <c r="T326" s="2200"/>
      <c r="U326" s="4" t="b">
        <f t="shared" si="40"/>
        <v>0</v>
      </c>
    </row>
    <row r="327" spans="2:21" ht="13.5" customHeight="1">
      <c r="B327" s="3367"/>
      <c r="C327" s="2445"/>
      <c r="D327" s="2444"/>
      <c r="E327" s="3249"/>
      <c r="F327" s="3250"/>
      <c r="G327" s="3082"/>
      <c r="H327" s="307" t="e">
        <f>HLOOKUP(H326,I326:M327,2,0)</f>
        <v>#N/A</v>
      </c>
      <c r="I327" s="308" t="e">
        <f>VLOOKUP($L$10,熱源冷房,25,0)</f>
        <v>#N/A</v>
      </c>
      <c r="J327" s="309" t="e">
        <f>VLOOKUP($L$10,熱源冷房,27,0)</f>
        <v>#N/A</v>
      </c>
      <c r="K327" s="9"/>
      <c r="L327" s="9"/>
      <c r="M327" s="9"/>
      <c r="N327" s="3239"/>
      <c r="O327" s="3236"/>
      <c r="P327" s="2459"/>
      <c r="Q327" s="2461"/>
      <c r="R327" s="2630"/>
      <c r="S327" s="3241"/>
      <c r="T327" s="2200"/>
      <c r="U327" s="4" t="b">
        <f t="shared" si="40"/>
        <v>0</v>
      </c>
    </row>
    <row r="328" spans="2:21" ht="13.5" customHeight="1">
      <c r="B328" s="3367"/>
      <c r="C328" s="2445"/>
      <c r="D328" s="2444"/>
      <c r="E328" s="3249"/>
      <c r="F328" s="3250"/>
      <c r="G328" s="3081" t="s">
        <v>173</v>
      </c>
      <c r="H328" s="312"/>
      <c r="I328" s="313" t="e">
        <f>VLOOKUP($L$10,熱源冷房,30,0)</f>
        <v>#N/A</v>
      </c>
      <c r="J328" s="315" t="e">
        <f>VLOOKUP($L$10,熱源冷房,32,0)</f>
        <v>#N/A</v>
      </c>
      <c r="K328" s="9"/>
      <c r="L328" s="9"/>
      <c r="M328" s="9"/>
      <c r="N328" s="3239"/>
      <c r="O328" s="3236"/>
      <c r="P328" s="2459"/>
      <c r="Q328" s="2461"/>
      <c r="R328" s="2630"/>
      <c r="S328" s="3241"/>
      <c r="T328" s="2200"/>
      <c r="U328" s="4" t="b">
        <f t="shared" si="40"/>
        <v>0</v>
      </c>
    </row>
    <row r="329" spans="2:21" ht="13.5" customHeight="1">
      <c r="B329" s="3367"/>
      <c r="C329" s="2445"/>
      <c r="D329" s="2444"/>
      <c r="E329" s="3249"/>
      <c r="F329" s="3250"/>
      <c r="G329" s="3082"/>
      <c r="H329" s="307" t="e">
        <f>HLOOKUP(H328,I328:M329,2,0)</f>
        <v>#N/A</v>
      </c>
      <c r="I329" s="308" t="e">
        <f>VLOOKUP($L$10,熱源冷房,31,0)</f>
        <v>#N/A</v>
      </c>
      <c r="J329" s="309" t="e">
        <f>VLOOKUP($L$10,熱源冷房,33,0)</f>
        <v>#N/A</v>
      </c>
      <c r="K329" s="9"/>
      <c r="L329" s="9"/>
      <c r="M329" s="9"/>
      <c r="N329" s="3239"/>
      <c r="O329" s="3236"/>
      <c r="P329" s="2459"/>
      <c r="Q329" s="2461"/>
      <c r="R329" s="2630"/>
      <c r="S329" s="3241"/>
      <c r="T329" s="2200"/>
      <c r="U329" s="4" t="b">
        <f t="shared" si="40"/>
        <v>0</v>
      </c>
    </row>
    <row r="330" spans="2:21" ht="13.5" customHeight="1">
      <c r="B330" s="3367"/>
      <c r="C330" s="2445"/>
      <c r="D330" s="2444"/>
      <c r="E330" s="3249"/>
      <c r="F330" s="3250"/>
      <c r="G330" s="2498" t="s">
        <v>667</v>
      </c>
      <c r="H330" s="325">
        <f>$P$10</f>
        <v>0</v>
      </c>
      <c r="I330" s="326" t="e">
        <f>VLOOKUP($L$10,熱源冷房,36,0)</f>
        <v>#N/A</v>
      </c>
      <c r="J330" s="327" t="e">
        <f>VLOOKUP($L$10,熱源冷房,38,0)</f>
        <v>#N/A</v>
      </c>
      <c r="K330" s="327" t="e">
        <f>VLOOKUP($L$10,熱源冷房,40,0)</f>
        <v>#N/A</v>
      </c>
      <c r="L330" s="328" t="e">
        <f>VLOOKUP($L$10,熱源冷房,42,0)</f>
        <v>#N/A</v>
      </c>
      <c r="M330" s="9"/>
      <c r="N330" s="3239"/>
      <c r="O330" s="3236"/>
      <c r="P330" s="2459"/>
      <c r="Q330" s="2461"/>
      <c r="R330" s="2630"/>
      <c r="S330" s="3241"/>
      <c r="T330" s="2200"/>
      <c r="U330" s="4" t="b">
        <f t="shared" si="40"/>
        <v>0</v>
      </c>
    </row>
    <row r="331" spans="2:21" ht="13.5" customHeight="1">
      <c r="B331" s="3367"/>
      <c r="C331" s="2445"/>
      <c r="D331" s="2444"/>
      <c r="E331" s="3251"/>
      <c r="F331" s="3252"/>
      <c r="G331" s="3082"/>
      <c r="H331" s="307" t="e">
        <f>MIN(I331,MAX(L331,ROUNDDOWN(IF(H330&lt;J330,J331+(I331-J331)/(I330-J330)*(H330-J330),IF(H330&lt;K330,J331-(J331-K331)/(J330-K330)*(J330-H330),K331-(K331-L331)/(K330-L330)*(K330-H330))),2)))</f>
        <v>#N/A</v>
      </c>
      <c r="I331" s="308" t="e">
        <f>VLOOKUP($L$10,熱源冷房,37,0)</f>
        <v>#N/A</v>
      </c>
      <c r="J331" s="316" t="e">
        <f>VLOOKUP($L$10,熱源冷房,39,0)</f>
        <v>#N/A</v>
      </c>
      <c r="K331" s="316" t="e">
        <f>VLOOKUP($L$10,熱源冷房,41,0)</f>
        <v>#N/A</v>
      </c>
      <c r="L331" s="309" t="e">
        <f>VLOOKUP($L$10,熱源冷房,43,0)</f>
        <v>#N/A</v>
      </c>
      <c r="M331" s="44"/>
      <c r="N331" s="3240"/>
      <c r="O331" s="3237"/>
      <c r="P331" s="2470"/>
      <c r="Q331" s="2516"/>
      <c r="R331" s="2617"/>
      <c r="S331" s="2619"/>
      <c r="T331" s="2200"/>
      <c r="U331" s="4" t="b">
        <f t="shared" si="40"/>
        <v>0</v>
      </c>
    </row>
    <row r="332" spans="2:21" ht="6" customHeight="1">
      <c r="B332" s="3367"/>
      <c r="C332" s="2445"/>
      <c r="D332" s="2444"/>
      <c r="E332" s="644"/>
      <c r="F332" s="179"/>
      <c r="G332" s="179"/>
      <c r="H332" s="179"/>
      <c r="I332" s="179"/>
      <c r="J332" s="179"/>
      <c r="K332" s="9"/>
      <c r="L332" s="9"/>
      <c r="M332" s="179"/>
      <c r="N332" s="179"/>
      <c r="O332" s="179"/>
      <c r="P332" s="179"/>
      <c r="Q332" s="179"/>
      <c r="R332" s="179"/>
      <c r="S332" s="531"/>
      <c r="T332" s="2200"/>
      <c r="U332" s="4" t="b">
        <f>+I335&lt;&gt;0</f>
        <v>0</v>
      </c>
    </row>
    <row r="333" spans="2:21" ht="13.5" customHeight="1">
      <c r="B333" s="3367"/>
      <c r="C333" s="2445"/>
      <c r="D333" s="2444"/>
      <c r="E333" s="9"/>
      <c r="F333" s="9"/>
      <c r="G333" s="3053" t="s">
        <v>174</v>
      </c>
      <c r="H333" s="3067" t="s">
        <v>175</v>
      </c>
      <c r="I333" s="3422">
        <f>SUM(J333:Q334)</f>
        <v>0</v>
      </c>
      <c r="J333" s="2061"/>
      <c r="K333" s="2062"/>
      <c r="L333" s="2062"/>
      <c r="M333" s="2062"/>
      <c r="N333" s="2062"/>
      <c r="O333" s="2062"/>
      <c r="P333" s="2062"/>
      <c r="Q333" s="2063"/>
      <c r="R333" s="9"/>
      <c r="S333" s="10"/>
      <c r="T333" s="2200"/>
      <c r="U333" s="4" t="b">
        <f>+U332</f>
        <v>0</v>
      </c>
    </row>
    <row r="334" spans="2:21" ht="13.5" customHeight="1">
      <c r="B334" s="3367"/>
      <c r="C334" s="2445"/>
      <c r="D334" s="2444"/>
      <c r="E334" s="9"/>
      <c r="F334" s="9"/>
      <c r="G334" s="3253"/>
      <c r="H334" s="3055"/>
      <c r="I334" s="3423"/>
      <c r="J334" s="2064"/>
      <c r="K334" s="2065"/>
      <c r="L334" s="2065"/>
      <c r="M334" s="2065"/>
      <c r="N334" s="2065"/>
      <c r="O334" s="2065"/>
      <c r="P334" s="2065"/>
      <c r="Q334" s="2066"/>
      <c r="R334" s="9"/>
      <c r="S334" s="10"/>
      <c r="T334" s="2200"/>
      <c r="U334" s="4" t="b">
        <f>AND(+U332,SUM(J334:Q334)&gt;0)</f>
        <v>0</v>
      </c>
    </row>
    <row r="335" spans="2:21" ht="13.5" customHeight="1">
      <c r="B335" s="3367"/>
      <c r="C335" s="2445"/>
      <c r="D335" s="2444"/>
      <c r="E335" s="9"/>
      <c r="F335" s="9"/>
      <c r="G335" s="3254"/>
      <c r="H335" s="1834" t="s">
        <v>736</v>
      </c>
      <c r="I335" s="596">
        <f>I333</f>
        <v>0</v>
      </c>
      <c r="J335" s="597" t="s">
        <v>176</v>
      </c>
      <c r="K335" s="598">
        <f>床・天井!K91</f>
        <v>0</v>
      </c>
      <c r="L335" s="8" t="s">
        <v>177</v>
      </c>
      <c r="M335" s="387" t="e">
        <f>ROUNDDOWN(I335/K335,2)</f>
        <v>#DIV/0!</v>
      </c>
      <c r="N335" s="80" t="s">
        <v>178</v>
      </c>
      <c r="O335" s="9"/>
      <c r="P335" s="9"/>
      <c r="Q335" s="9"/>
      <c r="R335" s="9"/>
      <c r="S335" s="10"/>
      <c r="T335" s="2200"/>
      <c r="U335" s="4" t="b">
        <f>+U332</f>
        <v>0</v>
      </c>
    </row>
    <row r="336" spans="2:21" ht="6" customHeight="1">
      <c r="B336" s="3367"/>
      <c r="C336" s="2445"/>
      <c r="D336" s="2444"/>
      <c r="E336" s="9"/>
      <c r="F336" s="9"/>
      <c r="G336" s="9"/>
      <c r="H336" s="9"/>
      <c r="I336" s="9"/>
      <c r="J336" s="9"/>
      <c r="K336" s="9"/>
      <c r="L336" s="9"/>
      <c r="M336" s="9"/>
      <c r="N336" s="9"/>
      <c r="O336" s="9"/>
      <c r="P336" s="9"/>
      <c r="Q336" s="9"/>
      <c r="R336" s="9"/>
      <c r="S336" s="10"/>
      <c r="T336" s="2200"/>
      <c r="U336" s="4" t="b">
        <f>+K337&lt;&gt;0</f>
        <v>0</v>
      </c>
    </row>
    <row r="337" spans="2:21" ht="13.5" customHeight="1">
      <c r="B337" s="3367"/>
      <c r="C337" s="2445"/>
      <c r="D337" s="2444"/>
      <c r="E337" s="9"/>
      <c r="F337" s="9"/>
      <c r="G337" s="1852" t="s">
        <v>179</v>
      </c>
      <c r="H337" s="1556" t="s">
        <v>736</v>
      </c>
      <c r="I337" s="388">
        <f>床・天井!K91</f>
        <v>0</v>
      </c>
      <c r="J337" s="192" t="s">
        <v>180</v>
      </c>
      <c r="K337" s="1991"/>
      <c r="L337" s="193" t="s">
        <v>181</v>
      </c>
      <c r="M337" s="193"/>
      <c r="N337" s="388" t="e">
        <f>ROUNDDOWN(I337/K337,2)</f>
        <v>#DIV/0!</v>
      </c>
      <c r="O337" s="389" t="s">
        <v>182</v>
      </c>
      <c r="P337" s="9"/>
      <c r="Q337" s="9"/>
      <c r="R337" s="9"/>
      <c r="S337" s="10"/>
      <c r="T337" s="2200"/>
      <c r="U337" s="4" t="b">
        <f>+U336</f>
        <v>0</v>
      </c>
    </row>
    <row r="338" spans="2:21" ht="6" customHeight="1">
      <c r="B338" s="3367"/>
      <c r="C338" s="2446"/>
      <c r="D338" s="2447"/>
      <c r="E338" s="44"/>
      <c r="F338" s="44"/>
      <c r="G338" s="44"/>
      <c r="H338" s="44"/>
      <c r="I338" s="44"/>
      <c r="J338" s="44"/>
      <c r="K338" s="44"/>
      <c r="L338" s="44"/>
      <c r="M338" s="44"/>
      <c r="N338" s="44"/>
      <c r="O338" s="44"/>
      <c r="P338" s="44"/>
      <c r="Q338" s="44"/>
      <c r="R338" s="44"/>
      <c r="S338" s="69"/>
      <c r="T338" s="2200"/>
      <c r="U338" s="4" t="b">
        <f>+OR(U332,U336)</f>
        <v>0</v>
      </c>
    </row>
    <row r="339" spans="2:21" ht="13.5" customHeight="1">
      <c r="B339" s="3367"/>
      <c r="C339" s="1578"/>
      <c r="D339" s="1580"/>
      <c r="E339" s="3243" t="s">
        <v>111</v>
      </c>
      <c r="F339" s="3244"/>
      <c r="G339" s="1549" t="s">
        <v>112</v>
      </c>
      <c r="H339" s="1547"/>
      <c r="I339" s="1547"/>
      <c r="J339" s="1547"/>
      <c r="K339" s="1547"/>
      <c r="L339" s="1547"/>
      <c r="M339" s="1548"/>
      <c r="N339" s="1556" t="s">
        <v>458</v>
      </c>
      <c r="O339" s="1556" t="s">
        <v>113</v>
      </c>
      <c r="P339" s="1842" t="s">
        <v>114</v>
      </c>
      <c r="Q339" s="1843" t="s">
        <v>166</v>
      </c>
      <c r="R339" s="2498" t="s">
        <v>686</v>
      </c>
      <c r="S339" s="3082"/>
      <c r="T339" s="2200"/>
      <c r="U339" s="4" t="b">
        <f>COUNTA(H340)&lt;&gt;0</f>
        <v>0</v>
      </c>
    </row>
    <row r="340" spans="2:21" ht="13.5" customHeight="1">
      <c r="B340" s="3367"/>
      <c r="C340" s="2443" t="s">
        <v>1206</v>
      </c>
      <c r="D340" s="2444"/>
      <c r="E340" s="3249" t="e">
        <f>VLOOKUP($L$10,直接暖房,2,0)</f>
        <v>#N/A</v>
      </c>
      <c r="F340" s="3250"/>
      <c r="G340" s="3081" t="s">
        <v>186</v>
      </c>
      <c r="H340" s="312"/>
      <c r="I340" s="313" t="e">
        <f>VLOOKUP($L$10,直接暖房,3,0)</f>
        <v>#N/A</v>
      </c>
      <c r="J340" s="314" t="e">
        <f>VLOOKUP($L$10,直接暖房,5,0)</f>
        <v>#N/A</v>
      </c>
      <c r="K340" s="315" t="e">
        <f>VLOOKUP($L$10,直接暖房,7,0)</f>
        <v>#N/A</v>
      </c>
      <c r="L340" s="9"/>
      <c r="M340" s="9"/>
      <c r="N340" s="3239" t="e">
        <f>ROUNDDOWN(H341*H343,2)</f>
        <v>#N/A</v>
      </c>
      <c r="O340" s="3236" t="e">
        <f>INT(E340*N340)</f>
        <v>#N/A</v>
      </c>
      <c r="P340" s="2459">
        <f>床・天井!K91</f>
        <v>0</v>
      </c>
      <c r="Q340" s="2461" t="s">
        <v>44</v>
      </c>
      <c r="R340" s="2614">
        <f>IF(ISERROR(INT(O340*P340)),0,INT(O340*P340))</f>
        <v>0</v>
      </c>
      <c r="S340" s="2616"/>
      <c r="T340" s="2200"/>
      <c r="U340" s="4" t="b">
        <f>U$339</f>
        <v>0</v>
      </c>
    </row>
    <row r="341" spans="2:21" ht="13.5" customHeight="1">
      <c r="B341" s="3367"/>
      <c r="C341" s="2445"/>
      <c r="D341" s="2444"/>
      <c r="E341" s="3249"/>
      <c r="F341" s="3250"/>
      <c r="G341" s="3082"/>
      <c r="H341" s="307" t="e">
        <f>HLOOKUP(H340,I340:M341,2,0)</f>
        <v>#N/A</v>
      </c>
      <c r="I341" s="308" t="e">
        <f>VLOOKUP($L$10,直接暖房,4,0)</f>
        <v>#N/A</v>
      </c>
      <c r="J341" s="316" t="e">
        <f>VLOOKUP($L$10,直接暖房,6,0)</f>
        <v>#N/A</v>
      </c>
      <c r="K341" s="309" t="e">
        <f>VLOOKUP($L$10,直接暖房,8,0)</f>
        <v>#N/A</v>
      </c>
      <c r="L341" s="9"/>
      <c r="M341" s="9"/>
      <c r="N341" s="3239"/>
      <c r="O341" s="3236"/>
      <c r="P341" s="2459"/>
      <c r="Q341" s="2461"/>
      <c r="R341" s="2630"/>
      <c r="S341" s="3241"/>
      <c r="T341" s="2200"/>
      <c r="U341" s="4" t="b">
        <f>U$339</f>
        <v>0</v>
      </c>
    </row>
    <row r="342" spans="2:21" ht="13.5" customHeight="1">
      <c r="B342" s="3367"/>
      <c r="C342" s="2445"/>
      <c r="D342" s="2444"/>
      <c r="E342" s="3249"/>
      <c r="F342" s="3250"/>
      <c r="G342" s="2498" t="s">
        <v>667</v>
      </c>
      <c r="H342" s="325">
        <f>$P$10</f>
        <v>0</v>
      </c>
      <c r="I342" s="326" t="e">
        <f>VLOOKUP($L$10,直接暖房,9,0)</f>
        <v>#N/A</v>
      </c>
      <c r="J342" s="327" t="e">
        <f>VLOOKUP($L$10,直接暖房,11,0)</f>
        <v>#N/A</v>
      </c>
      <c r="K342" s="327" t="e">
        <f>VLOOKUP($L$10,直接暖房,13,0)</f>
        <v>#N/A</v>
      </c>
      <c r="L342" s="328" t="e">
        <f>VLOOKUP($L$10,直接暖房,15,0)</f>
        <v>#N/A</v>
      </c>
      <c r="M342" s="9"/>
      <c r="N342" s="3239"/>
      <c r="O342" s="3236"/>
      <c r="P342" s="2459"/>
      <c r="Q342" s="2461"/>
      <c r="R342" s="2630"/>
      <c r="S342" s="3241"/>
      <c r="T342" s="2200"/>
      <c r="U342" s="4" t="b">
        <f>U$339</f>
        <v>0</v>
      </c>
    </row>
    <row r="343" spans="2:21" ht="13.5" customHeight="1">
      <c r="B343" s="3367"/>
      <c r="C343" s="2445"/>
      <c r="D343" s="2444"/>
      <c r="E343" s="3251"/>
      <c r="F343" s="3252"/>
      <c r="G343" s="3082"/>
      <c r="H343" s="307" t="e">
        <f>MIN(I343,MAX(L343,ROUNDDOWN(IF(H342&lt;J342,J343+(I343-J343)/(I342-J342)*(H342-J342),IF(H342&lt;K342,J343-(J343-K343)/(J342-K342)*(J342-H342),K343-(K343-L343)/(K342-L342)*(K342-H342))),2)))</f>
        <v>#N/A</v>
      </c>
      <c r="I343" s="308" t="e">
        <f>VLOOKUP($L$10,直接暖房,10,0)</f>
        <v>#N/A</v>
      </c>
      <c r="J343" s="316" t="e">
        <f>VLOOKUP($L$10,直接暖房,12,0)</f>
        <v>#N/A</v>
      </c>
      <c r="K343" s="316" t="e">
        <f>VLOOKUP($L$10,直接暖房,14,0)</f>
        <v>#N/A</v>
      </c>
      <c r="L343" s="309" t="e">
        <f>VLOOKUP($L$10,直接暖房,16,0)</f>
        <v>#N/A</v>
      </c>
      <c r="M343" s="9"/>
      <c r="N343" s="3240"/>
      <c r="O343" s="3237"/>
      <c r="P343" s="2470"/>
      <c r="Q343" s="2516"/>
      <c r="R343" s="2617"/>
      <c r="S343" s="2619"/>
      <c r="T343" s="2200"/>
      <c r="U343" s="4" t="b">
        <f>U$339</f>
        <v>0</v>
      </c>
    </row>
    <row r="344" spans="2:21" ht="13.5" customHeight="1">
      <c r="B344" s="3367"/>
      <c r="C344" s="1578"/>
      <c r="D344" s="1580"/>
      <c r="E344" s="3243" t="s">
        <v>111</v>
      </c>
      <c r="F344" s="3244"/>
      <c r="G344" s="1549" t="s">
        <v>112</v>
      </c>
      <c r="H344" s="1547"/>
      <c r="I344" s="1547"/>
      <c r="J344" s="1547"/>
      <c r="K344" s="1547"/>
      <c r="L344" s="1547"/>
      <c r="M344" s="1548"/>
      <c r="N344" s="1556" t="s">
        <v>458</v>
      </c>
      <c r="O344" s="1556" t="s">
        <v>113</v>
      </c>
      <c r="P344" s="1842" t="s">
        <v>114</v>
      </c>
      <c r="Q344" s="1843" t="s">
        <v>166</v>
      </c>
      <c r="R344" s="2498" t="s">
        <v>686</v>
      </c>
      <c r="S344" s="3082"/>
      <c r="T344" s="2200"/>
      <c r="U344" s="4" t="b">
        <f>COUNTA(H345,H348,K353:K353)&lt;&gt;0</f>
        <v>0</v>
      </c>
    </row>
    <row r="345" spans="2:21" ht="13.5" customHeight="1">
      <c r="B345" s="3367"/>
      <c r="C345" s="2443" t="s">
        <v>187</v>
      </c>
      <c r="D345" s="2444"/>
      <c r="E345" s="2614" t="e">
        <f>VLOOKUP($L$10,温風暖房,2,0)</f>
        <v>#N/A</v>
      </c>
      <c r="F345" s="2616"/>
      <c r="G345" s="3053" t="s">
        <v>170</v>
      </c>
      <c r="H345" s="312"/>
      <c r="I345" s="313" t="e">
        <f>VLOOKUP($L$10,温風暖房,3,0)</f>
        <v>#N/A</v>
      </c>
      <c r="J345" s="314" t="e">
        <f>VLOOKUP($L$10,温風暖房,6,0)</f>
        <v>#N/A</v>
      </c>
      <c r="K345" s="315" t="s">
        <v>736</v>
      </c>
      <c r="L345" s="639"/>
      <c r="M345" s="9"/>
      <c r="N345" s="3239" t="e">
        <f>ROUNDDOWN(H347*H349*H351,2)</f>
        <v>#N/A</v>
      </c>
      <c r="O345" s="3236" t="e">
        <f>INT(E345*N345)</f>
        <v>#N/A</v>
      </c>
      <c r="P345" s="2459">
        <f>I353</f>
        <v>0</v>
      </c>
      <c r="Q345" s="2461" t="s">
        <v>44</v>
      </c>
      <c r="R345" s="2614">
        <f>IF(ISERROR(INT(O345*P345)),0,INT(O345*P345))</f>
        <v>0</v>
      </c>
      <c r="S345" s="2616"/>
      <c r="T345" s="2200"/>
      <c r="U345" s="4" t="b">
        <f t="shared" ref="U345:U351" si="41">U$344</f>
        <v>0</v>
      </c>
    </row>
    <row r="346" spans="2:21" ht="13.5" customHeight="1">
      <c r="B346" s="3367"/>
      <c r="C346" s="2445"/>
      <c r="D346" s="2444"/>
      <c r="E346" s="2630"/>
      <c r="F346" s="3241"/>
      <c r="G346" s="3253"/>
      <c r="H346" s="337" t="e">
        <f>HLOOKUP(H345,I345:M347,2,0)</f>
        <v>#N/A</v>
      </c>
      <c r="I346" s="338" t="e">
        <f>VLOOKUP($L$10,温風暖房,4,0)</f>
        <v>#N/A</v>
      </c>
      <c r="J346" s="339" t="e">
        <f>VLOOKUP($L$10,温風暖房,7,0)</f>
        <v>#N/A</v>
      </c>
      <c r="K346" s="341" t="str">
        <f>IF(K353,N353,"-")</f>
        <v>-</v>
      </c>
      <c r="L346" s="640"/>
      <c r="M346" s="9"/>
      <c r="N346" s="3239"/>
      <c r="O346" s="3236"/>
      <c r="P346" s="2459"/>
      <c r="Q346" s="2461"/>
      <c r="R346" s="2630"/>
      <c r="S346" s="3241"/>
      <c r="T346" s="2200"/>
      <c r="U346" s="4" t="b">
        <f t="shared" si="41"/>
        <v>0</v>
      </c>
    </row>
    <row r="347" spans="2:21" ht="13.5" customHeight="1">
      <c r="B347" s="3367"/>
      <c r="C347" s="2445"/>
      <c r="D347" s="2444"/>
      <c r="E347" s="2630"/>
      <c r="F347" s="3241"/>
      <c r="G347" s="3254"/>
      <c r="H347" s="307" t="e">
        <f>HLOOKUP(H345,I345:M347,3,0)</f>
        <v>#N/A</v>
      </c>
      <c r="I347" s="308" t="e">
        <f>VLOOKUP($L$10,温風暖房,5,0)</f>
        <v>#N/A</v>
      </c>
      <c r="J347" s="316" t="e">
        <f>VLOOKUP($L$10,温風暖房,8,0)</f>
        <v>#N/A</v>
      </c>
      <c r="K347" s="309" t="str">
        <f>IF(K353,MAX(1,ROUNDDOWN(1+(I347-J347)/(I346-J346)*(K346-J346),2)),"-")</f>
        <v>-</v>
      </c>
      <c r="L347" s="311"/>
      <c r="M347" s="9"/>
      <c r="N347" s="3239"/>
      <c r="O347" s="3236"/>
      <c r="P347" s="2459"/>
      <c r="Q347" s="2461"/>
      <c r="R347" s="2630"/>
      <c r="S347" s="3241"/>
      <c r="T347" s="2200"/>
      <c r="U347" s="4" t="b">
        <f t="shared" si="41"/>
        <v>0</v>
      </c>
    </row>
    <row r="348" spans="2:21" ht="13.5" customHeight="1">
      <c r="B348" s="3367"/>
      <c r="C348" s="2445"/>
      <c r="D348" s="2444"/>
      <c r="E348" s="2630"/>
      <c r="F348" s="3241"/>
      <c r="G348" s="2498" t="s">
        <v>188</v>
      </c>
      <c r="H348" s="312"/>
      <c r="I348" s="313" t="e">
        <f>VLOOKUP($L$10,温風暖房,12,0)</f>
        <v>#N/A</v>
      </c>
      <c r="J348" s="315" t="e">
        <f>VLOOKUP($L$10,温風暖房,14,0)</f>
        <v>#N/A</v>
      </c>
      <c r="K348" s="9"/>
      <c r="L348" s="9"/>
      <c r="M348" s="9"/>
      <c r="N348" s="3239"/>
      <c r="O348" s="3236"/>
      <c r="P348" s="2459"/>
      <c r="Q348" s="2461"/>
      <c r="R348" s="2630"/>
      <c r="S348" s="3241"/>
      <c r="T348" s="2200"/>
      <c r="U348" s="4" t="b">
        <f t="shared" si="41"/>
        <v>0</v>
      </c>
    </row>
    <row r="349" spans="2:21" ht="13.5" customHeight="1">
      <c r="B349" s="3367"/>
      <c r="C349" s="2445"/>
      <c r="D349" s="2444"/>
      <c r="E349" s="2630"/>
      <c r="F349" s="3241"/>
      <c r="G349" s="3082"/>
      <c r="H349" s="307" t="e">
        <f>HLOOKUP(H348,I348:M349,2,0)</f>
        <v>#N/A</v>
      </c>
      <c r="I349" s="308" t="e">
        <f>VLOOKUP($L$10,温風暖房,13,0)</f>
        <v>#N/A</v>
      </c>
      <c r="J349" s="309" t="e">
        <f>VLOOKUP($L$10,温風暖房,15,0)</f>
        <v>#N/A</v>
      </c>
      <c r="K349" s="9"/>
      <c r="L349" s="9"/>
      <c r="M349" s="9"/>
      <c r="N349" s="3239"/>
      <c r="O349" s="3236"/>
      <c r="P349" s="2459"/>
      <c r="Q349" s="2461"/>
      <c r="R349" s="2630"/>
      <c r="S349" s="3241"/>
      <c r="T349" s="2200"/>
      <c r="U349" s="4" t="b">
        <f t="shared" si="41"/>
        <v>0</v>
      </c>
    </row>
    <row r="350" spans="2:21" ht="13.5" customHeight="1">
      <c r="B350" s="3367"/>
      <c r="C350" s="2445"/>
      <c r="D350" s="2444"/>
      <c r="E350" s="2630"/>
      <c r="F350" s="3241"/>
      <c r="G350" s="2498" t="s">
        <v>667</v>
      </c>
      <c r="H350" s="325">
        <f>$P$10</f>
        <v>0</v>
      </c>
      <c r="I350" s="326" t="e">
        <f>VLOOKUP($L$10,温風暖房,18,0)</f>
        <v>#N/A</v>
      </c>
      <c r="J350" s="327" t="e">
        <f>VLOOKUP($L$10,温風暖房,20,0)</f>
        <v>#N/A</v>
      </c>
      <c r="K350" s="327" t="e">
        <f>VLOOKUP($L$10,温風暖房,22,0)</f>
        <v>#N/A</v>
      </c>
      <c r="L350" s="328" t="e">
        <f>VLOOKUP($L$10,温風暖房,24,0)</f>
        <v>#N/A</v>
      </c>
      <c r="M350" s="9"/>
      <c r="N350" s="3239"/>
      <c r="O350" s="3236"/>
      <c r="P350" s="2459"/>
      <c r="Q350" s="2461"/>
      <c r="R350" s="2630"/>
      <c r="S350" s="3241"/>
      <c r="T350" s="2200"/>
      <c r="U350" s="4" t="b">
        <f t="shared" si="41"/>
        <v>0</v>
      </c>
    </row>
    <row r="351" spans="2:21" ht="13.5" customHeight="1">
      <c r="B351" s="3367"/>
      <c r="C351" s="2445"/>
      <c r="D351" s="2444"/>
      <c r="E351" s="2617"/>
      <c r="F351" s="2619"/>
      <c r="G351" s="3082"/>
      <c r="H351" s="307" t="e">
        <f>MIN(I351,MAX(L351,ROUNDDOWN(IF(H350&lt;J350,J351+(I351-J351)/(I350-J350)*(H350-J350),IF(H350&lt;K350,J351-(J351-K351)/(J350-K350)*(J350-H350),K351-(K351-L351)/(K350-L350)*(K350-H350))),2)))</f>
        <v>#N/A</v>
      </c>
      <c r="I351" s="308" t="e">
        <f>VLOOKUP($L$10,温風暖房,19,0)</f>
        <v>#N/A</v>
      </c>
      <c r="J351" s="316" t="e">
        <f>VLOOKUP($L$10,温風暖房,21,0)</f>
        <v>#N/A</v>
      </c>
      <c r="K351" s="316" t="e">
        <f>VLOOKUP($L$10,温風暖房,23,0)</f>
        <v>#N/A</v>
      </c>
      <c r="L351" s="309" t="e">
        <f>VLOOKUP($L$10,温風暖房,25,0)</f>
        <v>#N/A</v>
      </c>
      <c r="M351" s="44"/>
      <c r="N351" s="3240"/>
      <c r="O351" s="3237"/>
      <c r="P351" s="2470"/>
      <c r="Q351" s="2516"/>
      <c r="R351" s="2617"/>
      <c r="S351" s="2619"/>
      <c r="T351" s="2200"/>
      <c r="U351" s="4" t="b">
        <f t="shared" si="41"/>
        <v>0</v>
      </c>
    </row>
    <row r="352" spans="2:21" ht="6" customHeight="1">
      <c r="B352" s="3367"/>
      <c r="C352" s="2445"/>
      <c r="D352" s="2444"/>
      <c r="E352" s="9"/>
      <c r="F352" s="9"/>
      <c r="G352" s="9"/>
      <c r="H352" s="9"/>
      <c r="I352" s="9"/>
      <c r="J352" s="9"/>
      <c r="K352" s="9"/>
      <c r="L352" s="9"/>
      <c r="M352" s="9"/>
      <c r="N352" s="9"/>
      <c r="O352" s="9"/>
      <c r="P352" s="9"/>
      <c r="Q352" s="9"/>
      <c r="R352" s="9"/>
      <c r="S352" s="10"/>
      <c r="T352" s="2200"/>
      <c r="U352" s="4" t="b">
        <f>+K353&lt;&gt;0</f>
        <v>0</v>
      </c>
    </row>
    <row r="353" spans="2:21" ht="13.5" customHeight="1">
      <c r="B353" s="3367"/>
      <c r="C353" s="2445"/>
      <c r="D353" s="2444"/>
      <c r="E353" s="9"/>
      <c r="F353" s="9"/>
      <c r="G353" s="1852" t="s">
        <v>179</v>
      </c>
      <c r="H353" s="1556" t="s">
        <v>736</v>
      </c>
      <c r="I353" s="388">
        <f>床・天井!K91</f>
        <v>0</v>
      </c>
      <c r="J353" s="192" t="s">
        <v>180</v>
      </c>
      <c r="K353" s="1991"/>
      <c r="L353" s="193" t="s">
        <v>181</v>
      </c>
      <c r="M353" s="193"/>
      <c r="N353" s="388" t="e">
        <f>ROUNDDOWN(I353/K353,2)</f>
        <v>#DIV/0!</v>
      </c>
      <c r="O353" s="389" t="s">
        <v>182</v>
      </c>
      <c r="P353" s="9"/>
      <c r="Q353" s="9"/>
      <c r="R353" s="9"/>
      <c r="S353" s="10"/>
      <c r="T353" s="2200"/>
      <c r="U353" s="4" t="b">
        <f>+U352</f>
        <v>0</v>
      </c>
    </row>
    <row r="354" spans="2:21" ht="6" customHeight="1">
      <c r="B354" s="3367"/>
      <c r="C354" s="2446"/>
      <c r="D354" s="2447"/>
      <c r="E354" s="44"/>
      <c r="F354" s="44"/>
      <c r="G354" s="44"/>
      <c r="H354" s="44"/>
      <c r="I354" s="44"/>
      <c r="J354" s="44"/>
      <c r="K354" s="44"/>
      <c r="L354" s="44"/>
      <c r="M354" s="44"/>
      <c r="N354" s="44"/>
      <c r="O354" s="44"/>
      <c r="P354" s="44"/>
      <c r="Q354" s="44"/>
      <c r="R354" s="44"/>
      <c r="S354" s="69"/>
      <c r="T354" s="2200"/>
      <c r="U354" s="4" t="b">
        <f>+U352</f>
        <v>0</v>
      </c>
    </row>
    <row r="355" spans="2:21" ht="13.5" customHeight="1">
      <c r="B355" s="3367"/>
      <c r="C355" s="1578"/>
      <c r="D355" s="1580"/>
      <c r="E355" s="3243" t="s">
        <v>111</v>
      </c>
      <c r="F355" s="3244"/>
      <c r="G355" s="1549" t="s">
        <v>112</v>
      </c>
      <c r="H355" s="1547"/>
      <c r="I355" s="1547"/>
      <c r="J355" s="1547"/>
      <c r="K355" s="1547"/>
      <c r="L355" s="1547"/>
      <c r="M355" s="1548"/>
      <c r="N355" s="1556" t="s">
        <v>458</v>
      </c>
      <c r="O355" s="1556" t="s">
        <v>113</v>
      </c>
      <c r="P355" s="1842" t="s">
        <v>114</v>
      </c>
      <c r="Q355" s="1843" t="s">
        <v>166</v>
      </c>
      <c r="R355" s="2498" t="s">
        <v>686</v>
      </c>
      <c r="S355" s="3082"/>
      <c r="T355" s="2200"/>
      <c r="U355" s="4" t="b">
        <f>COUNTA(H356,P356)&lt;&gt;0</f>
        <v>0</v>
      </c>
    </row>
    <row r="356" spans="2:21" ht="13.5" customHeight="1">
      <c r="B356" s="3367"/>
      <c r="C356" s="2443" t="s">
        <v>189</v>
      </c>
      <c r="D356" s="2444"/>
      <c r="E356" s="2418" t="e">
        <f>VLOOKUP($L$10,床暖房,2,0)</f>
        <v>#N/A</v>
      </c>
      <c r="F356" s="2420"/>
      <c r="G356" s="3067" t="s">
        <v>689</v>
      </c>
      <c r="H356" s="312"/>
      <c r="I356" s="313" t="e">
        <f>VLOOKUP($L$10,床暖房,3,0)</f>
        <v>#N/A</v>
      </c>
      <c r="J356" s="318" t="e">
        <f>VLOOKUP($L$10,床暖房,5,0)</f>
        <v>#N/A</v>
      </c>
      <c r="K356" s="315" t="e">
        <f>VLOOKUP($L$10,床暖房,7,0)</f>
        <v>#N/A</v>
      </c>
      <c r="L356" s="9"/>
      <c r="M356" s="10"/>
      <c r="N356" s="3238" t="e">
        <f>ROUNDDOWN(H357,2)</f>
        <v>#N/A</v>
      </c>
      <c r="O356" s="3235" t="e">
        <f>INT(E356*N356)</f>
        <v>#N/A</v>
      </c>
      <c r="P356" s="3310"/>
      <c r="Q356" s="3306" t="s">
        <v>190</v>
      </c>
      <c r="R356" s="2418">
        <f>IF(ISERROR(INT(O356*P356)),0,INT(O356*P356))</f>
        <v>0</v>
      </c>
      <c r="S356" s="2420"/>
      <c r="T356" s="2200"/>
      <c r="U356" s="4" t="b">
        <f>U$355</f>
        <v>0</v>
      </c>
    </row>
    <row r="357" spans="2:21" ht="13.5" customHeight="1">
      <c r="B357" s="3367"/>
      <c r="C357" s="2445"/>
      <c r="D357" s="2444"/>
      <c r="E357" s="2448"/>
      <c r="F357" s="2450"/>
      <c r="G357" s="3055"/>
      <c r="H357" s="375" t="e">
        <f>HLOOKUP(H356,I356:M357,2,0)</f>
        <v>#N/A</v>
      </c>
      <c r="I357" s="376" t="e">
        <f>VLOOKUP($L$10,床暖房,4,0)</f>
        <v>#N/A</v>
      </c>
      <c r="J357" s="390" t="e">
        <f>VLOOKUP($L$10,床暖房,6,0)</f>
        <v>#N/A</v>
      </c>
      <c r="K357" s="377" t="e">
        <f>VLOOKUP($L$10,床暖房,8,0)</f>
        <v>#N/A</v>
      </c>
      <c r="L357" s="44"/>
      <c r="M357" s="69"/>
      <c r="N357" s="3239"/>
      <c r="O357" s="3236"/>
      <c r="P357" s="3421"/>
      <c r="Q357" s="2461"/>
      <c r="R357" s="2448"/>
      <c r="S357" s="2450"/>
      <c r="T357" s="2200"/>
      <c r="U357" s="4" t="b">
        <f>U$355</f>
        <v>0</v>
      </c>
    </row>
    <row r="358" spans="2:21" ht="13.5" customHeight="1">
      <c r="B358" s="3367"/>
      <c r="C358" s="1851"/>
      <c r="D358" s="1851"/>
      <c r="E358" s="3243" t="s">
        <v>111</v>
      </c>
      <c r="F358" s="3244"/>
      <c r="G358" s="1549" t="s">
        <v>112</v>
      </c>
      <c r="H358" s="1547"/>
      <c r="I358" s="1547"/>
      <c r="J358" s="1547"/>
      <c r="K358" s="1547"/>
      <c r="L358" s="1547"/>
      <c r="M358" s="1548"/>
      <c r="N358" s="1556" t="s">
        <v>458</v>
      </c>
      <c r="O358" s="1556" t="s">
        <v>113</v>
      </c>
      <c r="P358" s="1842" t="s">
        <v>114</v>
      </c>
      <c r="Q358" s="1843" t="s">
        <v>166</v>
      </c>
      <c r="R358" s="2498" t="s">
        <v>686</v>
      </c>
      <c r="S358" s="3082"/>
      <c r="T358" s="2200"/>
      <c r="U358" s="4" t="b">
        <f>COUNTA(H359,H361,H363)&lt;&gt;0</f>
        <v>0</v>
      </c>
    </row>
    <row r="359" spans="2:21" ht="13.5" customHeight="1">
      <c r="B359" s="3367"/>
      <c r="C359" s="2840" t="s">
        <v>191</v>
      </c>
      <c r="D359" s="2840" t="s">
        <v>191</v>
      </c>
      <c r="E359" s="3372" t="e">
        <f>VLOOKUP($L$10,換気設備,2,0)</f>
        <v>#N/A</v>
      </c>
      <c r="F359" s="3373"/>
      <c r="G359" s="2498" t="s">
        <v>192</v>
      </c>
      <c r="H359" s="312"/>
      <c r="I359" s="313" t="e">
        <f>VLOOKUP($L$10,換気設備,3,0)</f>
        <v>#N/A</v>
      </c>
      <c r="J359" s="315" t="e">
        <f>VLOOKUP($L$10,換気設備,5,0)</f>
        <v>#N/A</v>
      </c>
      <c r="K359" s="179"/>
      <c r="L359" s="179"/>
      <c r="M359" s="179"/>
      <c r="N359" s="3238" t="e">
        <f>ROUNDDOWN(H360*H362*H364,2)</f>
        <v>#N/A</v>
      </c>
      <c r="O359" s="3235" t="e">
        <f>INT(E359*N359)</f>
        <v>#N/A</v>
      </c>
      <c r="P359" s="2513">
        <f>床・天井!L91</f>
        <v>0</v>
      </c>
      <c r="Q359" s="3306" t="s">
        <v>155</v>
      </c>
      <c r="R359" s="2418">
        <f>IF(ISERROR(INT(O359*P359)),0,INT(O359*P359))</f>
        <v>0</v>
      </c>
      <c r="S359" s="2420"/>
      <c r="T359" s="2200"/>
      <c r="U359" s="4" t="b">
        <f t="shared" ref="U359:U364" si="42">U$358</f>
        <v>0</v>
      </c>
    </row>
    <row r="360" spans="2:21" ht="13.5" customHeight="1">
      <c r="B360" s="3367"/>
      <c r="C360" s="2885"/>
      <c r="D360" s="2885"/>
      <c r="E360" s="3374"/>
      <c r="F360" s="3375"/>
      <c r="G360" s="3082"/>
      <c r="H360" s="307" t="e">
        <f>HLOOKUP(H359,I359:M360,2,0)</f>
        <v>#N/A</v>
      </c>
      <c r="I360" s="308" t="e">
        <f>VLOOKUP($L$10,換気設備,4,0)</f>
        <v>#N/A</v>
      </c>
      <c r="J360" s="309" t="e">
        <f>VLOOKUP($L$10,換気設備,6,0)</f>
        <v>#N/A</v>
      </c>
      <c r="K360" s="9"/>
      <c r="L360" s="9"/>
      <c r="M360" s="9"/>
      <c r="N360" s="3239"/>
      <c r="O360" s="3236"/>
      <c r="P360" s="2459"/>
      <c r="Q360" s="2461"/>
      <c r="R360" s="2448"/>
      <c r="S360" s="2450"/>
      <c r="T360" s="2200"/>
      <c r="U360" s="4" t="b">
        <f t="shared" si="42"/>
        <v>0</v>
      </c>
    </row>
    <row r="361" spans="2:21" ht="13.5" customHeight="1">
      <c r="B361" s="3367"/>
      <c r="C361" s="2885"/>
      <c r="D361" s="2885"/>
      <c r="E361" s="3374"/>
      <c r="F361" s="3375"/>
      <c r="G361" s="3081" t="s">
        <v>193</v>
      </c>
      <c r="H361" s="312"/>
      <c r="I361" s="313" t="e">
        <f>VLOOKUP($L$10,換気設備,11,0)</f>
        <v>#N/A</v>
      </c>
      <c r="J361" s="315" t="e">
        <f>VLOOKUP($L$10,換気設備,13,0)</f>
        <v>#N/A</v>
      </c>
      <c r="K361" s="9"/>
      <c r="L361" s="9"/>
      <c r="M361" s="9"/>
      <c r="N361" s="3239"/>
      <c r="O361" s="3236"/>
      <c r="P361" s="2459"/>
      <c r="Q361" s="2461"/>
      <c r="R361" s="2448"/>
      <c r="S361" s="2450"/>
      <c r="T361" s="2200"/>
      <c r="U361" s="4" t="b">
        <f t="shared" si="42"/>
        <v>0</v>
      </c>
    </row>
    <row r="362" spans="2:21" ht="13.5" customHeight="1">
      <c r="B362" s="3367"/>
      <c r="C362" s="2885"/>
      <c r="D362" s="2885"/>
      <c r="E362" s="3374"/>
      <c r="F362" s="3375"/>
      <c r="G362" s="3082"/>
      <c r="H362" s="307" t="e">
        <f>HLOOKUP(H361,I361:M362,2,0)</f>
        <v>#N/A</v>
      </c>
      <c r="I362" s="308" t="e">
        <f>VLOOKUP($L$10,換気設備,12,0)</f>
        <v>#N/A</v>
      </c>
      <c r="J362" s="309" t="e">
        <f>VLOOKUP($L$10,換気設備,14,0)</f>
        <v>#N/A</v>
      </c>
      <c r="K362" s="9"/>
      <c r="L362" s="9"/>
      <c r="M362" s="9"/>
      <c r="N362" s="3239"/>
      <c r="O362" s="3236"/>
      <c r="P362" s="2459"/>
      <c r="Q362" s="2461"/>
      <c r="R362" s="2448"/>
      <c r="S362" s="2450"/>
      <c r="T362" s="2200"/>
      <c r="U362" s="4" t="b">
        <f t="shared" si="42"/>
        <v>0</v>
      </c>
    </row>
    <row r="363" spans="2:21" ht="13.5" customHeight="1">
      <c r="B363" s="3367"/>
      <c r="C363" s="2885"/>
      <c r="D363" s="2885"/>
      <c r="E363" s="3374"/>
      <c r="F363" s="3375"/>
      <c r="G363" s="2498" t="s">
        <v>194</v>
      </c>
      <c r="H363" s="312"/>
      <c r="I363" s="313" t="e">
        <f>VLOOKUP($L$10,換気設備,15,0)</f>
        <v>#N/A</v>
      </c>
      <c r="J363" s="314" t="e">
        <f>VLOOKUP($L$10,換気設備,17,0)</f>
        <v>#N/A</v>
      </c>
      <c r="K363" s="315" t="e">
        <f>VLOOKUP($L$10,換気設備,19,0)</f>
        <v>#N/A</v>
      </c>
      <c r="L363" s="9"/>
      <c r="M363" s="9"/>
      <c r="N363" s="3239"/>
      <c r="O363" s="3236"/>
      <c r="P363" s="2459"/>
      <c r="Q363" s="2461"/>
      <c r="R363" s="2448"/>
      <c r="S363" s="2450"/>
      <c r="T363" s="2200"/>
      <c r="U363" s="4" t="b">
        <f t="shared" si="42"/>
        <v>0</v>
      </c>
    </row>
    <row r="364" spans="2:21" ht="13.5" customHeight="1">
      <c r="B364" s="3367"/>
      <c r="C364" s="2885"/>
      <c r="D364" s="3371"/>
      <c r="E364" s="3376"/>
      <c r="F364" s="3377"/>
      <c r="G364" s="3082"/>
      <c r="H364" s="307" t="e">
        <f>HLOOKUP(H363,I363:M364,2,0)</f>
        <v>#N/A</v>
      </c>
      <c r="I364" s="308" t="e">
        <f>VLOOKUP($L$10,換気設備,16,0)</f>
        <v>#N/A</v>
      </c>
      <c r="J364" s="316" t="e">
        <f>VLOOKUP($L$10,換気設備,18,0)</f>
        <v>#N/A</v>
      </c>
      <c r="K364" s="309" t="e">
        <f>VLOOKUP($L$10,換気設備,20,0)</f>
        <v>#N/A</v>
      </c>
      <c r="L364" s="44"/>
      <c r="M364" s="44"/>
      <c r="N364" s="3240"/>
      <c r="O364" s="3237"/>
      <c r="P364" s="2470"/>
      <c r="Q364" s="2516"/>
      <c r="R364" s="2421"/>
      <c r="S364" s="2423"/>
      <c r="T364" s="2200"/>
      <c r="U364" s="4" t="b">
        <f t="shared" si="42"/>
        <v>0</v>
      </c>
    </row>
    <row r="365" spans="2:21" ht="13.5" customHeight="1">
      <c r="B365" s="3367"/>
      <c r="C365" s="2885"/>
      <c r="D365" s="3378" t="s">
        <v>5739</v>
      </c>
      <c r="E365" s="3243" t="s">
        <v>111</v>
      </c>
      <c r="F365" s="3244"/>
      <c r="G365" s="1549" t="s">
        <v>112</v>
      </c>
      <c r="H365" s="1547"/>
      <c r="I365" s="1547"/>
      <c r="J365" s="1547"/>
      <c r="K365" s="1547"/>
      <c r="L365" s="1582"/>
      <c r="M365" s="1583"/>
      <c r="N365" s="1556" t="s">
        <v>458</v>
      </c>
      <c r="O365" s="1556" t="s">
        <v>113</v>
      </c>
      <c r="P365" s="1842" t="s">
        <v>114</v>
      </c>
      <c r="Q365" s="1843" t="s">
        <v>195</v>
      </c>
      <c r="R365" s="2498" t="s">
        <v>686</v>
      </c>
      <c r="S365" s="3082"/>
      <c r="T365" s="2200"/>
      <c r="U365" s="4" t="b">
        <f>COUNTA(H366,H368)&lt;&gt;0</f>
        <v>0</v>
      </c>
    </row>
    <row r="366" spans="2:21" ht="13.5" customHeight="1">
      <c r="B366" s="3367"/>
      <c r="C366" s="2885"/>
      <c r="D366" s="3379"/>
      <c r="E366" s="3381" t="e">
        <f>VLOOKUP($L$10,換気集合形式,2,0)</f>
        <v>#N/A</v>
      </c>
      <c r="F366" s="3382"/>
      <c r="G366" s="2498" t="s">
        <v>192</v>
      </c>
      <c r="H366" s="357"/>
      <c r="I366" s="358" t="e">
        <f>VLOOKUP($L$10,換気集合形式,3,0)</f>
        <v>#N/A</v>
      </c>
      <c r="J366" s="359" t="e">
        <f>VLOOKUP($L$10,換気集合形式,5,0)</f>
        <v>#N/A</v>
      </c>
      <c r="K366" s="360" t="e">
        <f>VLOOKUP($L$10,換気集合形式,7,0)</f>
        <v>#N/A</v>
      </c>
      <c r="L366" s="391"/>
      <c r="M366" s="392"/>
      <c r="N366" s="3419" t="e">
        <f>ROUNDDOWN(H367*H369,2)</f>
        <v>#N/A</v>
      </c>
      <c r="O366" s="3325" t="e">
        <f>INT(E366*N366)</f>
        <v>#N/A</v>
      </c>
      <c r="P366" s="3302">
        <f>$P$10</f>
        <v>0</v>
      </c>
      <c r="Q366" s="3304" t="s">
        <v>44</v>
      </c>
      <c r="R366" s="3307">
        <f>IF(ISERROR(INT(O366*P366)),0,INT(O366*P366))</f>
        <v>0</v>
      </c>
      <c r="S366" s="3308"/>
      <c r="T366" s="2200"/>
      <c r="U366" s="950" t="b">
        <f>U$365</f>
        <v>0</v>
      </c>
    </row>
    <row r="367" spans="2:21" ht="13.5" customHeight="1">
      <c r="B367" s="3367"/>
      <c r="C367" s="2885"/>
      <c r="D367" s="3379"/>
      <c r="E367" s="3383"/>
      <c r="F367" s="3384"/>
      <c r="G367" s="3082"/>
      <c r="H367" s="375" t="e">
        <f>HLOOKUP(H366,I366:M367,2,0)</f>
        <v>#N/A</v>
      </c>
      <c r="I367" s="376" t="e">
        <f>VLOOKUP($L$10,換気集合形式,4,0)</f>
        <v>#N/A</v>
      </c>
      <c r="J367" s="949" t="e">
        <f>VLOOKUP($L$10,換気集合形式,6,0)</f>
        <v>#N/A</v>
      </c>
      <c r="K367" s="390" t="e">
        <f>VLOOKUP($L$10,換気集合形式,8,0)</f>
        <v>#N/A</v>
      </c>
      <c r="L367" s="393"/>
      <c r="M367" s="394"/>
      <c r="N367" s="3420"/>
      <c r="O367" s="3326"/>
      <c r="P367" s="3303"/>
      <c r="Q367" s="3305"/>
      <c r="R367" s="3249"/>
      <c r="S367" s="3250"/>
      <c r="T367" s="2200"/>
      <c r="U367" s="950" t="b">
        <f t="shared" ref="U367:U369" si="43">U$365</f>
        <v>0</v>
      </c>
    </row>
    <row r="368" spans="2:21" ht="13.5" customHeight="1">
      <c r="B368" s="3367"/>
      <c r="C368" s="2885"/>
      <c r="D368" s="3379"/>
      <c r="E368" s="3383"/>
      <c r="F368" s="3384"/>
      <c r="G368" s="2498" t="s">
        <v>689</v>
      </c>
      <c r="H368" s="357"/>
      <c r="I368" s="358" t="e">
        <f>VLOOKUP($L$10,換気集合形式,9,0)</f>
        <v>#N/A</v>
      </c>
      <c r="J368" s="359" t="e">
        <f>VLOOKUP($L$10,換気集合形式,11,0)</f>
        <v>#N/A</v>
      </c>
      <c r="K368" s="360" t="e">
        <f>VLOOKUP($L$10,換気集合形式,13,0)</f>
        <v>#N/A</v>
      </c>
      <c r="L368" s="391"/>
      <c r="M368" s="392"/>
      <c r="N368" s="3420"/>
      <c r="O368" s="3326"/>
      <c r="P368" s="3303"/>
      <c r="Q368" s="3305"/>
      <c r="R368" s="3249"/>
      <c r="S368" s="3250"/>
      <c r="T368" s="2200"/>
      <c r="U368" s="950" t="b">
        <f t="shared" si="43"/>
        <v>0</v>
      </c>
    </row>
    <row r="369" spans="2:21" ht="13.5" customHeight="1">
      <c r="B369" s="3367"/>
      <c r="C369" s="2885"/>
      <c r="D369" s="3380"/>
      <c r="E369" s="3385"/>
      <c r="F369" s="3386"/>
      <c r="G369" s="3082"/>
      <c r="H369" s="375" t="e">
        <f>HLOOKUP(H368,I368:M369,2,0)</f>
        <v>#N/A</v>
      </c>
      <c r="I369" s="376" t="e">
        <f>VLOOKUP($L$10,換気集合形式,10,0)</f>
        <v>#N/A</v>
      </c>
      <c r="J369" s="949" t="e">
        <f>VLOOKUP($L$10,換気集合形式,12,0)</f>
        <v>#N/A</v>
      </c>
      <c r="K369" s="390" t="e">
        <f>VLOOKUP($L$10,換気集合形式,14,0)</f>
        <v>#N/A</v>
      </c>
      <c r="L369" s="393"/>
      <c r="M369" s="394"/>
      <c r="N369" s="3420"/>
      <c r="O369" s="3326"/>
      <c r="P369" s="3303"/>
      <c r="Q369" s="3305"/>
      <c r="R369" s="3249"/>
      <c r="S369" s="3250"/>
      <c r="T369" s="2200"/>
      <c r="U369" s="950" t="b">
        <f t="shared" si="43"/>
        <v>0</v>
      </c>
    </row>
    <row r="370" spans="2:21" ht="13.5" customHeight="1">
      <c r="B370" s="3367"/>
      <c r="C370" s="2885"/>
      <c r="D370" s="1844"/>
      <c r="E370" s="3243" t="s">
        <v>111</v>
      </c>
      <c r="F370" s="3244"/>
      <c r="G370" s="1549" t="s">
        <v>112</v>
      </c>
      <c r="H370" s="1547"/>
      <c r="I370" s="1547"/>
      <c r="J370" s="1547"/>
      <c r="K370" s="1547"/>
      <c r="L370" s="1547"/>
      <c r="M370" s="1548"/>
      <c r="N370" s="1556" t="s">
        <v>458</v>
      </c>
      <c r="O370" s="1556" t="s">
        <v>113</v>
      </c>
      <c r="P370" s="1842" t="s">
        <v>114</v>
      </c>
      <c r="Q370" s="1843" t="s">
        <v>138</v>
      </c>
      <c r="R370" s="2498" t="s">
        <v>686</v>
      </c>
      <c r="S370" s="3082"/>
      <c r="T370" s="2200"/>
      <c r="U370" s="4" t="b">
        <f>+OR(U371,U373,U375)</f>
        <v>0</v>
      </c>
    </row>
    <row r="371" spans="2:21" ht="13.5" customHeight="1">
      <c r="B371" s="3367"/>
      <c r="C371" s="2885"/>
      <c r="D371" s="2840" t="s">
        <v>196</v>
      </c>
      <c r="E371" s="3372" t="e">
        <f>VLOOKUP($L$10,換気扇,2,0)</f>
        <v>#N/A</v>
      </c>
      <c r="F371" s="3373"/>
      <c r="G371" s="2498" t="s">
        <v>157</v>
      </c>
      <c r="H371" s="2068"/>
      <c r="I371" s="358" t="e">
        <f>VLOOKUP($L$10,換気扇,3,0)</f>
        <v>#N/A</v>
      </c>
      <c r="J371" s="359" t="e">
        <f>VLOOKUP($L$10,換気扇,5,0)</f>
        <v>#N/A</v>
      </c>
      <c r="K371" s="361" t="e">
        <f>VLOOKUP($L$10,換気扇,7,0)</f>
        <v>#N/A</v>
      </c>
      <c r="L371" s="591"/>
      <c r="M371" s="392"/>
      <c r="N371" s="3238" t="e">
        <f>H372</f>
        <v>#N/A</v>
      </c>
      <c r="O371" s="3235" t="e">
        <f>INT(E$371*N371)</f>
        <v>#N/A</v>
      </c>
      <c r="P371" s="3271"/>
      <c r="Q371" s="3306" t="s">
        <v>139</v>
      </c>
      <c r="R371" s="2418">
        <f>IF(ISERROR(INT(O371*P371)),0,INT(O371*P371))</f>
        <v>0</v>
      </c>
      <c r="S371" s="2420"/>
      <c r="T371" s="2200"/>
      <c r="U371" s="950" t="b">
        <f>COUNTA(H371,P371)&lt;&gt;0</f>
        <v>0</v>
      </c>
    </row>
    <row r="372" spans="2:21" ht="13.5" customHeight="1">
      <c r="B372" s="3367"/>
      <c r="C372" s="2885"/>
      <c r="D372" s="2885"/>
      <c r="E372" s="3374"/>
      <c r="F372" s="3375"/>
      <c r="G372" s="3082"/>
      <c r="H372" s="309" t="e">
        <f>ROUNDDOWN($J372+(H371-$J371)*IF(H371&gt;$J371,($I372-$J372)/($I371-$J371),($J372-$K372)/($J371-$K371)),2)</f>
        <v>#N/A</v>
      </c>
      <c r="I372" s="308" t="e">
        <f>VLOOKUP($L$10,換気扇,4,0)</f>
        <v>#N/A</v>
      </c>
      <c r="J372" s="316" t="e">
        <f>VLOOKUP($L$10,換気扇,6,0)</f>
        <v>#N/A</v>
      </c>
      <c r="K372" s="309" t="e">
        <f>VLOOKUP($L$10,換気扇,8,0)</f>
        <v>#N/A</v>
      </c>
      <c r="L372" s="310"/>
      <c r="M372" s="335"/>
      <c r="N372" s="3239"/>
      <c r="O372" s="3236"/>
      <c r="P372" s="3272"/>
      <c r="Q372" s="3322"/>
      <c r="R372" s="2448"/>
      <c r="S372" s="2450"/>
      <c r="T372" s="2200"/>
      <c r="U372" s="950" t="b">
        <f>U371</f>
        <v>0</v>
      </c>
    </row>
    <row r="373" spans="2:21" ht="13.5" customHeight="1">
      <c r="B373" s="3367"/>
      <c r="C373" s="2885"/>
      <c r="D373" s="2885"/>
      <c r="E373" s="3374"/>
      <c r="F373" s="3375"/>
      <c r="G373" s="2498" t="s">
        <v>157</v>
      </c>
      <c r="H373" s="2068"/>
      <c r="I373" s="358" t="e">
        <f>VLOOKUP($L$10,換気扇,3,0)</f>
        <v>#N/A</v>
      </c>
      <c r="J373" s="359" t="e">
        <f>VLOOKUP($L$10,換気扇,5,0)</f>
        <v>#N/A</v>
      </c>
      <c r="K373" s="361" t="e">
        <f>VLOOKUP($L$10,換気扇,7,0)</f>
        <v>#N/A</v>
      </c>
      <c r="L373" s="391"/>
      <c r="M373" s="392"/>
      <c r="N373" s="3238" t="e">
        <f>H374</f>
        <v>#N/A</v>
      </c>
      <c r="O373" s="3235" t="e">
        <f>INT(E$371*N373)</f>
        <v>#N/A</v>
      </c>
      <c r="P373" s="3271"/>
      <c r="Q373" s="3306" t="s">
        <v>139</v>
      </c>
      <c r="R373" s="2418">
        <f>IF(ISERROR(INT(O373*P373)),0,INT(O373*P373))</f>
        <v>0</v>
      </c>
      <c r="S373" s="2420"/>
      <c r="T373" s="2200"/>
      <c r="U373" s="950" t="b">
        <f>COUNTA(H373,P373)&lt;&gt;0</f>
        <v>0</v>
      </c>
    </row>
    <row r="374" spans="2:21" ht="13.5" customHeight="1">
      <c r="B374" s="3367"/>
      <c r="C374" s="2885"/>
      <c r="D374" s="2885"/>
      <c r="E374" s="3374"/>
      <c r="F374" s="3375"/>
      <c r="G374" s="3082"/>
      <c r="H374" s="309" t="e">
        <f>ROUNDDOWN($J374+(H373-$J373)*IF(H373&gt;$J373,($I374-$J374)/($I373-$J373),($J374-$K374)/($J373-$K373)),2)</f>
        <v>#N/A</v>
      </c>
      <c r="I374" s="308" t="e">
        <f>VLOOKUP($L$10,換気扇,4,0)</f>
        <v>#N/A</v>
      </c>
      <c r="J374" s="316" t="e">
        <f>VLOOKUP($L$10,換気扇,6,0)</f>
        <v>#N/A</v>
      </c>
      <c r="K374" s="309" t="e">
        <f>VLOOKUP($L$10,換気扇,8,0)</f>
        <v>#N/A</v>
      </c>
      <c r="L374" s="310"/>
      <c r="M374" s="335"/>
      <c r="N374" s="3239"/>
      <c r="O374" s="3236"/>
      <c r="P374" s="3272"/>
      <c r="Q374" s="3322"/>
      <c r="R374" s="2448"/>
      <c r="S374" s="2450"/>
      <c r="T374" s="2200"/>
      <c r="U374" s="950" t="b">
        <f>U373</f>
        <v>0</v>
      </c>
    </row>
    <row r="375" spans="2:21" ht="13.5" customHeight="1">
      <c r="B375" s="3367"/>
      <c r="C375" s="2885"/>
      <c r="D375" s="2885"/>
      <c r="E375" s="3374"/>
      <c r="F375" s="3375"/>
      <c r="G375" s="2498" t="s">
        <v>157</v>
      </c>
      <c r="H375" s="2068"/>
      <c r="I375" s="358" t="e">
        <f>VLOOKUP($L$10,換気扇,3,0)</f>
        <v>#N/A</v>
      </c>
      <c r="J375" s="359" t="e">
        <f>VLOOKUP($L$10,換気扇,5,0)</f>
        <v>#N/A</v>
      </c>
      <c r="K375" s="361" t="e">
        <f>VLOOKUP($L$10,換気扇,7,0)</f>
        <v>#N/A</v>
      </c>
      <c r="L375" s="391"/>
      <c r="M375" s="392"/>
      <c r="N375" s="3238" t="e">
        <f>H376</f>
        <v>#N/A</v>
      </c>
      <c r="O375" s="3235" t="e">
        <f>INT(E$371*N375)</f>
        <v>#N/A</v>
      </c>
      <c r="P375" s="3271"/>
      <c r="Q375" s="3306" t="s">
        <v>139</v>
      </c>
      <c r="R375" s="2418">
        <f>IF(ISERROR(INT(O375*P375)),0,INT(O375*P375))</f>
        <v>0</v>
      </c>
      <c r="S375" s="2420"/>
      <c r="T375" s="2200"/>
      <c r="U375" s="950" t="b">
        <f>COUNTA(H375,P375)&lt;&gt;0</f>
        <v>0</v>
      </c>
    </row>
    <row r="376" spans="2:21" ht="13.5" customHeight="1">
      <c r="B376" s="3367"/>
      <c r="C376" s="2885"/>
      <c r="D376" s="3371"/>
      <c r="E376" s="3376"/>
      <c r="F376" s="3377"/>
      <c r="G376" s="3082"/>
      <c r="H376" s="309" t="e">
        <f>ROUNDDOWN($J376+(H375-$J375)*IF(H375&gt;$J375,($I376-$J376)/($I375-$J375),($J376-$K376)/($J375-$K375)),2)</f>
        <v>#N/A</v>
      </c>
      <c r="I376" s="308" t="e">
        <f>VLOOKUP($L$10,換気扇,4,0)</f>
        <v>#N/A</v>
      </c>
      <c r="J376" s="316" t="e">
        <f>VLOOKUP($L$10,換気扇,6,0)</f>
        <v>#N/A</v>
      </c>
      <c r="K376" s="309" t="e">
        <f>VLOOKUP($L$10,換気扇,8,0)</f>
        <v>#N/A</v>
      </c>
      <c r="L376" s="329"/>
      <c r="M376" s="335"/>
      <c r="N376" s="3240"/>
      <c r="O376" s="3236"/>
      <c r="P376" s="3290"/>
      <c r="Q376" s="3309"/>
      <c r="R376" s="2421"/>
      <c r="S376" s="2423"/>
      <c r="T376" s="2200"/>
      <c r="U376" s="950" t="b">
        <f>U375</f>
        <v>0</v>
      </c>
    </row>
    <row r="377" spans="2:21" ht="13.5" customHeight="1">
      <c r="B377" s="3367"/>
      <c r="C377" s="2885"/>
      <c r="D377" s="1844"/>
      <c r="E377" s="3243" t="s">
        <v>111</v>
      </c>
      <c r="F377" s="3244"/>
      <c r="G377" s="1549" t="s">
        <v>112</v>
      </c>
      <c r="H377" s="1547"/>
      <c r="I377" s="1547"/>
      <c r="J377" s="1547"/>
      <c r="K377" s="1547"/>
      <c r="L377" s="1547"/>
      <c r="M377" s="1548"/>
      <c r="N377" s="1556" t="s">
        <v>458</v>
      </c>
      <c r="O377" s="1556" t="s">
        <v>113</v>
      </c>
      <c r="P377" s="1842" t="s">
        <v>114</v>
      </c>
      <c r="Q377" s="1843" t="s">
        <v>138</v>
      </c>
      <c r="R377" s="2498" t="s">
        <v>686</v>
      </c>
      <c r="S377" s="3082"/>
      <c r="T377" s="2200"/>
      <c r="U377" s="4" t="b">
        <f>COUNTA(H378,P378)&lt;&gt;0</f>
        <v>0</v>
      </c>
    </row>
    <row r="378" spans="2:21" ht="13.5" customHeight="1">
      <c r="B378" s="3367"/>
      <c r="C378" s="2885"/>
      <c r="D378" s="3395" t="s">
        <v>197</v>
      </c>
      <c r="E378" s="2418" t="e">
        <f>VLOOKUP($L$10,レンジフード,2,0)</f>
        <v>#N/A</v>
      </c>
      <c r="F378" s="2420"/>
      <c r="G378" s="2498" t="s">
        <v>157</v>
      </c>
      <c r="H378" s="357"/>
      <c r="I378" s="358" t="e">
        <f>VLOOKUP($L$10,レンジフード,3,0)</f>
        <v>#N/A</v>
      </c>
      <c r="J378" s="359" t="e">
        <f>VLOOKUP($L$10,レンジフード,5,0)</f>
        <v>#N/A</v>
      </c>
      <c r="K378" s="361" t="e">
        <f>VLOOKUP($L$10,レンジフード,7,0)</f>
        <v>#N/A</v>
      </c>
      <c r="L378" s="179"/>
      <c r="M378" s="179"/>
      <c r="N378" s="3238" t="e">
        <f>H379</f>
        <v>#N/A</v>
      </c>
      <c r="O378" s="3235" t="e">
        <f>INT(E378*N378)</f>
        <v>#N/A</v>
      </c>
      <c r="P378" s="3271"/>
      <c r="Q378" s="3306" t="s">
        <v>139</v>
      </c>
      <c r="R378" s="2418">
        <f>IF(ISERROR(INT(O378*P378)),0,INT(O378*P378))</f>
        <v>0</v>
      </c>
      <c r="S378" s="2420"/>
      <c r="T378" s="2200"/>
      <c r="U378" s="950" t="b">
        <f>U$377</f>
        <v>0</v>
      </c>
    </row>
    <row r="379" spans="2:21" ht="13.5" customHeight="1">
      <c r="B379" s="3367"/>
      <c r="C379" s="2885"/>
      <c r="D379" s="3398"/>
      <c r="E379" s="2421"/>
      <c r="F379" s="2423"/>
      <c r="G379" s="3082"/>
      <c r="H379" s="307" t="e">
        <f>HLOOKUP(H378,I378:M379,2,0)</f>
        <v>#N/A</v>
      </c>
      <c r="I379" s="308" t="e">
        <f>VLOOKUP($L$10,レンジフード,4,0)</f>
        <v>#N/A</v>
      </c>
      <c r="J379" s="316" t="e">
        <f>VLOOKUP($L$10,レンジフード,6,0)</f>
        <v>#N/A</v>
      </c>
      <c r="K379" s="309" t="e">
        <f>VLOOKUP($L$10,レンジフード,8,0)</f>
        <v>#N/A</v>
      </c>
      <c r="L379" s="44"/>
      <c r="M379" s="69"/>
      <c r="N379" s="3240"/>
      <c r="O379" s="3237"/>
      <c r="P379" s="3290"/>
      <c r="Q379" s="3309"/>
      <c r="R379" s="2421"/>
      <c r="S379" s="2423"/>
      <c r="T379" s="2200"/>
      <c r="U379" s="950" t="b">
        <f>U$377</f>
        <v>0</v>
      </c>
    </row>
    <row r="380" spans="2:21" ht="13.5" customHeight="1">
      <c r="B380" s="3367"/>
      <c r="C380" s="2885"/>
      <c r="D380" s="3393" t="s">
        <v>1141</v>
      </c>
      <c r="E380" s="3243" t="s">
        <v>111</v>
      </c>
      <c r="F380" s="3244"/>
      <c r="G380" s="1549" t="s">
        <v>112</v>
      </c>
      <c r="H380" s="1547"/>
      <c r="I380" s="1547"/>
      <c r="J380" s="1547"/>
      <c r="K380" s="1547"/>
      <c r="L380" s="1547"/>
      <c r="M380" s="1548"/>
      <c r="N380" s="1556" t="s">
        <v>458</v>
      </c>
      <c r="O380" s="1556" t="s">
        <v>113</v>
      </c>
      <c r="P380" s="1842" t="s">
        <v>114</v>
      </c>
      <c r="Q380" s="1843" t="s">
        <v>1142</v>
      </c>
      <c r="R380" s="2498" t="s">
        <v>686</v>
      </c>
      <c r="S380" s="3082"/>
      <c r="T380" s="2200"/>
      <c r="U380" s="4" t="b">
        <f>P381&lt;&gt;0</f>
        <v>0</v>
      </c>
    </row>
    <row r="381" spans="2:21" ht="13.5" customHeight="1">
      <c r="B381" s="3367"/>
      <c r="C381" s="2885"/>
      <c r="D381" s="2982"/>
      <c r="E381" s="2418" t="e">
        <f>VLOOKUP($L$10,一般機械排煙,2,0)</f>
        <v>#N/A</v>
      </c>
      <c r="F381" s="2420"/>
      <c r="G381" s="2498" t="s">
        <v>689</v>
      </c>
      <c r="H381" s="1522" t="s">
        <v>1282</v>
      </c>
      <c r="I381" s="391"/>
      <c r="J381" s="591"/>
      <c r="K381" s="591"/>
      <c r="L381" s="179"/>
      <c r="M381" s="531"/>
      <c r="N381" s="3238">
        <f>H382</f>
        <v>1</v>
      </c>
      <c r="O381" s="3235" t="e">
        <f>INT(E381*N381)</f>
        <v>#N/A</v>
      </c>
      <c r="P381" s="3271"/>
      <c r="Q381" s="3306" t="s">
        <v>198</v>
      </c>
      <c r="R381" s="2418">
        <f>IF(ISERROR(INT(O381*P381)),0,INT(O381*P381))</f>
        <v>0</v>
      </c>
      <c r="S381" s="2420"/>
      <c r="T381" s="2200"/>
      <c r="U381" s="4" t="b">
        <f>U$380</f>
        <v>0</v>
      </c>
    </row>
    <row r="382" spans="2:21" ht="13.5" customHeight="1">
      <c r="B382" s="3367"/>
      <c r="C382" s="2885"/>
      <c r="D382" s="2985"/>
      <c r="E382" s="2421"/>
      <c r="F382" s="2423"/>
      <c r="G382" s="3082"/>
      <c r="H382" s="307">
        <v>1</v>
      </c>
      <c r="I382" s="310"/>
      <c r="J382" s="329"/>
      <c r="K382" s="329"/>
      <c r="L382" s="44"/>
      <c r="M382" s="69"/>
      <c r="N382" s="3240"/>
      <c r="O382" s="3237"/>
      <c r="P382" s="3290"/>
      <c r="Q382" s="3309"/>
      <c r="R382" s="2421"/>
      <c r="S382" s="2423"/>
      <c r="T382" s="2200"/>
      <c r="U382" s="4" t="b">
        <f>U$380</f>
        <v>0</v>
      </c>
    </row>
    <row r="383" spans="2:21" ht="13.5" customHeight="1">
      <c r="B383" s="3367"/>
      <c r="C383" s="2885"/>
      <c r="D383" s="1844"/>
      <c r="E383" s="3243" t="s">
        <v>111</v>
      </c>
      <c r="F383" s="3244"/>
      <c r="G383" s="1549" t="s">
        <v>112</v>
      </c>
      <c r="H383" s="1547"/>
      <c r="I383" s="1547"/>
      <c r="J383" s="1547"/>
      <c r="K383" s="1547"/>
      <c r="L383" s="1547"/>
      <c r="M383" s="1548"/>
      <c r="N383" s="1556" t="s">
        <v>458</v>
      </c>
      <c r="O383" s="1556" t="s">
        <v>113</v>
      </c>
      <c r="P383" s="1842" t="s">
        <v>114</v>
      </c>
      <c r="Q383" s="1843" t="s">
        <v>1142</v>
      </c>
      <c r="R383" s="2498" t="s">
        <v>686</v>
      </c>
      <c r="S383" s="3082"/>
      <c r="T383" s="2200"/>
      <c r="U383" s="4" t="b">
        <f>P384&lt;&gt;0</f>
        <v>0</v>
      </c>
    </row>
    <row r="384" spans="2:21" ht="13.5" customHeight="1">
      <c r="B384" s="3367"/>
      <c r="C384" s="2885"/>
      <c r="D384" s="2981" t="s">
        <v>199</v>
      </c>
      <c r="E384" s="2418" t="e">
        <f>VLOOKUP($L$10,附室排煙,2,0)</f>
        <v>#N/A</v>
      </c>
      <c r="F384" s="2420"/>
      <c r="G384" s="2498" t="s">
        <v>689</v>
      </c>
      <c r="H384" s="1522" t="s">
        <v>1282</v>
      </c>
      <c r="I384" s="391"/>
      <c r="J384" s="591"/>
      <c r="K384" s="591"/>
      <c r="L384" s="179"/>
      <c r="M384" s="531"/>
      <c r="N384" s="3238">
        <f>H385</f>
        <v>1</v>
      </c>
      <c r="O384" s="3235" t="e">
        <f>INT(E384*N384)</f>
        <v>#N/A</v>
      </c>
      <c r="P384" s="3271"/>
      <c r="Q384" s="3306" t="s">
        <v>198</v>
      </c>
      <c r="R384" s="2418">
        <f>IF(ISERROR(INT(O384*P384)),0,INT(O384*P384))</f>
        <v>0</v>
      </c>
      <c r="S384" s="2420"/>
      <c r="T384" s="2200"/>
      <c r="U384" s="4" t="b">
        <f>U$383</f>
        <v>0</v>
      </c>
    </row>
    <row r="385" spans="2:21" ht="13.5" customHeight="1">
      <c r="B385" s="3367"/>
      <c r="C385" s="2885"/>
      <c r="D385" s="2985"/>
      <c r="E385" s="2421"/>
      <c r="F385" s="2423"/>
      <c r="G385" s="3082"/>
      <c r="H385" s="307">
        <v>1</v>
      </c>
      <c r="I385" s="310"/>
      <c r="J385" s="329"/>
      <c r="K385" s="329"/>
      <c r="L385" s="44"/>
      <c r="M385" s="69"/>
      <c r="N385" s="3240"/>
      <c r="O385" s="3237"/>
      <c r="P385" s="3290"/>
      <c r="Q385" s="3309"/>
      <c r="R385" s="2421"/>
      <c r="S385" s="2423"/>
      <c r="T385" s="2200"/>
      <c r="U385" s="4" t="b">
        <f>U$383</f>
        <v>0</v>
      </c>
    </row>
    <row r="386" spans="2:21" ht="13.5" customHeight="1">
      <c r="B386" s="3367"/>
      <c r="C386" s="2885"/>
      <c r="D386" s="1855"/>
      <c r="E386" s="3243" t="s">
        <v>111</v>
      </c>
      <c r="F386" s="3244"/>
      <c r="G386" s="1549" t="s">
        <v>112</v>
      </c>
      <c r="H386" s="1547"/>
      <c r="I386" s="1547"/>
      <c r="J386" s="1547"/>
      <c r="K386" s="1547"/>
      <c r="L386" s="1547"/>
      <c r="M386" s="1548"/>
      <c r="N386" s="1556" t="s">
        <v>458</v>
      </c>
      <c r="O386" s="1556" t="s">
        <v>113</v>
      </c>
      <c r="P386" s="1842" t="s">
        <v>114</v>
      </c>
      <c r="Q386" s="1843" t="s">
        <v>138</v>
      </c>
      <c r="R386" s="2498" t="s">
        <v>686</v>
      </c>
      <c r="S386" s="3082"/>
      <c r="T386" s="2200"/>
      <c r="U386" s="4" t="b">
        <f>COUNTA(H387,H389,L387,P387)&lt;&gt;0</f>
        <v>0</v>
      </c>
    </row>
    <row r="387" spans="2:21" ht="13.5" customHeight="1">
      <c r="B387" s="3367"/>
      <c r="C387" s="2885"/>
      <c r="D387" s="3395" t="s">
        <v>200</v>
      </c>
      <c r="E387" s="2418" t="e">
        <f>VLOOKUP($L$10,ベンチレーター,2,0)</f>
        <v>#N/A</v>
      </c>
      <c r="F387" s="2420"/>
      <c r="G387" s="2498" t="s">
        <v>201</v>
      </c>
      <c r="H387" s="2068"/>
      <c r="I387" s="358" t="e">
        <f>VLOOKUP($L$10,ベンチレーター,3,0)</f>
        <v>#N/A</v>
      </c>
      <c r="J387" s="359" t="e">
        <f>VLOOKUP($L$10,ベンチレーター,5,0)</f>
        <v>#N/A</v>
      </c>
      <c r="K387" s="361" t="e">
        <f>VLOOKUP($L$10,ベンチレーター,7,0)</f>
        <v>#N/A</v>
      </c>
      <c r="L387" s="591"/>
      <c r="M387" s="531"/>
      <c r="N387" s="3238" t="e">
        <f>ROUNDDOWN(H388*H390,2)</f>
        <v>#N/A</v>
      </c>
      <c r="O387" s="3235" t="e">
        <f>INT(E387*N387)</f>
        <v>#N/A</v>
      </c>
      <c r="P387" s="3271"/>
      <c r="Q387" s="3306" t="s">
        <v>139</v>
      </c>
      <c r="R387" s="2418">
        <f>IF(ISERROR(INT(O387*P387)),0,INT(O387*P387))</f>
        <v>0</v>
      </c>
      <c r="S387" s="2420"/>
      <c r="T387" s="2200"/>
      <c r="U387" s="4" t="b">
        <f>U$386</f>
        <v>0</v>
      </c>
    </row>
    <row r="388" spans="2:21" ht="13.5" customHeight="1">
      <c r="B388" s="3367"/>
      <c r="C388" s="2885"/>
      <c r="D388" s="3396"/>
      <c r="E388" s="2448"/>
      <c r="F388" s="2450"/>
      <c r="G388" s="3082"/>
      <c r="H388" s="309" t="e">
        <f>ROUNDDOWN($J388+(H387^2-$J387^2)*IF(H387&gt;$J387,($J388-$I388)/($J387^2-$I387^2),($J388-$K388)/($J387^2-$K387^2)),2)</f>
        <v>#N/A</v>
      </c>
      <c r="I388" s="308" t="e">
        <f>VLOOKUP($L$10,ベンチレーター,4,0)</f>
        <v>#N/A</v>
      </c>
      <c r="J388" s="316" t="e">
        <f>VLOOKUP($L$10,ベンチレーター,6,0)</f>
        <v>#N/A</v>
      </c>
      <c r="K388" s="309" t="e">
        <f>VLOOKUP($L$10,ベンチレーター,8,0)</f>
        <v>#N/A</v>
      </c>
      <c r="L388" s="311"/>
      <c r="M388" s="10"/>
      <c r="N388" s="3239"/>
      <c r="O388" s="3236"/>
      <c r="P388" s="3272"/>
      <c r="Q388" s="2461"/>
      <c r="R388" s="2448"/>
      <c r="S388" s="2450"/>
      <c r="T388" s="2200"/>
      <c r="U388" s="4" t="b">
        <f>U$386</f>
        <v>0</v>
      </c>
    </row>
    <row r="389" spans="2:21" ht="13.5" customHeight="1">
      <c r="B389" s="3367"/>
      <c r="C389" s="2885"/>
      <c r="D389" s="3396"/>
      <c r="E389" s="2448"/>
      <c r="F389" s="2450"/>
      <c r="G389" s="3081" t="s">
        <v>202</v>
      </c>
      <c r="H389" s="312"/>
      <c r="I389" s="313" t="e">
        <f>VLOOKUP($L$10,ベンチレーター,9,0)</f>
        <v>#N/A</v>
      </c>
      <c r="J389" s="315" t="e">
        <f>VLOOKUP($L$10,ベンチレーター,11,0)</f>
        <v>#N/A</v>
      </c>
      <c r="K389" s="9"/>
      <c r="L389" s="9"/>
      <c r="M389" s="10"/>
      <c r="N389" s="3239"/>
      <c r="O389" s="3236"/>
      <c r="P389" s="3272"/>
      <c r="Q389" s="2461"/>
      <c r="R389" s="2448"/>
      <c r="S389" s="2450"/>
      <c r="T389" s="2200"/>
      <c r="U389" s="4" t="b">
        <f>U$386</f>
        <v>0</v>
      </c>
    </row>
    <row r="390" spans="2:21" ht="13.5" customHeight="1">
      <c r="B390" s="3392"/>
      <c r="C390" s="3371"/>
      <c r="D390" s="3397"/>
      <c r="E390" s="2421"/>
      <c r="F390" s="2423"/>
      <c r="G390" s="3082"/>
      <c r="H390" s="307" t="e">
        <f>HLOOKUP(H389,I389:M390,2,0)</f>
        <v>#N/A</v>
      </c>
      <c r="I390" s="308" t="e">
        <f>VLOOKUP($L$10,ベンチレーター,10,0)</f>
        <v>#N/A</v>
      </c>
      <c r="J390" s="309" t="e">
        <f>VLOOKUP($L$10,ベンチレーター,12,0)</f>
        <v>#N/A</v>
      </c>
      <c r="K390" s="44"/>
      <c r="L390" s="44"/>
      <c r="M390" s="44"/>
      <c r="N390" s="3240"/>
      <c r="O390" s="3237"/>
      <c r="P390" s="3290"/>
      <c r="Q390" s="2516"/>
      <c r="R390" s="2421"/>
      <c r="S390" s="2423"/>
      <c r="T390" s="2200"/>
      <c r="U390" s="4" t="b">
        <f>U$386</f>
        <v>0</v>
      </c>
    </row>
    <row r="391" spans="2:21" ht="13.5" customHeight="1">
      <c r="B391" s="1833"/>
      <c r="C391" s="1845"/>
      <c r="D391" s="1846"/>
      <c r="E391" s="3243" t="s">
        <v>111</v>
      </c>
      <c r="F391" s="3244"/>
      <c r="G391" s="1549" t="s">
        <v>112</v>
      </c>
      <c r="H391" s="1547"/>
      <c r="I391" s="1547"/>
      <c r="J391" s="1547"/>
      <c r="K391" s="1547"/>
      <c r="L391" s="1547"/>
      <c r="M391" s="1548"/>
      <c r="N391" s="1556" t="s">
        <v>458</v>
      </c>
      <c r="O391" s="1556" t="s">
        <v>113</v>
      </c>
      <c r="P391" s="1842" t="s">
        <v>114</v>
      </c>
      <c r="Q391" s="1843" t="s">
        <v>121</v>
      </c>
      <c r="R391" s="2498" t="s">
        <v>686</v>
      </c>
      <c r="S391" s="3082"/>
      <c r="T391" s="2200"/>
      <c r="U391" s="4" t="b">
        <f>COUNTA(H392,H394,H396)&lt;&gt;0</f>
        <v>0</v>
      </c>
    </row>
    <row r="392" spans="2:21" ht="13.5" customHeight="1">
      <c r="B392" s="3394" t="s">
        <v>1291</v>
      </c>
      <c r="C392" s="2443" t="s">
        <v>203</v>
      </c>
      <c r="D392" s="2444"/>
      <c r="E392" s="2448" t="e">
        <f>VLOOKUP($L$10,火災報知,2,0)</f>
        <v>#N/A</v>
      </c>
      <c r="F392" s="2450"/>
      <c r="G392" s="3274" t="s">
        <v>205</v>
      </c>
      <c r="H392" s="312"/>
      <c r="I392" s="313" t="e">
        <f>VLOOKUP($L$10,火災報知,3,0)</f>
        <v>#N/A</v>
      </c>
      <c r="J392" s="314" t="e">
        <f>VLOOKUP($L$10,火災報知,5,0)</f>
        <v>#N/A</v>
      </c>
      <c r="K392" s="315" t="e">
        <f>VLOOKUP($L$10,火災報知,7,0)</f>
        <v>#N/A</v>
      </c>
      <c r="L392" s="9"/>
      <c r="M392" s="9"/>
      <c r="N392" s="3238" t="e">
        <f>ROUNDDOWN(H393*H395*H397*H399,2)</f>
        <v>#N/A</v>
      </c>
      <c r="O392" s="3235" t="e">
        <f>INT(E392*N392)</f>
        <v>#N/A</v>
      </c>
      <c r="P392" s="2513">
        <f>+床・天井!M91</f>
        <v>0</v>
      </c>
      <c r="Q392" s="3306" t="s">
        <v>204</v>
      </c>
      <c r="R392" s="2418">
        <f>IF(ISERROR(INT(O392*P392)),0,INT(O392*P392))</f>
        <v>0</v>
      </c>
      <c r="S392" s="2420"/>
      <c r="T392" s="2200"/>
      <c r="U392" s="4" t="b">
        <f t="shared" ref="U392:U399" si="44">U$391</f>
        <v>0</v>
      </c>
    </row>
    <row r="393" spans="2:21" ht="13.5" customHeight="1">
      <c r="B393" s="2841"/>
      <c r="C393" s="2445"/>
      <c r="D393" s="2444"/>
      <c r="E393" s="2448"/>
      <c r="F393" s="2450"/>
      <c r="G393" s="3275"/>
      <c r="H393" s="307" t="e">
        <f>HLOOKUP(H392,I392:M393,2,0)</f>
        <v>#N/A</v>
      </c>
      <c r="I393" s="308" t="e">
        <f>VLOOKUP($L$10,火災報知,4,0)</f>
        <v>#N/A</v>
      </c>
      <c r="J393" s="316" t="e">
        <f>VLOOKUP($L$10,火災報知,6,0)</f>
        <v>#N/A</v>
      </c>
      <c r="K393" s="309" t="e">
        <f>VLOOKUP($L$10,火災報知,8,0)</f>
        <v>#N/A</v>
      </c>
      <c r="L393" s="9"/>
      <c r="M393" s="9"/>
      <c r="N393" s="3239"/>
      <c r="O393" s="3236"/>
      <c r="P393" s="2459"/>
      <c r="Q393" s="3322"/>
      <c r="R393" s="2448"/>
      <c r="S393" s="2450"/>
      <c r="T393" s="2200"/>
      <c r="U393" s="4" t="b">
        <f t="shared" si="44"/>
        <v>0</v>
      </c>
    </row>
    <row r="394" spans="2:21" ht="13.5" customHeight="1">
      <c r="B394" s="2841"/>
      <c r="C394" s="2445"/>
      <c r="D394" s="2444"/>
      <c r="E394" s="2448"/>
      <c r="F394" s="2450"/>
      <c r="G394" s="3274" t="s">
        <v>206</v>
      </c>
      <c r="H394" s="312"/>
      <c r="I394" s="313" t="e">
        <f>VLOOKUP($L$10,火災報知,15,0)</f>
        <v>#N/A</v>
      </c>
      <c r="J394" s="314" t="e">
        <f>VLOOKUP($L$10,火災報知,17,0)</f>
        <v>#N/A</v>
      </c>
      <c r="K394" s="315" t="e">
        <f>VLOOKUP($L$10,火災報知,19,0)</f>
        <v>#N/A</v>
      </c>
      <c r="L394" s="9"/>
      <c r="M394" s="9"/>
      <c r="N394" s="3239"/>
      <c r="O394" s="3236"/>
      <c r="P394" s="2459"/>
      <c r="Q394" s="3322"/>
      <c r="R394" s="2448"/>
      <c r="S394" s="2450"/>
      <c r="T394" s="2200"/>
      <c r="U394" s="4" t="b">
        <f t="shared" si="44"/>
        <v>0</v>
      </c>
    </row>
    <row r="395" spans="2:21" ht="13.5" customHeight="1">
      <c r="B395" s="2841"/>
      <c r="C395" s="2445"/>
      <c r="D395" s="2444"/>
      <c r="E395" s="2448"/>
      <c r="F395" s="2450"/>
      <c r="G395" s="3275"/>
      <c r="H395" s="307" t="e">
        <f>HLOOKUP(H394,I394:M395,2,0)</f>
        <v>#N/A</v>
      </c>
      <c r="I395" s="308" t="e">
        <f>VLOOKUP($L$10,火災報知,16,0)</f>
        <v>#N/A</v>
      </c>
      <c r="J395" s="316" t="e">
        <f>VLOOKUP($L$10,火災報知,18,0)</f>
        <v>#N/A</v>
      </c>
      <c r="K395" s="309" t="e">
        <f>VLOOKUP($L$10,火災報知,20,0)</f>
        <v>#N/A</v>
      </c>
      <c r="L395" s="9"/>
      <c r="M395" s="9"/>
      <c r="N395" s="3239"/>
      <c r="O395" s="3236"/>
      <c r="P395" s="2459"/>
      <c r="Q395" s="3322"/>
      <c r="R395" s="2448"/>
      <c r="S395" s="2450"/>
      <c r="T395" s="2200"/>
      <c r="U395" s="4" t="b">
        <f t="shared" si="44"/>
        <v>0</v>
      </c>
    </row>
    <row r="396" spans="2:21" ht="13.5" customHeight="1">
      <c r="B396" s="2841"/>
      <c r="C396" s="2445"/>
      <c r="D396" s="2444"/>
      <c r="E396" s="2448"/>
      <c r="F396" s="2450"/>
      <c r="G396" s="3274" t="s">
        <v>689</v>
      </c>
      <c r="H396" s="312"/>
      <c r="I396" s="313" t="e">
        <f>VLOOKUP($L$10,火災報知,21,0)</f>
        <v>#N/A</v>
      </c>
      <c r="J396" s="314" t="e">
        <f>VLOOKUP($L$10,火災報知,23,0)</f>
        <v>#N/A</v>
      </c>
      <c r="K396" s="315" t="e">
        <f>VLOOKUP($L$10,火災報知,25,0)</f>
        <v>#N/A</v>
      </c>
      <c r="L396" s="9"/>
      <c r="M396" s="9"/>
      <c r="N396" s="3239"/>
      <c r="O396" s="3236"/>
      <c r="P396" s="2459"/>
      <c r="Q396" s="3322"/>
      <c r="R396" s="2448"/>
      <c r="S396" s="2450"/>
      <c r="T396" s="2200"/>
      <c r="U396" s="4" t="b">
        <f t="shared" si="44"/>
        <v>0</v>
      </c>
    </row>
    <row r="397" spans="2:21" ht="13.5" customHeight="1">
      <c r="B397" s="2841"/>
      <c r="C397" s="2445"/>
      <c r="D397" s="2444"/>
      <c r="E397" s="2448"/>
      <c r="F397" s="2450"/>
      <c r="G397" s="3275"/>
      <c r="H397" s="307" t="e">
        <f>HLOOKUP(H396,I396:M397,2,0)</f>
        <v>#N/A</v>
      </c>
      <c r="I397" s="308" t="e">
        <f>VLOOKUP($L$10,火災報知,22,0)</f>
        <v>#N/A</v>
      </c>
      <c r="J397" s="316" t="e">
        <f>VLOOKUP($L$10,火災報知,24,0)</f>
        <v>#N/A</v>
      </c>
      <c r="K397" s="309" t="e">
        <f>VLOOKUP($L$10,火災報知,26,0)</f>
        <v>#N/A</v>
      </c>
      <c r="L397" s="9"/>
      <c r="M397" s="9"/>
      <c r="N397" s="3239"/>
      <c r="O397" s="3236"/>
      <c r="P397" s="2459"/>
      <c r="Q397" s="3322"/>
      <c r="R397" s="2448"/>
      <c r="S397" s="2450"/>
      <c r="T397" s="2200"/>
      <c r="U397" s="4" t="b">
        <f t="shared" si="44"/>
        <v>0</v>
      </c>
    </row>
    <row r="398" spans="2:21" ht="13.5" customHeight="1">
      <c r="B398" s="2841"/>
      <c r="C398" s="2445"/>
      <c r="D398" s="2444"/>
      <c r="E398" s="2448"/>
      <c r="F398" s="2450"/>
      <c r="G398" s="3274" t="s">
        <v>667</v>
      </c>
      <c r="H398" s="325">
        <f>$P$10</f>
        <v>0</v>
      </c>
      <c r="I398" s="326" t="e">
        <f>VLOOKUP($L$10,火災報知,27,0)</f>
        <v>#N/A</v>
      </c>
      <c r="J398" s="327" t="e">
        <f>VLOOKUP($L$10,火災報知,29,0)</f>
        <v>#N/A</v>
      </c>
      <c r="K398" s="328" t="e">
        <f>VLOOKUP($L$10,火災報知,31,0)</f>
        <v>#N/A</v>
      </c>
      <c r="L398" s="9"/>
      <c r="M398" s="9"/>
      <c r="N398" s="3239"/>
      <c r="O398" s="3236"/>
      <c r="P398" s="2459"/>
      <c r="Q398" s="3322"/>
      <c r="R398" s="2448"/>
      <c r="S398" s="2450"/>
      <c r="T398" s="2200"/>
      <c r="U398" s="4" t="b">
        <f t="shared" si="44"/>
        <v>0</v>
      </c>
    </row>
    <row r="399" spans="2:21" ht="13.5" customHeight="1">
      <c r="B399" s="2841"/>
      <c r="C399" s="2446"/>
      <c r="D399" s="2447"/>
      <c r="E399" s="2421"/>
      <c r="F399" s="2423"/>
      <c r="G399" s="3275"/>
      <c r="H399" s="307" t="e">
        <f>MIN(I399,MAX(K399,ROUNDDOWN(J399+(H398-J398)*IF(H398&lt;J398,(I399-J399)/(I398-J398),(K399-J399)/(K398-J398)),2)))</f>
        <v>#N/A</v>
      </c>
      <c r="I399" s="308" t="e">
        <f>VLOOKUP($L$10,火災報知,28,0)</f>
        <v>#N/A</v>
      </c>
      <c r="J399" s="316" t="e">
        <f>VLOOKUP($L$10,火災報知,30,0)</f>
        <v>#N/A</v>
      </c>
      <c r="K399" s="309" t="e">
        <f>VLOOKUP($L$10,火災報知,32,0)</f>
        <v>#N/A</v>
      </c>
      <c r="L399" s="44"/>
      <c r="M399" s="44"/>
      <c r="N399" s="3240"/>
      <c r="O399" s="3237"/>
      <c r="P399" s="2470"/>
      <c r="Q399" s="3309"/>
      <c r="R399" s="2421"/>
      <c r="S399" s="2423"/>
      <c r="T399" s="2200"/>
      <c r="U399" s="4" t="b">
        <f t="shared" si="44"/>
        <v>0</v>
      </c>
    </row>
    <row r="400" spans="2:21" ht="13.5" customHeight="1">
      <c r="B400" s="2841"/>
      <c r="C400" s="1851"/>
      <c r="D400" s="1851"/>
      <c r="E400" s="3243" t="s">
        <v>111</v>
      </c>
      <c r="F400" s="3244"/>
      <c r="G400" s="1549" t="s">
        <v>112</v>
      </c>
      <c r="H400" s="1547"/>
      <c r="I400" s="1547"/>
      <c r="J400" s="1547"/>
      <c r="K400" s="1547"/>
      <c r="L400" s="1547"/>
      <c r="M400" s="1548"/>
      <c r="N400" s="1556" t="s">
        <v>458</v>
      </c>
      <c r="O400" s="1556" t="s">
        <v>113</v>
      </c>
      <c r="P400" s="1842" t="s">
        <v>114</v>
      </c>
      <c r="Q400" s="1843" t="s">
        <v>207</v>
      </c>
      <c r="R400" s="2498" t="s">
        <v>686</v>
      </c>
      <c r="S400" s="3082"/>
      <c r="T400" s="2200"/>
      <c r="U400" s="4" t="b">
        <f>COUNTA(H401,H403,L403,P401)&lt;&gt;0</f>
        <v>0</v>
      </c>
    </row>
    <row r="401" spans="2:21" ht="13.5" customHeight="1">
      <c r="B401" s="2841"/>
      <c r="C401" s="2840" t="s">
        <v>208</v>
      </c>
      <c r="D401" s="2981" t="s">
        <v>209</v>
      </c>
      <c r="E401" s="2418" t="e">
        <f>VLOOKUP($L$10,避雷突針,2,0)</f>
        <v>#N/A</v>
      </c>
      <c r="F401" s="2420"/>
      <c r="G401" s="3327" t="s">
        <v>210</v>
      </c>
      <c r="H401" s="312"/>
      <c r="I401" s="313" t="e">
        <f>VLOOKUP($L$10,避雷突針,5,0)</f>
        <v>#N/A</v>
      </c>
      <c r="J401" s="315" t="e">
        <f>VLOOKUP($L$10,避雷突針,7,0)</f>
        <v>#N/A</v>
      </c>
      <c r="K401" s="9"/>
      <c r="L401" s="9"/>
      <c r="M401" s="179"/>
      <c r="N401" s="3238" t="e">
        <f>ROUNDDOWN(H402*H404,2)</f>
        <v>#N/A</v>
      </c>
      <c r="O401" s="3235" t="e">
        <f>INT(E401*N401)</f>
        <v>#N/A</v>
      </c>
      <c r="P401" s="3271"/>
      <c r="Q401" s="3306" t="s">
        <v>211</v>
      </c>
      <c r="R401" s="2418">
        <f>IF(ISERROR(INT(O401*P401)),0,INT(O401*P401))</f>
        <v>0</v>
      </c>
      <c r="S401" s="2420"/>
      <c r="T401" s="2200"/>
      <c r="U401" s="4" t="b">
        <f>U$400</f>
        <v>0</v>
      </c>
    </row>
    <row r="402" spans="2:21" ht="13.5" customHeight="1">
      <c r="B402" s="2841"/>
      <c r="C402" s="2885"/>
      <c r="D402" s="2982"/>
      <c r="E402" s="2448"/>
      <c r="F402" s="2450"/>
      <c r="G402" s="3275"/>
      <c r="H402" s="307" t="e">
        <f>HLOOKUP(H401,I401:M402,2,0)</f>
        <v>#N/A</v>
      </c>
      <c r="I402" s="308" t="e">
        <f>VLOOKUP($L$10,避雷突針,6,0)</f>
        <v>#N/A</v>
      </c>
      <c r="J402" s="309" t="e">
        <f>VLOOKUP($L$10,避雷突針,8,0)</f>
        <v>#N/A</v>
      </c>
      <c r="K402" s="9"/>
      <c r="L402" s="9"/>
      <c r="M402" s="9"/>
      <c r="N402" s="3239"/>
      <c r="O402" s="3236"/>
      <c r="P402" s="3272"/>
      <c r="Q402" s="3322"/>
      <c r="R402" s="2448"/>
      <c r="S402" s="2450"/>
      <c r="T402" s="2200"/>
      <c r="U402" s="4" t="b">
        <f>U$400</f>
        <v>0</v>
      </c>
    </row>
    <row r="403" spans="2:21" ht="13.5" customHeight="1">
      <c r="B403" s="2841"/>
      <c r="C403" s="2885"/>
      <c r="D403" s="2982"/>
      <c r="E403" s="2448"/>
      <c r="F403" s="2450"/>
      <c r="G403" s="3274" t="s">
        <v>212</v>
      </c>
      <c r="H403" s="2069"/>
      <c r="I403" s="395" t="e">
        <f>VLOOKUP($L$10,避雷突針,9,0)</f>
        <v>#N/A</v>
      </c>
      <c r="J403" s="396" t="e">
        <f>VLOOKUP($L$10,避雷突針,11,0)</f>
        <v>#N/A</v>
      </c>
      <c r="K403" s="592" t="e">
        <f>VLOOKUP($L$10,避雷突針,13,0)</f>
        <v>#N/A</v>
      </c>
      <c r="L403" s="593"/>
      <c r="M403" s="9"/>
      <c r="N403" s="3239"/>
      <c r="O403" s="3236"/>
      <c r="P403" s="3272"/>
      <c r="Q403" s="3322"/>
      <c r="R403" s="2448"/>
      <c r="S403" s="2450"/>
      <c r="T403" s="2200"/>
      <c r="U403" s="4" t="b">
        <f>U$400</f>
        <v>0</v>
      </c>
    </row>
    <row r="404" spans="2:21" ht="13.5" customHeight="1">
      <c r="B404" s="2841"/>
      <c r="C404" s="2885"/>
      <c r="D404" s="2985"/>
      <c r="E404" s="2421"/>
      <c r="F404" s="2423"/>
      <c r="G404" s="3275"/>
      <c r="H404" s="309" t="e">
        <f>ROUNDDOWN($J404+(H403-$J403)*IF(H403&gt;$J403,($I404-$J404)/($I403-$J403),($K404-$J404)/($K403-$J403)),2)</f>
        <v>#N/A</v>
      </c>
      <c r="I404" s="308" t="e">
        <f>VLOOKUP($L$10,避雷突針,10,0)</f>
        <v>#N/A</v>
      </c>
      <c r="J404" s="316" t="e">
        <f>VLOOKUP($L$10,避雷突針,12,0)</f>
        <v>#N/A</v>
      </c>
      <c r="K404" s="324" t="e">
        <f>VLOOKUP($L$10,避雷突針,14,0)</f>
        <v>#N/A</v>
      </c>
      <c r="L404" s="310"/>
      <c r="M404" s="44"/>
      <c r="N404" s="3240"/>
      <c r="O404" s="3237"/>
      <c r="P404" s="3290"/>
      <c r="Q404" s="3309"/>
      <c r="R404" s="2421"/>
      <c r="S404" s="2423"/>
      <c r="T404" s="2200"/>
      <c r="U404" s="4" t="b">
        <f>U$400</f>
        <v>0</v>
      </c>
    </row>
    <row r="405" spans="2:21" ht="13.5" customHeight="1">
      <c r="B405" s="2841"/>
      <c r="C405" s="2885"/>
      <c r="D405" s="1844"/>
      <c r="E405" s="3243" t="s">
        <v>111</v>
      </c>
      <c r="F405" s="3244"/>
      <c r="G405" s="1549" t="s">
        <v>112</v>
      </c>
      <c r="H405" s="1547"/>
      <c r="I405" s="1547"/>
      <c r="J405" s="1547"/>
      <c r="K405" s="1547"/>
      <c r="L405" s="1547"/>
      <c r="M405" s="1548"/>
      <c r="N405" s="1556" t="s">
        <v>458</v>
      </c>
      <c r="O405" s="1556" t="s">
        <v>113</v>
      </c>
      <c r="P405" s="1842" t="s">
        <v>114</v>
      </c>
      <c r="Q405" s="1843" t="s">
        <v>213</v>
      </c>
      <c r="R405" s="2498" t="s">
        <v>686</v>
      </c>
      <c r="S405" s="3082"/>
      <c r="T405" s="2200"/>
      <c r="U405" s="4" t="b">
        <f>P406&lt;&gt;0</f>
        <v>0</v>
      </c>
    </row>
    <row r="406" spans="2:21" ht="13.5" customHeight="1">
      <c r="B406" s="2841"/>
      <c r="C406" s="2885"/>
      <c r="D406" s="2981" t="s">
        <v>214</v>
      </c>
      <c r="E406" s="2418" t="e">
        <f>VLOOKUP($L$10,避雷導体,2,0)</f>
        <v>#N/A</v>
      </c>
      <c r="F406" s="2420"/>
      <c r="G406" s="9"/>
      <c r="H406" s="9"/>
      <c r="I406" s="9"/>
      <c r="J406" s="9"/>
      <c r="K406" s="9"/>
      <c r="L406" s="9"/>
      <c r="M406" s="179"/>
      <c r="N406" s="3238">
        <v>1</v>
      </c>
      <c r="O406" s="3235" t="e">
        <f>INT(E406*N406)</f>
        <v>#N/A</v>
      </c>
      <c r="P406" s="3310"/>
      <c r="Q406" s="3306" t="s">
        <v>128</v>
      </c>
      <c r="R406" s="2418">
        <f>IF(ISERROR(INT(O406*P406)),0,INT(O406*P406))</f>
        <v>0</v>
      </c>
      <c r="S406" s="2420"/>
      <c r="T406" s="2200"/>
      <c r="U406" s="4" t="b">
        <f>U$405</f>
        <v>0</v>
      </c>
    </row>
    <row r="407" spans="2:21" ht="13.5" customHeight="1">
      <c r="B407" s="2841"/>
      <c r="C407" s="2885"/>
      <c r="D407" s="2985"/>
      <c r="E407" s="2421"/>
      <c r="F407" s="2423"/>
      <c r="G407" s="44"/>
      <c r="H407" s="44"/>
      <c r="I407" s="44"/>
      <c r="J407" s="44"/>
      <c r="K407" s="44"/>
      <c r="L407" s="44"/>
      <c r="M407" s="44"/>
      <c r="N407" s="3240"/>
      <c r="O407" s="3237"/>
      <c r="P407" s="3311"/>
      <c r="Q407" s="3309"/>
      <c r="R407" s="2421"/>
      <c r="S407" s="2423"/>
      <c r="T407" s="2200"/>
      <c r="U407" s="4" t="b">
        <f>U$405</f>
        <v>0</v>
      </c>
    </row>
    <row r="408" spans="2:21" ht="13.5" customHeight="1">
      <c r="B408" s="2841"/>
      <c r="C408" s="1845"/>
      <c r="D408" s="1846"/>
      <c r="E408" s="3243" t="s">
        <v>111</v>
      </c>
      <c r="F408" s="3244"/>
      <c r="G408" s="1549" t="s">
        <v>112</v>
      </c>
      <c r="H408" s="1547"/>
      <c r="I408" s="1547"/>
      <c r="J408" s="1547"/>
      <c r="K408" s="1547"/>
      <c r="L408" s="1547"/>
      <c r="M408" s="1548"/>
      <c r="N408" s="1556" t="s">
        <v>458</v>
      </c>
      <c r="O408" s="1556" t="s">
        <v>113</v>
      </c>
      <c r="P408" s="1842" t="s">
        <v>114</v>
      </c>
      <c r="Q408" s="1843" t="s">
        <v>138</v>
      </c>
      <c r="R408" s="2498" t="s">
        <v>686</v>
      </c>
      <c r="S408" s="3082"/>
      <c r="T408" s="2200"/>
      <c r="U408" s="4" t="b">
        <f>COUNTA(H409,P409)&lt;&gt;0</f>
        <v>0</v>
      </c>
    </row>
    <row r="409" spans="2:21" ht="13.5" customHeight="1">
      <c r="B409" s="2841"/>
      <c r="C409" s="2443" t="s">
        <v>215</v>
      </c>
      <c r="D409" s="2444"/>
      <c r="E409" s="2418" t="e">
        <f>VLOOKUP($L$10,消火栓,2,0)</f>
        <v>#N/A</v>
      </c>
      <c r="F409" s="2420"/>
      <c r="G409" s="3327" t="s">
        <v>792</v>
      </c>
      <c r="H409" s="312"/>
      <c r="I409" s="313" t="e">
        <f>VLOOKUP($L$10,消火栓,3,0)</f>
        <v>#N/A</v>
      </c>
      <c r="J409" s="314" t="e">
        <f>VLOOKUP($L$10,消火栓,5,0)</f>
        <v>#N/A</v>
      </c>
      <c r="K409" s="315" t="e">
        <f>VLOOKUP($L$10,消火栓,7,0)</f>
        <v>#N/A</v>
      </c>
      <c r="L409" s="9"/>
      <c r="M409" s="179"/>
      <c r="N409" s="3238" t="e">
        <f>H410</f>
        <v>#N/A</v>
      </c>
      <c r="O409" s="3235" t="e">
        <f>INT(E409*N409)</f>
        <v>#N/A</v>
      </c>
      <c r="P409" s="3271"/>
      <c r="Q409" s="3306" t="s">
        <v>139</v>
      </c>
      <c r="R409" s="2418">
        <f>IF(ISERROR(INT(O409*P409)),0,INT(O409*P409))</f>
        <v>0</v>
      </c>
      <c r="S409" s="2420"/>
      <c r="T409" s="2200"/>
      <c r="U409" s="4" t="b">
        <f>U408</f>
        <v>0</v>
      </c>
    </row>
    <row r="410" spans="2:21" ht="13.5" customHeight="1">
      <c r="B410" s="2841"/>
      <c r="C410" s="2446"/>
      <c r="D410" s="2447"/>
      <c r="E410" s="2421"/>
      <c r="F410" s="2423"/>
      <c r="G410" s="3275"/>
      <c r="H410" s="307" t="e">
        <f>HLOOKUP(H409,I409:M410,2,0)</f>
        <v>#N/A</v>
      </c>
      <c r="I410" s="308" t="e">
        <f>VLOOKUP($L$10,消火栓,4,0)</f>
        <v>#N/A</v>
      </c>
      <c r="J410" s="316" t="e">
        <f>VLOOKUP($L$10,消火栓,6,0)</f>
        <v>#N/A</v>
      </c>
      <c r="K410" s="309" t="e">
        <f>VLOOKUP($L$10,消火栓,8,0)</f>
        <v>#N/A</v>
      </c>
      <c r="L410" s="44"/>
      <c r="M410" s="44"/>
      <c r="N410" s="3240"/>
      <c r="O410" s="3237"/>
      <c r="P410" s="3290"/>
      <c r="Q410" s="3309"/>
      <c r="R410" s="2421"/>
      <c r="S410" s="2423"/>
      <c r="T410" s="2200"/>
      <c r="U410" s="4" t="b">
        <f>U408</f>
        <v>0</v>
      </c>
    </row>
    <row r="411" spans="2:21" ht="13.5" customHeight="1">
      <c r="B411" s="2841"/>
      <c r="C411" s="1578"/>
      <c r="D411" s="1580"/>
      <c r="E411" s="3243" t="s">
        <v>111</v>
      </c>
      <c r="F411" s="3244"/>
      <c r="G411" s="1549" t="s">
        <v>112</v>
      </c>
      <c r="H411" s="1547"/>
      <c r="I411" s="1547"/>
      <c r="J411" s="1547"/>
      <c r="K411" s="1547"/>
      <c r="L411" s="1547"/>
      <c r="M411" s="1548"/>
      <c r="N411" s="1556" t="s">
        <v>458</v>
      </c>
      <c r="O411" s="1556" t="s">
        <v>113</v>
      </c>
      <c r="P411" s="1842" t="s">
        <v>114</v>
      </c>
      <c r="Q411" s="1843" t="s">
        <v>1174</v>
      </c>
      <c r="R411" s="2498" t="s">
        <v>686</v>
      </c>
      <c r="S411" s="3082"/>
      <c r="T411" s="2200"/>
      <c r="U411" s="4" t="b">
        <f>COUNTA(H412,P412)&lt;&gt;0</f>
        <v>0</v>
      </c>
    </row>
    <row r="412" spans="2:21" ht="13.5" customHeight="1">
      <c r="B412" s="2841"/>
      <c r="C412" s="2443" t="s">
        <v>216</v>
      </c>
      <c r="D412" s="2444"/>
      <c r="E412" s="2418" t="e">
        <f>VLOOKUP($L$10,ドレンチャー,2,0)</f>
        <v>#N/A</v>
      </c>
      <c r="F412" s="2420"/>
      <c r="G412" s="3274" t="s">
        <v>217</v>
      </c>
      <c r="H412" s="2070"/>
      <c r="I412" s="600" t="e">
        <f>VLOOKUP($L$10,ドレンチャー,3,0)</f>
        <v>#N/A</v>
      </c>
      <c r="J412" s="599" t="e">
        <f>VLOOKUP($L$10,ドレンチャー,5,0)</f>
        <v>#N/A</v>
      </c>
      <c r="K412" s="601"/>
      <c r="L412" s="179"/>
      <c r="M412" s="179"/>
      <c r="N412" s="3238" t="e">
        <f>ROUNDDOWN(H413*H415,2)</f>
        <v>#N/A</v>
      </c>
      <c r="O412" s="3235" t="e">
        <f>INT(E412*N412)</f>
        <v>#N/A</v>
      </c>
      <c r="P412" s="3310"/>
      <c r="Q412" s="3306" t="s">
        <v>45</v>
      </c>
      <c r="R412" s="2418">
        <f>IF(ISERROR(INT(O412*P412)),0,INT(O412*P412))</f>
        <v>0</v>
      </c>
      <c r="S412" s="2420"/>
      <c r="T412" s="2200"/>
      <c r="U412" s="4" t="b">
        <f>U$411</f>
        <v>0</v>
      </c>
    </row>
    <row r="413" spans="2:21" ht="13.5" customHeight="1">
      <c r="B413" s="2841"/>
      <c r="C413" s="2445"/>
      <c r="D413" s="2444"/>
      <c r="E413" s="2448"/>
      <c r="F413" s="2450"/>
      <c r="G413" s="3275"/>
      <c r="H413" s="307" t="e">
        <f>ROUNDDOWN(J413+(I413-J413)/(I412-J412)*(H412-J412),2)</f>
        <v>#N/A</v>
      </c>
      <c r="I413" s="308" t="e">
        <f>VLOOKUP($L$10,ドレンチャー,4,0)</f>
        <v>#N/A</v>
      </c>
      <c r="J413" s="309" t="e">
        <f>VLOOKUP($L$10,ドレンチャー,6,0)</f>
        <v>#N/A</v>
      </c>
      <c r="K413" s="594"/>
      <c r="L413" s="9"/>
      <c r="M413" s="9"/>
      <c r="N413" s="3239"/>
      <c r="O413" s="3236"/>
      <c r="P413" s="3323"/>
      <c r="Q413" s="2461"/>
      <c r="R413" s="2448"/>
      <c r="S413" s="2450"/>
      <c r="T413" s="2200"/>
      <c r="U413" s="4" t="b">
        <f>U$411</f>
        <v>0</v>
      </c>
    </row>
    <row r="414" spans="2:21" ht="13.5" customHeight="1">
      <c r="B414" s="2841"/>
      <c r="C414" s="2445"/>
      <c r="D414" s="2444"/>
      <c r="E414" s="2448"/>
      <c r="F414" s="2450"/>
      <c r="G414" s="3327" t="s">
        <v>689</v>
      </c>
      <c r="H414" s="609">
        <f>+P412</f>
        <v>0</v>
      </c>
      <c r="I414" s="395" t="e">
        <f>VLOOKUP($L$10,ドレンチャー,9,0)</f>
        <v>#N/A</v>
      </c>
      <c r="J414" s="396" t="e">
        <f>VLOOKUP($L$10,ドレンチャー,11,0)</f>
        <v>#N/A</v>
      </c>
      <c r="K414" s="592" t="e">
        <f>VLOOKUP($L$10,ドレンチャー,13,0)</f>
        <v>#N/A</v>
      </c>
      <c r="L414" s="593"/>
      <c r="M414" s="10"/>
      <c r="N414" s="2461"/>
      <c r="O414" s="3236"/>
      <c r="P414" s="3323"/>
      <c r="Q414" s="2461"/>
      <c r="R414" s="2448"/>
      <c r="S414" s="2450"/>
      <c r="T414" s="2200"/>
      <c r="U414" s="4" t="b">
        <f>U$411</f>
        <v>0</v>
      </c>
    </row>
    <row r="415" spans="2:21" ht="13.5" customHeight="1">
      <c r="B415" s="2841"/>
      <c r="C415" s="2446"/>
      <c r="D415" s="2447"/>
      <c r="E415" s="2421"/>
      <c r="F415" s="2423"/>
      <c r="G415" s="3275"/>
      <c r="H415" s="309" t="e">
        <f>MIN(I415,MAX(K415,ROUNDDOWN(+$J415+(H414-$J414)*IF(H414&lt;$J414,($I415-$J415)/($I414-$J414),($K415-$J415)/($K414-$J414)),2)))</f>
        <v>#N/A</v>
      </c>
      <c r="I415" s="308" t="e">
        <f>VLOOKUP($L$10,ドレンチャー,10,0)</f>
        <v>#N/A</v>
      </c>
      <c r="J415" s="316" t="e">
        <f>VLOOKUP($L$10,ドレンチャー,12,0)</f>
        <v>#N/A</v>
      </c>
      <c r="K415" s="324" t="e">
        <f>VLOOKUP($L$10,ドレンチャー,14,0)</f>
        <v>#N/A</v>
      </c>
      <c r="L415" s="310"/>
      <c r="M415" s="69"/>
      <c r="N415" s="2516"/>
      <c r="O415" s="3237"/>
      <c r="P415" s="3324"/>
      <c r="Q415" s="2516"/>
      <c r="R415" s="2421"/>
      <c r="S415" s="2423"/>
      <c r="T415" s="2200"/>
      <c r="U415" s="4" t="b">
        <f>U$411</f>
        <v>0</v>
      </c>
    </row>
    <row r="416" spans="2:21" ht="13.5" customHeight="1">
      <c r="B416" s="2841"/>
      <c r="C416" s="1578"/>
      <c r="D416" s="1580"/>
      <c r="E416" s="3243" t="s">
        <v>111</v>
      </c>
      <c r="F416" s="3244"/>
      <c r="G416" s="1549" t="s">
        <v>112</v>
      </c>
      <c r="H416" s="1547"/>
      <c r="I416" s="1547"/>
      <c r="J416" s="1547"/>
      <c r="K416" s="1547"/>
      <c r="L416" s="1547"/>
      <c r="M416" s="1548"/>
      <c r="N416" s="1556" t="s">
        <v>458</v>
      </c>
      <c r="O416" s="1556" t="s">
        <v>113</v>
      </c>
      <c r="P416" s="1842" t="s">
        <v>114</v>
      </c>
      <c r="Q416" s="1843" t="s">
        <v>218</v>
      </c>
      <c r="R416" s="2498" t="s">
        <v>686</v>
      </c>
      <c r="S416" s="3082"/>
      <c r="T416" s="2200"/>
      <c r="U416" s="4" t="b">
        <f>+P417&lt;&gt;0</f>
        <v>0</v>
      </c>
    </row>
    <row r="417" spans="2:21" ht="13.5" customHeight="1">
      <c r="B417" s="2841"/>
      <c r="C417" s="2443" t="s">
        <v>219</v>
      </c>
      <c r="D417" s="2444"/>
      <c r="E417" s="2418" t="e">
        <f>VLOOKUP($L$10,不活性ガス,2,0)</f>
        <v>#N/A</v>
      </c>
      <c r="F417" s="2420"/>
      <c r="G417" s="2498" t="s">
        <v>1152</v>
      </c>
      <c r="H417" s="603" t="str">
        <f>+IF(ISNUMBER(P417),P417,"-")</f>
        <v>-</v>
      </c>
      <c r="I417" s="397" t="e">
        <f>VLOOKUP($L$10,不活性ガス,3,0)</f>
        <v>#N/A</v>
      </c>
      <c r="J417" s="398" t="e">
        <f>VLOOKUP($L$10,不活性ガス,5,0)</f>
        <v>#N/A</v>
      </c>
      <c r="K417" s="602" t="e">
        <f>VLOOKUP($L$10,不活性ガス,7,0)</f>
        <v>#N/A</v>
      </c>
      <c r="M417" s="179"/>
      <c r="N417" s="3238" t="e">
        <f>+H418</f>
        <v>#N/A</v>
      </c>
      <c r="O417" s="3235" t="e">
        <f>INT(E417*N417)</f>
        <v>#N/A</v>
      </c>
      <c r="P417" s="3310"/>
      <c r="Q417" s="3306" t="s">
        <v>1153</v>
      </c>
      <c r="R417" s="2418">
        <f>IF(ISERROR(INT(O417*P417)),0,INT(O417*P417))</f>
        <v>0</v>
      </c>
      <c r="S417" s="2420"/>
      <c r="T417" s="2200"/>
      <c r="U417" s="4" t="b">
        <f>U$416</f>
        <v>0</v>
      </c>
    </row>
    <row r="418" spans="2:21" ht="13.5" customHeight="1">
      <c r="B418" s="2841"/>
      <c r="C418" s="2446"/>
      <c r="D418" s="2447"/>
      <c r="E418" s="2421"/>
      <c r="F418" s="2423"/>
      <c r="G418" s="3275"/>
      <c r="H418" s="309" t="e">
        <f>ROUNDDOWN(MIN($I418,MAX($K418,$J418+(H417-$J417)*IF(H417&lt;$J417,($I418-$J418)/($I417-$J417),($K418-$J418)/($K417-$J417)))),2)</f>
        <v>#N/A</v>
      </c>
      <c r="I418" s="308" t="e">
        <f>VLOOKUP($L$10,不活性ガス,4,0)</f>
        <v>#N/A</v>
      </c>
      <c r="J418" s="316" t="e">
        <f>VLOOKUP($L$10,不活性ガス,6,0)</f>
        <v>#N/A</v>
      </c>
      <c r="K418" s="309" t="e">
        <f>VLOOKUP($L$10,不活性ガス,8,0)</f>
        <v>#N/A</v>
      </c>
      <c r="M418" s="44"/>
      <c r="N418" s="3240"/>
      <c r="O418" s="3237"/>
      <c r="P418" s="3311"/>
      <c r="Q418" s="2516"/>
      <c r="R418" s="2421"/>
      <c r="S418" s="2423"/>
      <c r="T418" s="2200"/>
      <c r="U418" s="4" t="b">
        <f>U$416</f>
        <v>0</v>
      </c>
    </row>
    <row r="419" spans="2:21" ht="13.5" customHeight="1">
      <c r="B419" s="2841"/>
      <c r="C419" s="1578"/>
      <c r="D419" s="1580"/>
      <c r="E419" s="3243" t="s">
        <v>111</v>
      </c>
      <c r="F419" s="3244"/>
      <c r="G419" s="1549" t="s">
        <v>112</v>
      </c>
      <c r="H419" s="1547"/>
      <c r="I419" s="1547"/>
      <c r="J419" s="1547"/>
      <c r="K419" s="1547"/>
      <c r="L419" s="1547"/>
      <c r="M419" s="1548"/>
      <c r="N419" s="1556" t="s">
        <v>458</v>
      </c>
      <c r="O419" s="1556" t="s">
        <v>113</v>
      </c>
      <c r="P419" s="1842" t="s">
        <v>114</v>
      </c>
      <c r="Q419" s="1843" t="s">
        <v>121</v>
      </c>
      <c r="R419" s="2498" t="s">
        <v>686</v>
      </c>
      <c r="S419" s="3082"/>
      <c r="T419" s="2200"/>
      <c r="U419" s="4" t="b">
        <f>+P420&lt;&gt;0</f>
        <v>0</v>
      </c>
    </row>
    <row r="420" spans="2:21" ht="13.5" customHeight="1">
      <c r="B420" s="2841"/>
      <c r="C420" s="2443" t="s">
        <v>220</v>
      </c>
      <c r="D420" s="2444"/>
      <c r="E420" s="2418" t="e">
        <f>VLOOKUP($L$10,泡消火,2,0)</f>
        <v>#N/A</v>
      </c>
      <c r="F420" s="2420"/>
      <c r="G420" s="3274" t="s">
        <v>667</v>
      </c>
      <c r="H420" s="603" t="str">
        <f>+IF(ISNUMBER(P420),P420,"-")</f>
        <v>-</v>
      </c>
      <c r="I420" s="326" t="e">
        <f>VLOOKUP($L$10,泡消火,3,0)</f>
        <v>#N/A</v>
      </c>
      <c r="J420" s="327" t="e">
        <f>VLOOKUP($L$10,泡消火,5,0)</f>
        <v>#N/A</v>
      </c>
      <c r="K420" s="399" t="e">
        <f>VLOOKUP($L$10,泡消火,7,0)</f>
        <v>#N/A</v>
      </c>
      <c r="L420" s="604"/>
      <c r="M420" s="531"/>
      <c r="N420" s="3238" t="e">
        <f>H421</f>
        <v>#N/A</v>
      </c>
      <c r="O420" s="3235" t="e">
        <f>INT(E420*N420)</f>
        <v>#N/A</v>
      </c>
      <c r="P420" s="3310"/>
      <c r="Q420" s="3306" t="s">
        <v>221</v>
      </c>
      <c r="R420" s="2418">
        <f>IF(ISERROR(INT(O420*P420)),0,INT(O420*P420))</f>
        <v>0</v>
      </c>
      <c r="S420" s="2420"/>
      <c r="T420" s="2200"/>
      <c r="U420" s="4" t="b">
        <f>U$419</f>
        <v>0</v>
      </c>
    </row>
    <row r="421" spans="2:21" ht="13.5" customHeight="1">
      <c r="B421" s="2841"/>
      <c r="C421" s="2446"/>
      <c r="D421" s="2447"/>
      <c r="E421" s="2421"/>
      <c r="F421" s="2423"/>
      <c r="G421" s="3275"/>
      <c r="H421" s="309" t="e">
        <f>ROUNDDOWN(MIN($I421,MAX($K421,$J421+(H420-$J420)*IF(H420&lt;$J420,($I421-$J421)/($I420-$J420),($K421-$J421)/($K420-$J420)))),2)</f>
        <v>#N/A</v>
      </c>
      <c r="I421" s="308" t="e">
        <f>VLOOKUP($L$10,泡消火,4,0)</f>
        <v>#N/A</v>
      </c>
      <c r="J421" s="316" t="e">
        <f>VLOOKUP($L$10,泡消火,6,0)</f>
        <v>#N/A</v>
      </c>
      <c r="K421" s="324" t="e">
        <f>VLOOKUP($L$10,泡消火,8,0)</f>
        <v>#N/A</v>
      </c>
      <c r="L421" s="605"/>
      <c r="M421" s="69"/>
      <c r="N421" s="3240"/>
      <c r="O421" s="3237"/>
      <c r="P421" s="3311"/>
      <c r="Q421" s="2516"/>
      <c r="R421" s="2421"/>
      <c r="S421" s="2423"/>
      <c r="T421" s="2200"/>
      <c r="U421" s="4" t="b">
        <f>U$419</f>
        <v>0</v>
      </c>
    </row>
    <row r="422" spans="2:21" ht="13.5" customHeight="1">
      <c r="B422" s="2841"/>
      <c r="C422" s="1578"/>
      <c r="D422" s="1580"/>
      <c r="E422" s="3243" t="s">
        <v>111</v>
      </c>
      <c r="F422" s="3244"/>
      <c r="G422" s="1549" t="s">
        <v>112</v>
      </c>
      <c r="H422" s="1547"/>
      <c r="I422" s="1547"/>
      <c r="J422" s="1547"/>
      <c r="K422" s="1547"/>
      <c r="L422" s="1547"/>
      <c r="M422" s="1548"/>
      <c r="N422" s="1556" t="s">
        <v>458</v>
      </c>
      <c r="O422" s="1556" t="s">
        <v>113</v>
      </c>
      <c r="P422" s="1842" t="s">
        <v>114</v>
      </c>
      <c r="Q422" s="1843" t="s">
        <v>121</v>
      </c>
      <c r="R422" s="2498" t="s">
        <v>686</v>
      </c>
      <c r="S422" s="3082"/>
      <c r="T422" s="2200"/>
      <c r="U422" s="4" t="b">
        <f>+P423&lt;&gt;0</f>
        <v>0</v>
      </c>
    </row>
    <row r="423" spans="2:21" ht="13.5" customHeight="1">
      <c r="B423" s="2841"/>
      <c r="C423" s="2443" t="s">
        <v>222</v>
      </c>
      <c r="D423" s="2500"/>
      <c r="E423" s="3260" t="e">
        <f>VLOOKUP($L$10,スプリンクラー,2,0)</f>
        <v>#N/A</v>
      </c>
      <c r="F423" s="2766"/>
      <c r="G423" s="2498" t="s">
        <v>667</v>
      </c>
      <c r="H423" s="325">
        <f>$P$10</f>
        <v>0</v>
      </c>
      <c r="I423" s="326" t="e">
        <f>VLOOKUP($L$10,スプリンクラー,3,0)</f>
        <v>#N/A</v>
      </c>
      <c r="J423" s="327" t="e">
        <f>VLOOKUP($L$10,スプリンクラー,5,0)</f>
        <v>#N/A</v>
      </c>
      <c r="K423" s="328" t="e">
        <f>VLOOKUP($L$10,スプリンクラー,7,0)</f>
        <v>#N/A</v>
      </c>
      <c r="L423" s="179"/>
      <c r="N423" s="3399" t="e">
        <f>ROUNDDOWN(H424,2)</f>
        <v>#N/A</v>
      </c>
      <c r="O423" s="3401" t="e">
        <f>INT(E423*N423)</f>
        <v>#N/A</v>
      </c>
      <c r="P423" s="3418">
        <f>床・天井!N91</f>
        <v>0</v>
      </c>
      <c r="Q423" s="3291" t="s">
        <v>155</v>
      </c>
      <c r="R423" s="3260">
        <f>IF(ISERROR(INT(O423*P423)),0,INT(O423*P423))</f>
        <v>0</v>
      </c>
      <c r="S423" s="2766"/>
      <c r="T423" s="2200"/>
      <c r="U423" s="4" t="b">
        <f t="shared" ref="U423:U424" si="45">U$422</f>
        <v>0</v>
      </c>
    </row>
    <row r="424" spans="2:21" ht="13.5" customHeight="1">
      <c r="B424" s="2841"/>
      <c r="C424" s="2581"/>
      <c r="D424" s="2502"/>
      <c r="E424" s="2770"/>
      <c r="F424" s="2772"/>
      <c r="G424" s="3082"/>
      <c r="H424" s="307" t="e">
        <f>ROUNDDOWN(MIN(I424,MAX(K424,J424+IF(H423&lt;J423,(I424-J424)/(I423-J423)*(H423-J423),(K424-J424)/(K423-J423)*(H423-J423)))),2)</f>
        <v>#N/A</v>
      </c>
      <c r="I424" s="308" t="e">
        <f>VLOOKUP($L$10,スプリンクラー,4,0)</f>
        <v>#N/A</v>
      </c>
      <c r="J424" s="316" t="e">
        <f>VLOOKUP($L$10,スプリンクラー,6,0)</f>
        <v>#N/A</v>
      </c>
      <c r="K424" s="309" t="e">
        <f>VLOOKUP($L$10,スプリンクラー,8,0)</f>
        <v>#N/A</v>
      </c>
      <c r="L424" s="9"/>
      <c r="M424" s="855"/>
      <c r="N424" s="3400"/>
      <c r="O424" s="3402"/>
      <c r="P424" s="2665"/>
      <c r="Q424" s="3292"/>
      <c r="R424" s="2770"/>
      <c r="S424" s="2772"/>
      <c r="T424" s="2200"/>
      <c r="U424" s="4" t="b">
        <f t="shared" si="45"/>
        <v>0</v>
      </c>
    </row>
    <row r="425" spans="2:21" ht="13.5" customHeight="1">
      <c r="B425" s="2841"/>
      <c r="C425" s="1578"/>
      <c r="D425" s="1580"/>
      <c r="E425" s="3243" t="s">
        <v>111</v>
      </c>
      <c r="F425" s="3244"/>
      <c r="G425" s="1549" t="s">
        <v>112</v>
      </c>
      <c r="H425" s="1547"/>
      <c r="I425" s="1547"/>
      <c r="J425" s="1547"/>
      <c r="K425" s="1547"/>
      <c r="L425" s="1547"/>
      <c r="M425" s="1548"/>
      <c r="N425" s="1556" t="s">
        <v>458</v>
      </c>
      <c r="O425" s="1556" t="s">
        <v>113</v>
      </c>
      <c r="P425" s="1842" t="s">
        <v>114</v>
      </c>
      <c r="Q425" s="1843" t="s">
        <v>685</v>
      </c>
      <c r="R425" s="2498" t="s">
        <v>686</v>
      </c>
      <c r="S425" s="3082"/>
      <c r="T425" s="2200"/>
      <c r="U425" s="4" t="b">
        <f>R426&lt;&gt;0</f>
        <v>0</v>
      </c>
    </row>
    <row r="426" spans="2:21" ht="13.5" customHeight="1">
      <c r="B426" s="2841"/>
      <c r="C426" s="2443" t="s">
        <v>1156</v>
      </c>
      <c r="D426" s="2444"/>
      <c r="E426" s="2418" t="e">
        <f>VLOOKUP($L$10,水道直結スプリンクラー,2,0)</f>
        <v>#N/A</v>
      </c>
      <c r="F426" s="2420"/>
      <c r="G426" s="2498" t="s">
        <v>5475</v>
      </c>
      <c r="H426" s="312"/>
      <c r="I426" s="920" t="s">
        <v>5481</v>
      </c>
      <c r="J426" s="951"/>
      <c r="K426" s="952"/>
      <c r="L426" s="856"/>
      <c r="M426" s="857"/>
      <c r="N426" s="3238">
        <v>1</v>
      </c>
      <c r="O426" s="3235" t="e">
        <f>INT(E426*N426)</f>
        <v>#N/A</v>
      </c>
      <c r="P426" s="2513" t="e">
        <f>H427</f>
        <v>#N/A</v>
      </c>
      <c r="Q426" s="3306" t="s">
        <v>221</v>
      </c>
      <c r="R426" s="2418">
        <f>IF(ISERROR(INT(O426*P426)),0,INT(O426*P426))</f>
        <v>0</v>
      </c>
      <c r="S426" s="2420"/>
      <c r="T426" s="2200"/>
      <c r="U426" s="4" t="b">
        <f>+$U$425</f>
        <v>0</v>
      </c>
    </row>
    <row r="427" spans="2:21" ht="13.5" customHeight="1">
      <c r="B427" s="2842"/>
      <c r="C427" s="2446"/>
      <c r="D427" s="2447"/>
      <c r="E427" s="2421"/>
      <c r="F427" s="2423"/>
      <c r="G427" s="3082"/>
      <c r="H427" s="307" t="e">
        <f>HLOOKUP(H426,I426:M427,2,0)</f>
        <v>#N/A</v>
      </c>
      <c r="I427" s="923">
        <f>P10</f>
        <v>0</v>
      </c>
      <c r="J427" s="953"/>
      <c r="K427" s="750"/>
      <c r="L427" s="813"/>
      <c r="M427" s="829"/>
      <c r="N427" s="3240"/>
      <c r="O427" s="3237"/>
      <c r="P427" s="2470"/>
      <c r="Q427" s="2516"/>
      <c r="R427" s="2421"/>
      <c r="S427" s="2423"/>
      <c r="T427" s="2200"/>
      <c r="U427" s="4" t="b">
        <f>+$U$425</f>
        <v>0</v>
      </c>
    </row>
    <row r="428" spans="2:21" ht="13.5" customHeight="1">
      <c r="B428" s="1833"/>
      <c r="C428" s="1578"/>
      <c r="D428" s="1580"/>
      <c r="E428" s="3243" t="s">
        <v>111</v>
      </c>
      <c r="F428" s="3244"/>
      <c r="G428" s="1549" t="s">
        <v>112</v>
      </c>
      <c r="H428" s="1547"/>
      <c r="I428" s="1547"/>
      <c r="J428" s="1547"/>
      <c r="K428" s="1547"/>
      <c r="L428" s="1547"/>
      <c r="M428" s="1548"/>
      <c r="N428" s="1556" t="s">
        <v>458</v>
      </c>
      <c r="O428" s="1556" t="s">
        <v>113</v>
      </c>
      <c r="P428" s="1842"/>
      <c r="Q428" s="1843" t="s">
        <v>223</v>
      </c>
      <c r="R428" s="2498" t="s">
        <v>686</v>
      </c>
      <c r="S428" s="3082"/>
      <c r="T428" s="2200"/>
      <c r="U428" s="4" t="b">
        <f>COUNTA(H429,H431,H433,H435,P429)&lt;&gt;0</f>
        <v>0</v>
      </c>
    </row>
    <row r="429" spans="2:21" ht="13.5" customHeight="1">
      <c r="B429" s="3369" t="s">
        <v>103</v>
      </c>
      <c r="C429" s="2443" t="s">
        <v>224</v>
      </c>
      <c r="D429" s="2444"/>
      <c r="E429" s="2418" t="e">
        <f>VLOOKUP($L$10,気送管,2,0)</f>
        <v>#N/A</v>
      </c>
      <c r="F429" s="2420"/>
      <c r="G429" s="3274" t="s">
        <v>225</v>
      </c>
      <c r="H429" s="883"/>
      <c r="I429" s="313" t="e">
        <f>VLOOKUP($L$10,気送管,5,0)</f>
        <v>#N/A</v>
      </c>
      <c r="J429" s="315" t="e">
        <f>VLOOKUP($L$10,気送管,7,0)</f>
        <v>#N/A</v>
      </c>
      <c r="K429" s="179"/>
      <c r="L429" s="179"/>
      <c r="M429" s="179"/>
      <c r="N429" s="3238" t="e">
        <f>ROUNDDOWN(H430*H432*H434*H436,2)</f>
        <v>#N/A</v>
      </c>
      <c r="O429" s="3235" t="e">
        <f>INT(E429*N429)</f>
        <v>#N/A</v>
      </c>
      <c r="P429" s="3271"/>
      <c r="Q429" s="3306" t="s">
        <v>226</v>
      </c>
      <c r="R429" s="2418">
        <f>IF(ISERROR(INT(O429*P429)),0,INT(O429*P429))</f>
        <v>0</v>
      </c>
      <c r="S429" s="2420"/>
      <c r="T429" s="2200"/>
      <c r="U429" s="4" t="b">
        <f t="shared" ref="U429:U436" si="46">U$428</f>
        <v>0</v>
      </c>
    </row>
    <row r="430" spans="2:21" ht="13.5" customHeight="1">
      <c r="B430" s="3367"/>
      <c r="C430" s="2445"/>
      <c r="D430" s="2444"/>
      <c r="E430" s="2448"/>
      <c r="F430" s="2450"/>
      <c r="G430" s="3275"/>
      <c r="H430" s="307" t="e">
        <f>HLOOKUP(H429,I429:M430,2,0)</f>
        <v>#N/A</v>
      </c>
      <c r="I430" s="308" t="e">
        <f>VLOOKUP($L$10,気送管,6,0)</f>
        <v>#N/A</v>
      </c>
      <c r="J430" s="309" t="e">
        <f>VLOOKUP($L$10,気送管,8,0)</f>
        <v>#N/A</v>
      </c>
      <c r="K430" s="9"/>
      <c r="L430" s="9"/>
      <c r="M430" s="9"/>
      <c r="N430" s="3239"/>
      <c r="O430" s="3236"/>
      <c r="P430" s="3272"/>
      <c r="Q430" s="2461"/>
      <c r="R430" s="2448"/>
      <c r="S430" s="2450"/>
      <c r="T430" s="2200"/>
      <c r="U430" s="4" t="b">
        <f t="shared" si="46"/>
        <v>0</v>
      </c>
    </row>
    <row r="431" spans="2:21" ht="13.5" customHeight="1">
      <c r="B431" s="3367"/>
      <c r="C431" s="2445"/>
      <c r="D431" s="2444"/>
      <c r="E431" s="2448"/>
      <c r="F431" s="2450"/>
      <c r="G431" s="3274" t="s">
        <v>146</v>
      </c>
      <c r="H431" s="312"/>
      <c r="I431" s="313" t="e">
        <f>VLOOKUP($L$10,気送管,9,0)</f>
        <v>#N/A</v>
      </c>
      <c r="J431" s="314" t="e">
        <f>VLOOKUP($L$10,気送管,11,0)</f>
        <v>#N/A</v>
      </c>
      <c r="K431" s="315" t="e">
        <f>VLOOKUP($L$10,気送管,13,0)</f>
        <v>#N/A</v>
      </c>
      <c r="L431" s="9"/>
      <c r="M431" s="9"/>
      <c r="N431" s="3239"/>
      <c r="O431" s="3236"/>
      <c r="P431" s="3272"/>
      <c r="Q431" s="2461"/>
      <c r="R431" s="2448"/>
      <c r="S431" s="2450"/>
      <c r="T431" s="2200"/>
      <c r="U431" s="4" t="b">
        <f t="shared" si="46"/>
        <v>0</v>
      </c>
    </row>
    <row r="432" spans="2:21" ht="13.5" customHeight="1">
      <c r="B432" s="3367"/>
      <c r="C432" s="2445"/>
      <c r="D432" s="2444"/>
      <c r="E432" s="2448"/>
      <c r="F432" s="2450"/>
      <c r="G432" s="3275"/>
      <c r="H432" s="307" t="e">
        <f>HLOOKUP(H431,I431:M432,2,0)</f>
        <v>#N/A</v>
      </c>
      <c r="I432" s="308" t="e">
        <f>VLOOKUP($L$10,気送管,10,0)</f>
        <v>#N/A</v>
      </c>
      <c r="J432" s="316" t="e">
        <f>VLOOKUP($L$10,気送管,12,0)</f>
        <v>#N/A</v>
      </c>
      <c r="K432" s="309" t="e">
        <f>VLOOKUP($L$10,気送管,14,0)</f>
        <v>#N/A</v>
      </c>
      <c r="L432" s="9"/>
      <c r="M432" s="9"/>
      <c r="N432" s="3239"/>
      <c r="O432" s="3236"/>
      <c r="P432" s="3272"/>
      <c r="Q432" s="2461"/>
      <c r="R432" s="2448"/>
      <c r="S432" s="2450"/>
      <c r="T432" s="2200"/>
      <c r="U432" s="4" t="b">
        <f t="shared" si="46"/>
        <v>0</v>
      </c>
    </row>
    <row r="433" spans="2:21" ht="13.5" customHeight="1">
      <c r="B433" s="3367"/>
      <c r="C433" s="2445"/>
      <c r="D433" s="2444"/>
      <c r="E433" s="2448"/>
      <c r="F433" s="2450"/>
      <c r="G433" s="3274" t="s">
        <v>792</v>
      </c>
      <c r="H433" s="312"/>
      <c r="I433" s="313" t="e">
        <f>VLOOKUP($L$10,気送管,15,0)</f>
        <v>#N/A</v>
      </c>
      <c r="J433" s="315" t="e">
        <f>VLOOKUP($L$10,気送管,17,0)</f>
        <v>#N/A</v>
      </c>
      <c r="K433" s="9"/>
      <c r="L433" s="9"/>
      <c r="M433" s="9"/>
      <c r="N433" s="3239"/>
      <c r="O433" s="3236"/>
      <c r="P433" s="3272"/>
      <c r="Q433" s="2461"/>
      <c r="R433" s="2448"/>
      <c r="S433" s="2450"/>
      <c r="T433" s="2200"/>
      <c r="U433" s="4" t="b">
        <f t="shared" si="46"/>
        <v>0</v>
      </c>
    </row>
    <row r="434" spans="2:21" ht="13.5" customHeight="1">
      <c r="B434" s="3367"/>
      <c r="C434" s="2445"/>
      <c r="D434" s="2444"/>
      <c r="E434" s="2448"/>
      <c r="F434" s="2450"/>
      <c r="G434" s="3275"/>
      <c r="H434" s="307" t="e">
        <f>HLOOKUP(H433,I433:M434,2,0)</f>
        <v>#N/A</v>
      </c>
      <c r="I434" s="308" t="e">
        <f>VLOOKUP($L$10,気送管,16,0)</f>
        <v>#N/A</v>
      </c>
      <c r="J434" s="309" t="e">
        <f>VLOOKUP($L$10,気送管,18,0)</f>
        <v>#N/A</v>
      </c>
      <c r="K434" s="9"/>
      <c r="L434" s="9"/>
      <c r="M434" s="10"/>
      <c r="N434" s="3239"/>
      <c r="O434" s="3236"/>
      <c r="P434" s="3272"/>
      <c r="Q434" s="2461"/>
      <c r="R434" s="2448"/>
      <c r="S434" s="2450"/>
      <c r="T434" s="2200"/>
      <c r="U434" s="4" t="b">
        <f t="shared" si="46"/>
        <v>0</v>
      </c>
    </row>
    <row r="435" spans="2:21" ht="13.5" customHeight="1">
      <c r="B435" s="3367"/>
      <c r="C435" s="2445"/>
      <c r="D435" s="2444"/>
      <c r="E435" s="2448"/>
      <c r="F435" s="2450"/>
      <c r="G435" s="3274" t="s">
        <v>227</v>
      </c>
      <c r="H435" s="2071"/>
      <c r="I435" s="400" t="e">
        <f>VLOOKUP($L$10,気送管,21,0)</f>
        <v>#N/A</v>
      </c>
      <c r="J435" s="401" t="e">
        <f>VLOOKUP($L$10,気送管,23,0)</f>
        <v>#N/A</v>
      </c>
      <c r="K435" s="610" t="e">
        <f>VLOOKUP($L$10,気送管,25,0)</f>
        <v>#N/A</v>
      </c>
      <c r="L435" s="611"/>
      <c r="M435" s="10"/>
      <c r="N435" s="3239"/>
      <c r="O435" s="3236"/>
      <c r="P435" s="3272"/>
      <c r="Q435" s="2461"/>
      <c r="R435" s="2448"/>
      <c r="S435" s="2450"/>
      <c r="T435" s="2200"/>
      <c r="U435" s="4" t="b">
        <f t="shared" si="46"/>
        <v>0</v>
      </c>
    </row>
    <row r="436" spans="2:21" ht="13.5" customHeight="1">
      <c r="B436" s="3367"/>
      <c r="C436" s="2446"/>
      <c r="D436" s="2447"/>
      <c r="E436" s="2421"/>
      <c r="F436" s="2423"/>
      <c r="G436" s="3275"/>
      <c r="H436" s="309" t="e">
        <f>IF(ISBLANK($H435),NA(),ROUNDDOWN(+$J436+(H435-$J435)*IF(H435&gt;$J435,($I436-$J436)/($I435-$J435),($K436-$J436)/($K435-$J435)),2))</f>
        <v>#N/A</v>
      </c>
      <c r="I436" s="308" t="e">
        <f>VLOOKUP($L$10,気送管,22,0)</f>
        <v>#N/A</v>
      </c>
      <c r="J436" s="316" t="e">
        <f>VLOOKUP($L$10,気送管,24,0)</f>
        <v>#N/A</v>
      </c>
      <c r="K436" s="324" t="e">
        <f>VLOOKUP($L$10,気送管,26,0)</f>
        <v>#N/A</v>
      </c>
      <c r="L436" s="310"/>
      <c r="M436" s="69"/>
      <c r="N436" s="3240"/>
      <c r="O436" s="3237"/>
      <c r="P436" s="3290"/>
      <c r="Q436" s="2516"/>
      <c r="R436" s="2421"/>
      <c r="S436" s="2423"/>
      <c r="T436" s="2200"/>
      <c r="U436" s="4" t="b">
        <f t="shared" si="46"/>
        <v>0</v>
      </c>
    </row>
    <row r="437" spans="2:21" ht="13.5" customHeight="1">
      <c r="B437" s="3367"/>
      <c r="C437" s="1578"/>
      <c r="D437" s="1580"/>
      <c r="E437" s="3243" t="s">
        <v>111</v>
      </c>
      <c r="F437" s="3244"/>
      <c r="G437" s="1549" t="s">
        <v>112</v>
      </c>
      <c r="H437" s="1547"/>
      <c r="I437" s="1547"/>
      <c r="J437" s="1547"/>
      <c r="K437" s="1547"/>
      <c r="L437" s="1547"/>
      <c r="M437" s="1548"/>
      <c r="N437" s="1556" t="s">
        <v>458</v>
      </c>
      <c r="O437" s="1556" t="s">
        <v>113</v>
      </c>
      <c r="P437" s="1842" t="s">
        <v>114</v>
      </c>
      <c r="Q437" s="1843" t="s">
        <v>138</v>
      </c>
      <c r="R437" s="2498" t="s">
        <v>686</v>
      </c>
      <c r="S437" s="3082"/>
      <c r="T437" s="2200"/>
      <c r="U437" s="4" t="b">
        <f>COUNTA(H438,H440,H442,H444,H446,P438)&lt;&gt;0</f>
        <v>0</v>
      </c>
    </row>
    <row r="438" spans="2:21" ht="13.5" customHeight="1">
      <c r="B438" s="3367"/>
      <c r="C438" s="2443" t="s">
        <v>228</v>
      </c>
      <c r="D438" s="2444"/>
      <c r="E438" s="2418" t="e">
        <f>VLOOKUP($L$10,ＥＶ規格,2,0)</f>
        <v>#N/A</v>
      </c>
      <c r="F438" s="2420"/>
      <c r="G438" s="3274" t="s">
        <v>229</v>
      </c>
      <c r="H438" s="2072"/>
      <c r="I438" s="402" t="e">
        <f>VLOOKUP($L$10,ＥＶ規格,3,0)</f>
        <v>#N/A</v>
      </c>
      <c r="J438" s="403" t="e">
        <f>VLOOKUP($L$10,ＥＶ規格,5,0)</f>
        <v>#N/A</v>
      </c>
      <c r="K438" s="624" t="e">
        <f>VLOOKUP($L$10,ＥＶ規格,7,0)</f>
        <v>#N/A</v>
      </c>
      <c r="L438" s="627"/>
      <c r="M438" s="179"/>
      <c r="N438" s="3238" t="e">
        <f>ROUNDDOWN(H439*H441*H443*H445*H447,2)</f>
        <v>#N/A</v>
      </c>
      <c r="O438" s="3235" t="e">
        <f>INT(E438*N438)</f>
        <v>#N/A</v>
      </c>
      <c r="P438" s="3271"/>
      <c r="Q438" s="3306" t="s">
        <v>139</v>
      </c>
      <c r="R438" s="2418">
        <f>IF(ISERROR(INT(O438*P438)),0,INT(O438*P438))</f>
        <v>0</v>
      </c>
      <c r="S438" s="2420"/>
      <c r="T438" s="2200"/>
      <c r="U438" s="4" t="b">
        <f>U437</f>
        <v>0</v>
      </c>
    </row>
    <row r="439" spans="2:21" ht="13.5" customHeight="1">
      <c r="B439" s="3367"/>
      <c r="C439" s="2445"/>
      <c r="D439" s="2444"/>
      <c r="E439" s="2448"/>
      <c r="F439" s="2450"/>
      <c r="G439" s="3275"/>
      <c r="H439" s="309" t="e">
        <f>IF(ISBLANK(H438),NA(),ROUNDDOWN(J439+(H438-J438)*IF(H438&gt;J438,(I439-J439)/(I438-J438),(K439-J439)/(K438-J438)),2))</f>
        <v>#N/A</v>
      </c>
      <c r="I439" s="308" t="e">
        <f>VLOOKUP($L$10,ＥＶ規格,4,0)</f>
        <v>#N/A</v>
      </c>
      <c r="J439" s="316" t="e">
        <f>VLOOKUP($L$10,ＥＶ規格,6,0)</f>
        <v>#N/A</v>
      </c>
      <c r="K439" s="324" t="e">
        <f>VLOOKUP($L$10,ＥＶ規格,8,0)</f>
        <v>#N/A</v>
      </c>
      <c r="L439" s="317"/>
      <c r="M439" s="9"/>
      <c r="N439" s="3239"/>
      <c r="O439" s="3236"/>
      <c r="P439" s="3272"/>
      <c r="Q439" s="2461"/>
      <c r="R439" s="2448"/>
      <c r="S439" s="2450"/>
      <c r="T439" s="2200"/>
      <c r="U439" s="4" t="b">
        <f>U437</f>
        <v>0</v>
      </c>
    </row>
    <row r="440" spans="2:21" ht="13.5" customHeight="1">
      <c r="B440" s="3367"/>
      <c r="C440" s="2445"/>
      <c r="D440" s="2444"/>
      <c r="E440" s="2448"/>
      <c r="F440" s="2450"/>
      <c r="G440" s="3274" t="s">
        <v>230</v>
      </c>
      <c r="H440" s="2073"/>
      <c r="I440" s="404" t="e">
        <f>VLOOKUP($L$10,ＥＶ規格,9,0)</f>
        <v>#N/A</v>
      </c>
      <c r="J440" s="405" t="e">
        <f>VLOOKUP($L$10,ＥＶ規格,11,0)</f>
        <v>#N/A</v>
      </c>
      <c r="K440" s="616" t="e">
        <f>VLOOKUP($L$10,ＥＶ規格,13,0)</f>
        <v>#N/A</v>
      </c>
      <c r="L440" s="629"/>
      <c r="M440" s="9"/>
      <c r="N440" s="3239"/>
      <c r="O440" s="3236"/>
      <c r="P440" s="3272"/>
      <c r="Q440" s="2461"/>
      <c r="R440" s="2448"/>
      <c r="S440" s="2450"/>
      <c r="T440" s="2200"/>
      <c r="U440" s="4" t="b">
        <f>U437</f>
        <v>0</v>
      </c>
    </row>
    <row r="441" spans="2:21" ht="13.5" customHeight="1">
      <c r="B441" s="3367"/>
      <c r="C441" s="2445"/>
      <c r="D441" s="2444"/>
      <c r="E441" s="2448"/>
      <c r="F441" s="2450"/>
      <c r="G441" s="3275"/>
      <c r="H441" s="309" t="e">
        <f>IF(ISBLANK($H440),NA(),ROUNDDOWN(1+IF($H440&gt;$J440,($I441-$J441)/($I440-$J440),($K441-$J441)/($K440-$J440))*($H440-$J440),2))</f>
        <v>#N/A</v>
      </c>
      <c r="I441" s="308" t="e">
        <f>VLOOKUP($L$10,ＥＶ規格,10,0)</f>
        <v>#N/A</v>
      </c>
      <c r="J441" s="316" t="e">
        <f>VLOOKUP($L$10,ＥＶ規格,12,0)</f>
        <v>#N/A</v>
      </c>
      <c r="K441" s="324" t="e">
        <f>VLOOKUP($L$10,ＥＶ規格,14,0)</f>
        <v>#N/A</v>
      </c>
      <c r="L441" s="317"/>
      <c r="M441" s="9"/>
      <c r="N441" s="3239"/>
      <c r="O441" s="3236"/>
      <c r="P441" s="3272"/>
      <c r="Q441" s="2461"/>
      <c r="R441" s="2448"/>
      <c r="S441" s="2450"/>
      <c r="T441" s="2200"/>
      <c r="U441" s="4" t="b">
        <f>U437</f>
        <v>0</v>
      </c>
    </row>
    <row r="442" spans="2:21" ht="13.5" customHeight="1">
      <c r="B442" s="3367"/>
      <c r="C442" s="2445"/>
      <c r="D442" s="2444"/>
      <c r="E442" s="2448"/>
      <c r="F442" s="2450"/>
      <c r="G442" s="3274" t="s">
        <v>231</v>
      </c>
      <c r="H442" s="2074"/>
      <c r="I442" s="406" t="e">
        <f>VLOOKUP($L$10,ＥＶ規格,15,0)</f>
        <v>#N/A</v>
      </c>
      <c r="J442" s="407" t="e">
        <f>VLOOKUP($L$10,ＥＶ規格,17,0)</f>
        <v>#N/A</v>
      </c>
      <c r="K442" s="615" t="e">
        <f>VLOOKUP($L$10,ＥＶ規格,19,0)</f>
        <v>#N/A</v>
      </c>
      <c r="L442" s="617"/>
      <c r="M442" s="9"/>
      <c r="N442" s="3239"/>
      <c r="O442" s="3236"/>
      <c r="P442" s="3272"/>
      <c r="Q442" s="2461"/>
      <c r="R442" s="2448"/>
      <c r="S442" s="2450"/>
      <c r="T442" s="2200"/>
      <c r="U442" s="4" t="b">
        <f>U437</f>
        <v>0</v>
      </c>
    </row>
    <row r="443" spans="2:21" ht="13.5" customHeight="1">
      <c r="B443" s="3367"/>
      <c r="C443" s="2445"/>
      <c r="D443" s="2444"/>
      <c r="E443" s="2448"/>
      <c r="F443" s="2450"/>
      <c r="G443" s="3275"/>
      <c r="H443" s="309" t="e">
        <f>IF(ISBLANK(H442),NA(),ROUNDDOWN(J443+(H442-J442)*IF(H442&gt;J442,(I443-J443)/(I442-J442),(K443-J443)/(K442-J442)),2))</f>
        <v>#N/A</v>
      </c>
      <c r="I443" s="308" t="e">
        <f>VLOOKUP($L$10,ＥＶ規格,16,0)</f>
        <v>#N/A</v>
      </c>
      <c r="J443" s="316" t="e">
        <f>VLOOKUP($L$10,ＥＶ規格,18,0)</f>
        <v>#N/A</v>
      </c>
      <c r="K443" s="324" t="e">
        <f>VLOOKUP($L$10,ＥＶ規格,20,0)</f>
        <v>#N/A</v>
      </c>
      <c r="L443" s="317"/>
      <c r="M443" s="9"/>
      <c r="N443" s="3239"/>
      <c r="O443" s="3236"/>
      <c r="P443" s="3272"/>
      <c r="Q443" s="2461"/>
      <c r="R443" s="2448"/>
      <c r="S443" s="2450"/>
      <c r="T443" s="2200"/>
      <c r="U443" s="4" t="b">
        <f>U437</f>
        <v>0</v>
      </c>
    </row>
    <row r="444" spans="2:21" ht="13.5" customHeight="1">
      <c r="B444" s="3367"/>
      <c r="C444" s="2445"/>
      <c r="D444" s="2444"/>
      <c r="E444" s="2448"/>
      <c r="F444" s="2450"/>
      <c r="G444" s="3274" t="s">
        <v>689</v>
      </c>
      <c r="H444" s="312"/>
      <c r="I444" s="313" t="e">
        <f>VLOOKUP($L$10,ＥＶ規格,21,0)</f>
        <v>#N/A</v>
      </c>
      <c r="J444" s="314" t="e">
        <f>VLOOKUP($L$10,ＥＶ規格,23,0)</f>
        <v>#N/A</v>
      </c>
      <c r="K444" s="315" t="e">
        <f>VLOOKUP($L$10,ＥＶ規格,25,0)</f>
        <v>#N/A</v>
      </c>
      <c r="L444" s="9"/>
      <c r="M444" s="9"/>
      <c r="N444" s="3239"/>
      <c r="O444" s="3236"/>
      <c r="P444" s="3272"/>
      <c r="Q444" s="2461"/>
      <c r="R444" s="2448"/>
      <c r="S444" s="2450"/>
      <c r="T444" s="2200"/>
      <c r="U444" s="4" t="b">
        <f>U437</f>
        <v>0</v>
      </c>
    </row>
    <row r="445" spans="2:21" ht="13.5" customHeight="1">
      <c r="B445" s="3367"/>
      <c r="C445" s="2445"/>
      <c r="D445" s="2444"/>
      <c r="E445" s="2448"/>
      <c r="F445" s="2450"/>
      <c r="G445" s="3275"/>
      <c r="H445" s="307" t="e">
        <f>HLOOKUP(H444,I444:M445,2,0)</f>
        <v>#N/A</v>
      </c>
      <c r="I445" s="308" t="e">
        <f>VLOOKUP($L$10,ＥＶ規格,22,0)</f>
        <v>#N/A</v>
      </c>
      <c r="J445" s="316" t="e">
        <f>VLOOKUP($L$10,ＥＶ規格,24,0)</f>
        <v>#N/A</v>
      </c>
      <c r="K445" s="309" t="e">
        <f>VLOOKUP($L$10,ＥＶ規格,26,0)</f>
        <v>#N/A</v>
      </c>
      <c r="L445" s="9"/>
      <c r="M445" s="9"/>
      <c r="N445" s="3239"/>
      <c r="O445" s="3236"/>
      <c r="P445" s="3272"/>
      <c r="Q445" s="2461"/>
      <c r="R445" s="2448"/>
      <c r="S445" s="2450"/>
      <c r="T445" s="2200"/>
      <c r="U445" s="4" t="b">
        <f>U437</f>
        <v>0</v>
      </c>
    </row>
    <row r="446" spans="2:21" ht="13.5" customHeight="1">
      <c r="B446" s="3367"/>
      <c r="C446" s="2445"/>
      <c r="D446" s="2444"/>
      <c r="E446" s="2448"/>
      <c r="F446" s="2450"/>
      <c r="G446" s="3274" t="s">
        <v>232</v>
      </c>
      <c r="H446" s="312"/>
      <c r="I446" s="313" t="e">
        <f>VLOOKUP($L$10,ＥＶ規格,27,0)</f>
        <v>#N/A</v>
      </c>
      <c r="J446" s="314" t="e">
        <f>VLOOKUP($L$10,ＥＶ規格,29,0)</f>
        <v>#N/A</v>
      </c>
      <c r="K446" s="315" t="e">
        <f>VLOOKUP($L$10,ＥＶ規格,31,0)</f>
        <v>#N/A</v>
      </c>
      <c r="L446" s="9"/>
      <c r="M446" s="9"/>
      <c r="N446" s="3239"/>
      <c r="O446" s="3236"/>
      <c r="P446" s="3272"/>
      <c r="Q446" s="2461"/>
      <c r="R446" s="2448"/>
      <c r="S446" s="2450"/>
      <c r="T446" s="2200"/>
      <c r="U446" s="4" t="b">
        <f>U437</f>
        <v>0</v>
      </c>
    </row>
    <row r="447" spans="2:21" ht="13.5" customHeight="1">
      <c r="B447" s="3367"/>
      <c r="C447" s="2446"/>
      <c r="D447" s="2447"/>
      <c r="E447" s="2421"/>
      <c r="F447" s="2423"/>
      <c r="G447" s="3275"/>
      <c r="H447" s="307" t="e">
        <f>HLOOKUP(H446,I446:M447,2,0)</f>
        <v>#N/A</v>
      </c>
      <c r="I447" s="308" t="e">
        <f>VLOOKUP($L$10,ＥＶ規格,28,0)</f>
        <v>#N/A</v>
      </c>
      <c r="J447" s="316" t="e">
        <f>VLOOKUP($L$10,ＥＶ規格,30,0)</f>
        <v>#N/A</v>
      </c>
      <c r="K447" s="309" t="e">
        <f>VLOOKUP($L$10,ＥＶ規格,32,0)</f>
        <v>#N/A</v>
      </c>
      <c r="L447" s="44"/>
      <c r="M447" s="44"/>
      <c r="N447" s="3240"/>
      <c r="O447" s="3237"/>
      <c r="P447" s="3290"/>
      <c r="Q447" s="2516"/>
      <c r="R447" s="2421"/>
      <c r="S447" s="2423"/>
      <c r="T447" s="2200"/>
      <c r="U447" s="4" t="b">
        <f>U437</f>
        <v>0</v>
      </c>
    </row>
    <row r="448" spans="2:21" ht="13.5" customHeight="1">
      <c r="B448" s="3367"/>
      <c r="C448" s="1578"/>
      <c r="D448" s="1580"/>
      <c r="E448" s="3243" t="s">
        <v>111</v>
      </c>
      <c r="F448" s="3244"/>
      <c r="G448" s="1549" t="s">
        <v>112</v>
      </c>
      <c r="H448" s="1547"/>
      <c r="I448" s="1547"/>
      <c r="J448" s="1547"/>
      <c r="K448" s="1547"/>
      <c r="L448" s="1547"/>
      <c r="M448" s="1548"/>
      <c r="N448" s="1556" t="s">
        <v>458</v>
      </c>
      <c r="O448" s="1556" t="s">
        <v>113</v>
      </c>
      <c r="P448" s="1842" t="s">
        <v>114</v>
      </c>
      <c r="Q448" s="1843" t="s">
        <v>138</v>
      </c>
      <c r="R448" s="2498" t="s">
        <v>686</v>
      </c>
      <c r="S448" s="3082"/>
      <c r="T448" s="2200"/>
      <c r="U448" s="4" t="b">
        <f>COUNTA(H449,H451,H453,H455,H457)&lt;&gt;0</f>
        <v>0</v>
      </c>
    </row>
    <row r="449" spans="2:21" ht="13.5" customHeight="1">
      <c r="B449" s="3367"/>
      <c r="C449" s="2443" t="s">
        <v>233</v>
      </c>
      <c r="D449" s="2444"/>
      <c r="E449" s="2418" t="e">
        <f>VLOOKUP($L$10,ＥＶ特注,2,0)</f>
        <v>#N/A</v>
      </c>
      <c r="F449" s="2420"/>
      <c r="G449" s="3274" t="s">
        <v>229</v>
      </c>
      <c r="H449" s="2075"/>
      <c r="I449" s="402" t="e">
        <f>VLOOKUP($L$10,ＥＶ特注,3,0)</f>
        <v>#N/A</v>
      </c>
      <c r="J449" s="624" t="e">
        <f>VLOOKUP($L$10,ＥＶ特注,5,0)</f>
        <v>#N/A</v>
      </c>
      <c r="K449" s="627"/>
      <c r="L449" s="179"/>
      <c r="M449" s="179"/>
      <c r="N449" s="3238" t="e">
        <f>ROUNDDOWN(H450*H452*H454*H456*H458,2)</f>
        <v>#N/A</v>
      </c>
      <c r="O449" s="3235" t="e">
        <f>INT(E449*N449)</f>
        <v>#N/A</v>
      </c>
      <c r="P449" s="3271"/>
      <c r="Q449" s="3306" t="s">
        <v>139</v>
      </c>
      <c r="R449" s="2418">
        <f>IF(ISERROR(O449),0,INT(O449*P449))</f>
        <v>0</v>
      </c>
      <c r="S449" s="2420"/>
      <c r="T449" s="2200"/>
      <c r="U449" s="4" t="b">
        <f>U448</f>
        <v>0</v>
      </c>
    </row>
    <row r="450" spans="2:21" ht="13.5" customHeight="1">
      <c r="B450" s="3367"/>
      <c r="C450" s="2445"/>
      <c r="D450" s="2444"/>
      <c r="E450" s="2448"/>
      <c r="F450" s="2450"/>
      <c r="G450" s="3275"/>
      <c r="H450" s="309" t="e">
        <f>IF(ISBLANK(H449),NA(),MAX(J450,ROUNDDOWN(J450+(I450-J450)/(I449-J449)*(H449-J449),2)))</f>
        <v>#N/A</v>
      </c>
      <c r="I450" s="308" t="e">
        <f>VLOOKUP($L$10,ＥＶ特注,4,0)</f>
        <v>#N/A</v>
      </c>
      <c r="J450" s="324" t="e">
        <f>VLOOKUP($L$10,ＥＶ特注,6,0)</f>
        <v>#N/A</v>
      </c>
      <c r="K450" s="310"/>
      <c r="L450" s="9"/>
      <c r="M450" s="9"/>
      <c r="N450" s="3239"/>
      <c r="O450" s="3236"/>
      <c r="P450" s="3294"/>
      <c r="Q450" s="3319"/>
      <c r="R450" s="2448"/>
      <c r="S450" s="2450"/>
      <c r="T450" s="2200"/>
      <c r="U450" s="4" t="b">
        <f>U448</f>
        <v>0</v>
      </c>
    </row>
    <row r="451" spans="2:21" ht="13.5" customHeight="1">
      <c r="B451" s="3367"/>
      <c r="C451" s="2445"/>
      <c r="D451" s="2444"/>
      <c r="E451" s="2448"/>
      <c r="F451" s="2450"/>
      <c r="G451" s="3274" t="s">
        <v>230</v>
      </c>
      <c r="H451" s="2073"/>
      <c r="I451" s="404" t="e">
        <f>VLOOKUP($L$10,ＥＶ特注,9,0)</f>
        <v>#N/A</v>
      </c>
      <c r="J451" s="405" t="e">
        <f>VLOOKUP($L$10,ＥＶ特注,11,0)</f>
        <v>#N/A</v>
      </c>
      <c r="K451" s="616" t="e">
        <f>VLOOKUP($L$10,ＥＶ特注,13,0)</f>
        <v>#N/A</v>
      </c>
      <c r="L451" s="629"/>
      <c r="M451" s="9"/>
      <c r="N451" s="3239"/>
      <c r="O451" s="3236"/>
      <c r="P451" s="3294"/>
      <c r="Q451" s="3319"/>
      <c r="R451" s="2448"/>
      <c r="S451" s="2450"/>
      <c r="T451" s="2200"/>
      <c r="U451" s="4" t="b">
        <f>U448</f>
        <v>0</v>
      </c>
    </row>
    <row r="452" spans="2:21" ht="13.5" customHeight="1">
      <c r="B452" s="3367"/>
      <c r="C452" s="2445"/>
      <c r="D452" s="2444"/>
      <c r="E452" s="2448"/>
      <c r="F452" s="2450"/>
      <c r="G452" s="3275"/>
      <c r="H452" s="309" t="e">
        <f>IF(ISBLANK($H451),NA(),ROUNDDOWN(1+IF($H451&gt;$J451,($I452-$J452)/($I451-$J451),($K452-$J452)/($K451-$J451))*($H451-$J451),2))</f>
        <v>#N/A</v>
      </c>
      <c r="I452" s="308" t="e">
        <f>VLOOKUP($L$10,ＥＶ特注,10,0)</f>
        <v>#N/A</v>
      </c>
      <c r="J452" s="316" t="e">
        <f>VLOOKUP($L$10,ＥＶ特注,12,0)</f>
        <v>#N/A</v>
      </c>
      <c r="K452" s="324" t="e">
        <f>VLOOKUP($L$10,ＥＶ特注,14,0)</f>
        <v>#N/A</v>
      </c>
      <c r="L452" s="317"/>
      <c r="M452" s="9"/>
      <c r="N452" s="3239"/>
      <c r="O452" s="3236"/>
      <c r="P452" s="3294"/>
      <c r="Q452" s="3319"/>
      <c r="R452" s="2448"/>
      <c r="S452" s="2450"/>
      <c r="T452" s="2200"/>
      <c r="U452" s="4" t="b">
        <f>U448</f>
        <v>0</v>
      </c>
    </row>
    <row r="453" spans="2:21" ht="13.5" customHeight="1">
      <c r="B453" s="3367"/>
      <c r="C453" s="2445"/>
      <c r="D453" s="2444"/>
      <c r="E453" s="2448"/>
      <c r="F453" s="2450"/>
      <c r="G453" s="3274" t="s">
        <v>231</v>
      </c>
      <c r="H453" s="2074"/>
      <c r="I453" s="406" t="e">
        <f>VLOOKUP($L$10,ＥＶ特注,15,0)</f>
        <v>#N/A</v>
      </c>
      <c r="J453" s="407" t="e">
        <f>VLOOKUP($L$10,ＥＶ特注,17,0)</f>
        <v>#N/A</v>
      </c>
      <c r="K453" s="615" t="e">
        <f>VLOOKUP($L$10,ＥＶ特注,19,0)</f>
        <v>#N/A</v>
      </c>
      <c r="L453" s="617"/>
      <c r="M453" s="9"/>
      <c r="N453" s="3239"/>
      <c r="O453" s="3236"/>
      <c r="P453" s="3294"/>
      <c r="Q453" s="3319"/>
      <c r="R453" s="2448"/>
      <c r="S453" s="2450"/>
      <c r="T453" s="2200"/>
      <c r="U453" s="4" t="b">
        <f>U448</f>
        <v>0</v>
      </c>
    </row>
    <row r="454" spans="2:21" ht="13.5" customHeight="1">
      <c r="B454" s="3367"/>
      <c r="C454" s="2445"/>
      <c r="D454" s="2444"/>
      <c r="E454" s="2448"/>
      <c r="F454" s="2450"/>
      <c r="G454" s="3275"/>
      <c r="H454" s="309" t="e">
        <f>IF(ISBLANK(H453),NA(),ROUNDDOWN(J454+(H453-J453)*IF(H453&gt;J453,(I454-J454)/(I453-J453),(K454-J454)/(K453-J453)),2))</f>
        <v>#N/A</v>
      </c>
      <c r="I454" s="308" t="e">
        <f>VLOOKUP($L$10,ＥＶ特注,16,0)</f>
        <v>#N/A</v>
      </c>
      <c r="J454" s="316" t="e">
        <f>VLOOKUP($L$10,ＥＶ特注,18,0)</f>
        <v>#N/A</v>
      </c>
      <c r="K454" s="324" t="e">
        <f>VLOOKUP($L$10,ＥＶ特注,20,0)</f>
        <v>#N/A</v>
      </c>
      <c r="L454" s="317"/>
      <c r="M454" s="9"/>
      <c r="N454" s="3239"/>
      <c r="O454" s="3236"/>
      <c r="P454" s="3294"/>
      <c r="Q454" s="3319"/>
      <c r="R454" s="2448"/>
      <c r="S454" s="2450"/>
      <c r="T454" s="2200"/>
      <c r="U454" s="4" t="b">
        <f>U448</f>
        <v>0</v>
      </c>
    </row>
    <row r="455" spans="2:21" ht="13.5" customHeight="1">
      <c r="B455" s="3367"/>
      <c r="C455" s="2445"/>
      <c r="D455" s="2444"/>
      <c r="E455" s="2448"/>
      <c r="F455" s="2450"/>
      <c r="G455" s="3274" t="s">
        <v>689</v>
      </c>
      <c r="H455" s="312"/>
      <c r="I455" s="313" t="e">
        <f>VLOOKUP($L$10,ＥＶ特注,21,0)</f>
        <v>#N/A</v>
      </c>
      <c r="J455" s="314" t="e">
        <f>VLOOKUP($L$10,ＥＶ特注,23,0)</f>
        <v>#N/A</v>
      </c>
      <c r="K455" s="315" t="e">
        <f>VLOOKUP($L$10,ＥＶ特注,25,0)</f>
        <v>#N/A</v>
      </c>
      <c r="L455" s="9"/>
      <c r="M455" s="9"/>
      <c r="N455" s="3239"/>
      <c r="O455" s="3236"/>
      <c r="P455" s="3294"/>
      <c r="Q455" s="3319"/>
      <c r="R455" s="2448"/>
      <c r="S455" s="2450"/>
      <c r="T455" s="2200"/>
      <c r="U455" s="4" t="b">
        <f>U448</f>
        <v>0</v>
      </c>
    </row>
    <row r="456" spans="2:21" ht="13.5" customHeight="1">
      <c r="B456" s="3367"/>
      <c r="C456" s="2445"/>
      <c r="D456" s="2444"/>
      <c r="E456" s="2448"/>
      <c r="F456" s="2450"/>
      <c r="G456" s="3275"/>
      <c r="H456" s="307" t="e">
        <f>HLOOKUP(H455,I455:M456,2,0)</f>
        <v>#N/A</v>
      </c>
      <c r="I456" s="308" t="e">
        <f>VLOOKUP($L$10,ＥＶ特注,22,0)</f>
        <v>#N/A</v>
      </c>
      <c r="J456" s="316" t="e">
        <f>VLOOKUP($L$10,ＥＶ特注,24,0)</f>
        <v>#N/A</v>
      </c>
      <c r="K456" s="309" t="e">
        <f>VLOOKUP($L$10,ＥＶ特注,26,0)</f>
        <v>#N/A</v>
      </c>
      <c r="L456" s="9"/>
      <c r="M456" s="9"/>
      <c r="N456" s="3239"/>
      <c r="O456" s="3236"/>
      <c r="P456" s="3294"/>
      <c r="Q456" s="3319"/>
      <c r="R456" s="2448"/>
      <c r="S456" s="2450"/>
      <c r="T456" s="2200"/>
      <c r="U456" s="4" t="b">
        <f>U448</f>
        <v>0</v>
      </c>
    </row>
    <row r="457" spans="2:21" ht="13.5" customHeight="1">
      <c r="B457" s="3367"/>
      <c r="C457" s="2445"/>
      <c r="D457" s="2444"/>
      <c r="E457" s="2448"/>
      <c r="F457" s="2450"/>
      <c r="G457" s="3274" t="s">
        <v>232</v>
      </c>
      <c r="H457" s="312"/>
      <c r="I457" s="313" t="e">
        <f>VLOOKUP($L$10,ＥＶ特注,27,0)</f>
        <v>#N/A</v>
      </c>
      <c r="J457" s="314" t="e">
        <f>VLOOKUP($L$10,ＥＶ特注,29,0)</f>
        <v>#N/A</v>
      </c>
      <c r="K457" s="315" t="e">
        <f>VLOOKUP($L$10,ＥＶ特注,31,0)</f>
        <v>#N/A</v>
      </c>
      <c r="L457" s="9"/>
      <c r="M457" s="9"/>
      <c r="N457" s="3239"/>
      <c r="O457" s="3236"/>
      <c r="P457" s="3294"/>
      <c r="Q457" s="3319"/>
      <c r="R457" s="2448"/>
      <c r="S457" s="2450"/>
      <c r="T457" s="2200"/>
      <c r="U457" s="4" t="b">
        <f>U448</f>
        <v>0</v>
      </c>
    </row>
    <row r="458" spans="2:21" ht="13.5" customHeight="1">
      <c r="B458" s="3367"/>
      <c r="C458" s="2445"/>
      <c r="D458" s="2444"/>
      <c r="E458" s="2448"/>
      <c r="F458" s="2640"/>
      <c r="G458" s="3330"/>
      <c r="H458" s="363" t="e">
        <f>HLOOKUP(H457,I457:M458,2,0)</f>
        <v>#N/A</v>
      </c>
      <c r="I458" s="364" t="e">
        <f>VLOOKUP($L$10,ＥＶ特注,28,0)</f>
        <v>#N/A</v>
      </c>
      <c r="J458" s="365" t="e">
        <f>VLOOKUP($L$10,ＥＶ特注,30,0)</f>
        <v>#N/A</v>
      </c>
      <c r="K458" s="366" t="e">
        <f>VLOOKUP($L$10,ＥＶ特注,32,0)</f>
        <v>#N/A</v>
      </c>
      <c r="L458" s="9"/>
      <c r="M458" s="9"/>
      <c r="N458" s="3239"/>
      <c r="O458" s="3236"/>
      <c r="P458" s="3294"/>
      <c r="Q458" s="3319"/>
      <c r="R458" s="2448"/>
      <c r="S458" s="2640"/>
      <c r="T458" s="2200"/>
      <c r="U458" s="4" t="b">
        <f>U448</f>
        <v>0</v>
      </c>
    </row>
    <row r="459" spans="2:21" ht="13.5" customHeight="1">
      <c r="B459" s="3367"/>
      <c r="C459" s="2446"/>
      <c r="D459" s="2447"/>
      <c r="E459" s="2358" t="e">
        <f>VLOOKUP($L$10,ＥＶ特注,41,0)</f>
        <v>#N/A</v>
      </c>
      <c r="F459" s="2344"/>
      <c r="G459" s="1856" t="s">
        <v>234</v>
      </c>
      <c r="H459" s="682"/>
      <c r="I459" s="127" t="s">
        <v>1209</v>
      </c>
      <c r="J459" s="128"/>
      <c r="K459" s="681"/>
      <c r="L459" s="79"/>
      <c r="M459" s="79"/>
      <c r="N459" s="683"/>
      <c r="O459" s="684">
        <f>+IF(H459="加算あり",E459,0)</f>
        <v>0</v>
      </c>
      <c r="P459" s="1706"/>
      <c r="Q459" s="685" t="s">
        <v>1210</v>
      </c>
      <c r="R459" s="2358">
        <f>O459*P459</f>
        <v>0</v>
      </c>
      <c r="S459" s="2344"/>
      <c r="T459" s="2200"/>
      <c r="U459" s="4" t="b">
        <f>AND(U448,R459)</f>
        <v>0</v>
      </c>
    </row>
    <row r="460" spans="2:21" ht="13.5" customHeight="1">
      <c r="B460" s="3367"/>
      <c r="C460" s="1578"/>
      <c r="D460" s="1580"/>
      <c r="E460" s="3243" t="s">
        <v>111</v>
      </c>
      <c r="F460" s="3244"/>
      <c r="G460" s="1549" t="s">
        <v>112</v>
      </c>
      <c r="H460" s="1547"/>
      <c r="I460" s="1547"/>
      <c r="J460" s="1547"/>
      <c r="K460" s="1547"/>
      <c r="L460" s="1547"/>
      <c r="M460" s="1548"/>
      <c r="N460" s="1556" t="s">
        <v>458</v>
      </c>
      <c r="O460" s="1556" t="s">
        <v>113</v>
      </c>
      <c r="P460" s="1842" t="s">
        <v>114</v>
      </c>
      <c r="Q460" s="1843" t="s">
        <v>138</v>
      </c>
      <c r="R460" s="2498" t="s">
        <v>686</v>
      </c>
      <c r="S460" s="3082"/>
      <c r="T460" s="2200"/>
      <c r="U460" s="4" t="b">
        <f>COUNTA(H461,H463,H465,H467,H469,P461)&lt;&gt;0</f>
        <v>0</v>
      </c>
    </row>
    <row r="461" spans="2:21" ht="13.5" customHeight="1">
      <c r="B461" s="3367"/>
      <c r="C461" s="2443" t="s">
        <v>235</v>
      </c>
      <c r="D461" s="2444"/>
      <c r="E461" s="2418" t="e">
        <f>VLOOKUP($L$10,ＥＶ高速特注,2,0)</f>
        <v>#N/A</v>
      </c>
      <c r="F461" s="2420"/>
      <c r="G461" s="3274" t="s">
        <v>229</v>
      </c>
      <c r="H461" s="2075"/>
      <c r="I461" s="402" t="e">
        <f>VLOOKUP($L$10,ＥＶ高速特注,3,0)</f>
        <v>#N/A</v>
      </c>
      <c r="J461" s="624" t="e">
        <f>VLOOKUP($L$10,ＥＶ高速特注,5,0)</f>
        <v>#N/A</v>
      </c>
      <c r="K461" s="627"/>
      <c r="L461" s="179"/>
      <c r="M461" s="179"/>
      <c r="N461" s="3238" t="e">
        <f>ROUNDDOWN(H462*H464*H466*H468*H470,2)</f>
        <v>#N/A</v>
      </c>
      <c r="O461" s="3235" t="e">
        <f>INT(E461*N461)</f>
        <v>#N/A</v>
      </c>
      <c r="P461" s="3271"/>
      <c r="Q461" s="2515" t="s">
        <v>139</v>
      </c>
      <c r="R461" s="2418">
        <f>IF(ISERROR(INT(O461*P461)),0,INT(O461*P461))</f>
        <v>0</v>
      </c>
      <c r="S461" s="2420"/>
      <c r="T461" s="2200"/>
      <c r="U461" s="4" t="b">
        <f>U460</f>
        <v>0</v>
      </c>
    </row>
    <row r="462" spans="2:21" ht="13.5" customHeight="1">
      <c r="B462" s="3367"/>
      <c r="C462" s="2445"/>
      <c r="D462" s="2444"/>
      <c r="E462" s="2448"/>
      <c r="F462" s="2640"/>
      <c r="G462" s="3275"/>
      <c r="H462" s="309" t="e">
        <f>IF(ISBLANK(H461),NA(),MAX(J462,ROUNDDOWN(J462+(I462-J462)/(I461-J461)*(H461-J461),2)))</f>
        <v>#N/A</v>
      </c>
      <c r="I462" s="308" t="e">
        <f>VLOOKUP($L$10,ＥＶ高速特注,4,0)</f>
        <v>#N/A</v>
      </c>
      <c r="J462" s="324" t="e">
        <f>VLOOKUP($L$10,ＥＶ高速特注,6,0)</f>
        <v>#N/A</v>
      </c>
      <c r="K462" s="317"/>
      <c r="L462" s="9"/>
      <c r="M462" s="9"/>
      <c r="N462" s="3239"/>
      <c r="O462" s="3236"/>
      <c r="P462" s="3272"/>
      <c r="Q462" s="2757"/>
      <c r="R462" s="2448"/>
      <c r="S462" s="2640"/>
      <c r="T462" s="2200"/>
      <c r="U462" s="4" t="b">
        <f>U460</f>
        <v>0</v>
      </c>
    </row>
    <row r="463" spans="2:21" ht="13.5" customHeight="1">
      <c r="B463" s="3367"/>
      <c r="C463" s="2445"/>
      <c r="D463" s="2444"/>
      <c r="E463" s="2448"/>
      <c r="F463" s="2640"/>
      <c r="G463" s="3274" t="s">
        <v>230</v>
      </c>
      <c r="H463" s="2076"/>
      <c r="I463" s="404" t="e">
        <f>VLOOKUP($L$10,ＥＶ高速特注,9,0)</f>
        <v>#N/A</v>
      </c>
      <c r="J463" s="616" t="e">
        <f>VLOOKUP($L$10,ＥＶ高速特注,11,0)</f>
        <v>#N/A</v>
      </c>
      <c r="K463" s="629"/>
      <c r="L463" s="9"/>
      <c r="M463" s="9"/>
      <c r="N463" s="3239"/>
      <c r="O463" s="3236"/>
      <c r="P463" s="3272"/>
      <c r="Q463" s="2757"/>
      <c r="R463" s="2448"/>
      <c r="S463" s="2640"/>
      <c r="T463" s="2200"/>
      <c r="U463" s="4" t="b">
        <f>U460</f>
        <v>0</v>
      </c>
    </row>
    <row r="464" spans="2:21" ht="13.5" customHeight="1">
      <c r="B464" s="3367"/>
      <c r="C464" s="2445"/>
      <c r="D464" s="2444"/>
      <c r="E464" s="2448"/>
      <c r="F464" s="2640"/>
      <c r="G464" s="3275"/>
      <c r="H464" s="309" t="e">
        <f>IF(H463&lt;2,NA(),ROUNDDOWN(J464+(I464-J464)/(I463-J463)*(H463-J463),2))</f>
        <v>#N/A</v>
      </c>
      <c r="I464" s="308" t="e">
        <f>VLOOKUP($L$10,ＥＶ高速特注,10,0)</f>
        <v>#N/A</v>
      </c>
      <c r="J464" s="324" t="e">
        <f>VLOOKUP($L$10,ＥＶ高速特注,12,0)</f>
        <v>#N/A</v>
      </c>
      <c r="K464" s="317"/>
      <c r="L464" s="9"/>
      <c r="M464" s="9"/>
      <c r="N464" s="3239"/>
      <c r="O464" s="3236"/>
      <c r="P464" s="3272"/>
      <c r="Q464" s="2757"/>
      <c r="R464" s="2448"/>
      <c r="S464" s="2640"/>
      <c r="T464" s="2200"/>
      <c r="U464" s="4" t="b">
        <f>U460</f>
        <v>0</v>
      </c>
    </row>
    <row r="465" spans="2:21" ht="13.5" customHeight="1">
      <c r="B465" s="3367"/>
      <c r="C465" s="2445"/>
      <c r="D465" s="2444"/>
      <c r="E465" s="2448"/>
      <c r="F465" s="2640"/>
      <c r="G465" s="3274" t="s">
        <v>231</v>
      </c>
      <c r="H465" s="2077"/>
      <c r="I465" s="406" t="e">
        <f>VLOOKUP($L$10,ＥＶ高速特注,15,0)</f>
        <v>#N/A</v>
      </c>
      <c r="J465" s="615" t="e">
        <f>VLOOKUP($L$10,ＥＶ高速特注,17,0)</f>
        <v>#N/A</v>
      </c>
      <c r="K465" s="617"/>
      <c r="L465" s="9"/>
      <c r="M465" s="9"/>
      <c r="N465" s="3239"/>
      <c r="O465" s="3236"/>
      <c r="P465" s="3272"/>
      <c r="Q465" s="2757"/>
      <c r="R465" s="2448"/>
      <c r="S465" s="2640"/>
      <c r="T465" s="2200"/>
      <c r="U465" s="4" t="b">
        <f>U460</f>
        <v>0</v>
      </c>
    </row>
    <row r="466" spans="2:21" ht="13.5" customHeight="1">
      <c r="B466" s="3367"/>
      <c r="C466" s="2445"/>
      <c r="D466" s="2444"/>
      <c r="E466" s="2448"/>
      <c r="F466" s="2640"/>
      <c r="G466" s="3275"/>
      <c r="H466" s="309" t="e">
        <f>IF(ISBLANK(H465),NA(),MAX($J466,ROUNDDOWN($J466+($I466-$J466)/($I465-$J465)*($H465-$J465),2)))</f>
        <v>#N/A</v>
      </c>
      <c r="I466" s="308" t="e">
        <f>VLOOKUP($L$10,ＥＶ高速特注,16,0)</f>
        <v>#N/A</v>
      </c>
      <c r="J466" s="324" t="e">
        <f>VLOOKUP($L$10,ＥＶ高速特注,18,0)</f>
        <v>#N/A</v>
      </c>
      <c r="K466" s="310"/>
      <c r="L466" s="9"/>
      <c r="M466" s="9"/>
      <c r="N466" s="3239"/>
      <c r="O466" s="3236"/>
      <c r="P466" s="3272"/>
      <c r="Q466" s="2757"/>
      <c r="R466" s="2448"/>
      <c r="S466" s="2640"/>
      <c r="T466" s="2200"/>
      <c r="U466" s="4" t="b">
        <f>U460</f>
        <v>0</v>
      </c>
    </row>
    <row r="467" spans="2:21" ht="13.5" customHeight="1">
      <c r="B467" s="3367"/>
      <c r="C467" s="2445"/>
      <c r="D467" s="2444"/>
      <c r="E467" s="2448"/>
      <c r="F467" s="2640"/>
      <c r="G467" s="3274" t="s">
        <v>689</v>
      </c>
      <c r="H467" s="312"/>
      <c r="I467" s="313" t="e">
        <f>VLOOKUP($L$10,ＥＶ高速特注,21,0)</f>
        <v>#N/A</v>
      </c>
      <c r="J467" s="314" t="e">
        <f>VLOOKUP($L$10,ＥＶ高速特注,23,0)</f>
        <v>#N/A</v>
      </c>
      <c r="K467" s="315" t="e">
        <f>VLOOKUP($L$10,ＥＶ高速特注,25,0)</f>
        <v>#N/A</v>
      </c>
      <c r="L467" s="9"/>
      <c r="M467" s="9"/>
      <c r="N467" s="3239"/>
      <c r="O467" s="3236"/>
      <c r="P467" s="3272"/>
      <c r="Q467" s="2757"/>
      <c r="R467" s="2448"/>
      <c r="S467" s="2640"/>
      <c r="T467" s="2200"/>
      <c r="U467" s="4" t="b">
        <f>U460</f>
        <v>0</v>
      </c>
    </row>
    <row r="468" spans="2:21" ht="13.5" customHeight="1">
      <c r="B468" s="3367"/>
      <c r="C468" s="2445"/>
      <c r="D468" s="2444"/>
      <c r="E468" s="2448"/>
      <c r="F468" s="2640"/>
      <c r="G468" s="3275"/>
      <c r="H468" s="307" t="e">
        <f>HLOOKUP(H467,I467:M468,2,0)</f>
        <v>#N/A</v>
      </c>
      <c r="I468" s="308" t="e">
        <f>VLOOKUP($L$10,ＥＶ高速特注,22,0)</f>
        <v>#N/A</v>
      </c>
      <c r="J468" s="316" t="e">
        <f>VLOOKUP($L$10,ＥＶ高速特注,24,0)</f>
        <v>#N/A</v>
      </c>
      <c r="K468" s="309" t="e">
        <f>VLOOKUP($L$10,ＥＶ高速特注,26,0)</f>
        <v>#N/A</v>
      </c>
      <c r="L468" s="9"/>
      <c r="M468" s="9"/>
      <c r="N468" s="3239"/>
      <c r="O468" s="3236"/>
      <c r="P468" s="3272"/>
      <c r="Q468" s="2757"/>
      <c r="R468" s="2448"/>
      <c r="S468" s="2640"/>
      <c r="T468" s="2200"/>
      <c r="U468" s="4" t="b">
        <f>U460</f>
        <v>0</v>
      </c>
    </row>
    <row r="469" spans="2:21" ht="13.5" customHeight="1">
      <c r="B469" s="3367"/>
      <c r="C469" s="2445"/>
      <c r="D469" s="2444"/>
      <c r="E469" s="2448"/>
      <c r="F469" s="2640"/>
      <c r="G469" s="3274" t="s">
        <v>232</v>
      </c>
      <c r="H469" s="312"/>
      <c r="I469" s="313" t="e">
        <f>VLOOKUP($L$10,ＥＶ高速特注,27,0)</f>
        <v>#N/A</v>
      </c>
      <c r="J469" s="314" t="e">
        <f>VLOOKUP($L$10,ＥＶ高速特注,29,0)</f>
        <v>#N/A</v>
      </c>
      <c r="K469" s="315" t="e">
        <f>VLOOKUP($L$10,ＥＶ高速特注,31,0)</f>
        <v>#N/A</v>
      </c>
      <c r="L469" s="9"/>
      <c r="M469" s="9"/>
      <c r="N469" s="3239"/>
      <c r="O469" s="3236"/>
      <c r="P469" s="3272"/>
      <c r="Q469" s="2757"/>
      <c r="R469" s="2448"/>
      <c r="S469" s="2640"/>
      <c r="T469" s="2200"/>
      <c r="U469" s="4" t="b">
        <f>U460</f>
        <v>0</v>
      </c>
    </row>
    <row r="470" spans="2:21" ht="13.5" customHeight="1">
      <c r="B470" s="3367"/>
      <c r="C470" s="2445"/>
      <c r="D470" s="2444"/>
      <c r="E470" s="2448"/>
      <c r="F470" s="2640"/>
      <c r="G470" s="3330"/>
      <c r="H470" s="363" t="e">
        <f>HLOOKUP(H469,I469:M470,2,0)</f>
        <v>#N/A</v>
      </c>
      <c r="I470" s="364" t="e">
        <f>VLOOKUP($L$10,ＥＶ高速特注,28,0)</f>
        <v>#N/A</v>
      </c>
      <c r="J470" s="365" t="e">
        <f>VLOOKUP($L$10,ＥＶ高速特注,30,0)</f>
        <v>#N/A</v>
      </c>
      <c r="K470" s="366" t="e">
        <f>VLOOKUP($L$10,ＥＶ高速特注,32,0)</f>
        <v>#N/A</v>
      </c>
      <c r="L470" s="9"/>
      <c r="M470" s="9"/>
      <c r="N470" s="3239"/>
      <c r="O470" s="3236"/>
      <c r="P470" s="3272"/>
      <c r="Q470" s="2757"/>
      <c r="R470" s="2448"/>
      <c r="S470" s="2640"/>
      <c r="T470" s="2200"/>
      <c r="U470" s="4" t="b">
        <f>U460</f>
        <v>0</v>
      </c>
    </row>
    <row r="471" spans="2:21" ht="13.5" customHeight="1">
      <c r="B471" s="3367"/>
      <c r="C471" s="2446"/>
      <c r="D471" s="2447"/>
      <c r="E471" s="2358" t="e">
        <f>VLOOKUP($L$10,ＥＶ高速特注,41,0)</f>
        <v>#N/A</v>
      </c>
      <c r="F471" s="2344"/>
      <c r="G471" s="1856" t="s">
        <v>234</v>
      </c>
      <c r="H471" s="682"/>
      <c r="I471" s="127" t="s">
        <v>1209</v>
      </c>
      <c r="J471" s="128"/>
      <c r="K471" s="681"/>
      <c r="L471" s="79"/>
      <c r="M471" s="79"/>
      <c r="N471" s="683"/>
      <c r="O471" s="684">
        <f>+IF(H471="加算あり",E471,0)</f>
        <v>0</v>
      </c>
      <c r="P471" s="1706"/>
      <c r="Q471" s="685" t="s">
        <v>1210</v>
      </c>
      <c r="R471" s="2358">
        <f>O471*P471</f>
        <v>0</v>
      </c>
      <c r="S471" s="2344"/>
      <c r="T471" s="2200"/>
      <c r="U471" s="4" t="b">
        <f>AND(U460,R471)</f>
        <v>0</v>
      </c>
    </row>
    <row r="472" spans="2:21" ht="13.5" customHeight="1">
      <c r="B472" s="3367"/>
      <c r="C472" s="1578"/>
      <c r="D472" s="1580"/>
      <c r="E472" s="3243" t="s">
        <v>111</v>
      </c>
      <c r="F472" s="3244"/>
      <c r="G472" s="1549" t="s">
        <v>112</v>
      </c>
      <c r="H472" s="1547"/>
      <c r="I472" s="1547"/>
      <c r="J472" s="1547"/>
      <c r="K472" s="1547"/>
      <c r="L472" s="1547"/>
      <c r="M472" s="1548"/>
      <c r="N472" s="1556" t="s">
        <v>458</v>
      </c>
      <c r="O472" s="1556" t="s">
        <v>113</v>
      </c>
      <c r="P472" s="1842" t="s">
        <v>114</v>
      </c>
      <c r="Q472" s="1843" t="s">
        <v>138</v>
      </c>
      <c r="R472" s="2498" t="s">
        <v>686</v>
      </c>
      <c r="S472" s="3082"/>
      <c r="T472" s="2200"/>
      <c r="U472" s="4" t="b">
        <f>COUNTA(H473,H475,H477,H479,H481,P473)&lt;&gt;0</f>
        <v>0</v>
      </c>
    </row>
    <row r="473" spans="2:21" ht="13.5" customHeight="1">
      <c r="B473" s="3367"/>
      <c r="C473" s="2443" t="s">
        <v>236</v>
      </c>
      <c r="D473" s="2444"/>
      <c r="E473" s="2418" t="e">
        <f>VLOOKUP($L$10,寝台ＥＶ,2,0)</f>
        <v>#N/A</v>
      </c>
      <c r="F473" s="2420"/>
      <c r="G473" s="3274" t="s">
        <v>229</v>
      </c>
      <c r="H473" s="2075"/>
      <c r="I473" s="402" t="e">
        <f>VLOOKUP($L$10,寝台ＥＶ,3,0)</f>
        <v>#N/A</v>
      </c>
      <c r="J473" s="403" t="e">
        <f>VLOOKUP($L$10,寝台ＥＶ,5,0)</f>
        <v>#N/A</v>
      </c>
      <c r="K473" s="620"/>
      <c r="L473" s="179"/>
      <c r="M473" s="179"/>
      <c r="N473" s="3238" t="e">
        <f>ROUNDDOWN(H474*H476*H478*H480*H482,2)</f>
        <v>#N/A</v>
      </c>
      <c r="O473" s="3235" t="e">
        <f>INT(E473*N473)</f>
        <v>#N/A</v>
      </c>
      <c r="P473" s="3271"/>
      <c r="Q473" s="3306" t="s">
        <v>139</v>
      </c>
      <c r="R473" s="2418">
        <f>IF(ISERROR(INT(O473*P473)),0,INT(O473*P473))</f>
        <v>0</v>
      </c>
      <c r="S473" s="2420"/>
      <c r="T473" s="2200"/>
      <c r="U473" s="4" t="b">
        <f>U472</f>
        <v>0</v>
      </c>
    </row>
    <row r="474" spans="2:21" ht="13.5" customHeight="1">
      <c r="B474" s="3367"/>
      <c r="C474" s="2445"/>
      <c r="D474" s="2444"/>
      <c r="E474" s="2448"/>
      <c r="F474" s="2450"/>
      <c r="G474" s="3275"/>
      <c r="H474" s="309" t="e">
        <f>IF(ISBLANK(H473),NA(),MAX(J474,ROUNDDOWN(J474+(I474-J474)/(I473-J473)*(H473-J473),2)))</f>
        <v>#N/A</v>
      </c>
      <c r="I474" s="308" t="e">
        <f>VLOOKUP($L$10,寝台ＥＶ,4,0)</f>
        <v>#N/A</v>
      </c>
      <c r="J474" s="316" t="e">
        <f>VLOOKUP($L$10,寝台ＥＶ,6,0)</f>
        <v>#N/A</v>
      </c>
      <c r="K474" s="605"/>
      <c r="L474" s="9"/>
      <c r="M474" s="9"/>
      <c r="N474" s="3239"/>
      <c r="O474" s="3236"/>
      <c r="P474" s="3272"/>
      <c r="Q474" s="2461"/>
      <c r="R474" s="2448"/>
      <c r="S474" s="2450"/>
      <c r="T474" s="2200"/>
      <c r="U474" s="4" t="b">
        <f>U472</f>
        <v>0</v>
      </c>
    </row>
    <row r="475" spans="2:21" ht="13.5" customHeight="1">
      <c r="B475" s="3367"/>
      <c r="C475" s="2445"/>
      <c r="D475" s="2444"/>
      <c r="E475" s="2448"/>
      <c r="F475" s="2450"/>
      <c r="G475" s="3274" t="s">
        <v>230</v>
      </c>
      <c r="H475" s="2073"/>
      <c r="I475" s="404" t="e">
        <f>VLOOKUP($L$10,寝台ＥＶ,9,0)</f>
        <v>#N/A</v>
      </c>
      <c r="J475" s="405" t="e">
        <f>VLOOKUP($L$10,寝台ＥＶ,11,0)</f>
        <v>#N/A</v>
      </c>
      <c r="K475" s="616" t="e">
        <f>VLOOKUP($L$10,寝台ＥＶ,13,0)</f>
        <v>#N/A</v>
      </c>
      <c r="L475" s="629"/>
      <c r="M475" s="9"/>
      <c r="N475" s="3239"/>
      <c r="O475" s="3236"/>
      <c r="P475" s="3272"/>
      <c r="Q475" s="2461"/>
      <c r="R475" s="2448"/>
      <c r="S475" s="2450"/>
      <c r="T475" s="2200"/>
      <c r="U475" s="4" t="b">
        <f>U472</f>
        <v>0</v>
      </c>
    </row>
    <row r="476" spans="2:21" ht="13.5" customHeight="1">
      <c r="B476" s="3367"/>
      <c r="C476" s="2445"/>
      <c r="D476" s="2444"/>
      <c r="E476" s="2448"/>
      <c r="F476" s="2450"/>
      <c r="G476" s="3275"/>
      <c r="H476" s="309" t="e">
        <f>IF(ISBLANK($H475),NA(),ROUNDDOWN(1+IF($H475&gt;$J475,($I476-$J476)/($I475-$J475),($K476-$J476)/($K475-$J475))*($H475-$J475),2))</f>
        <v>#N/A</v>
      </c>
      <c r="I476" s="308" t="e">
        <f>VLOOKUP($L$10,寝台ＥＶ,10,0)</f>
        <v>#N/A</v>
      </c>
      <c r="J476" s="316" t="e">
        <f>VLOOKUP($L$10,寝台ＥＶ,12,0)</f>
        <v>#N/A</v>
      </c>
      <c r="K476" s="324" t="e">
        <f>VLOOKUP($L$10,寝台ＥＶ,14,0)</f>
        <v>#N/A</v>
      </c>
      <c r="L476" s="317"/>
      <c r="M476" s="9"/>
      <c r="N476" s="3239"/>
      <c r="O476" s="3236"/>
      <c r="P476" s="3272"/>
      <c r="Q476" s="2461"/>
      <c r="R476" s="2448"/>
      <c r="S476" s="2450"/>
      <c r="T476" s="2200"/>
      <c r="U476" s="4" t="b">
        <f>U472</f>
        <v>0</v>
      </c>
    </row>
    <row r="477" spans="2:21" ht="13.5" customHeight="1">
      <c r="B477" s="3367"/>
      <c r="C477" s="2445"/>
      <c r="D477" s="2444"/>
      <c r="E477" s="2448"/>
      <c r="F477" s="2450"/>
      <c r="G477" s="3274" t="s">
        <v>231</v>
      </c>
      <c r="H477" s="2074"/>
      <c r="I477" s="406" t="e">
        <f>VLOOKUP($L$10,寝台ＥＶ,15,0)</f>
        <v>#N/A</v>
      </c>
      <c r="J477" s="407" t="e">
        <f>VLOOKUP($L$10,寝台ＥＶ,17,0)</f>
        <v>#N/A</v>
      </c>
      <c r="K477" s="615" t="e">
        <f>VLOOKUP($L$10,寝台ＥＶ,19,0)</f>
        <v>#N/A</v>
      </c>
      <c r="L477" s="617"/>
      <c r="M477" s="9"/>
      <c r="N477" s="3239"/>
      <c r="O477" s="3236"/>
      <c r="P477" s="3272"/>
      <c r="Q477" s="2461"/>
      <c r="R477" s="2448"/>
      <c r="S477" s="2450"/>
      <c r="T477" s="2200"/>
      <c r="U477" s="4" t="b">
        <f>U472</f>
        <v>0</v>
      </c>
    </row>
    <row r="478" spans="2:21" ht="13.5" customHeight="1">
      <c r="B478" s="3367"/>
      <c r="C478" s="2445"/>
      <c r="D478" s="2444"/>
      <c r="E478" s="2448"/>
      <c r="F478" s="2450"/>
      <c r="G478" s="3275"/>
      <c r="H478" s="309" t="e">
        <f>IF(ISBLANK(H477),NA(),ROUNDDOWN(J478+(H477-J477)*IF(H477&gt;J477,(I478-J478)/(I477-J477),(K478-J478)/(K477-J477)),2))</f>
        <v>#N/A</v>
      </c>
      <c r="I478" s="308" t="e">
        <f>VLOOKUP($L$10,寝台ＥＶ,16,0)</f>
        <v>#N/A</v>
      </c>
      <c r="J478" s="316" t="e">
        <f>VLOOKUP($L$10,寝台ＥＶ,18,0)</f>
        <v>#N/A</v>
      </c>
      <c r="K478" s="324" t="e">
        <f>VLOOKUP($L$10,寝台ＥＶ,20,0)</f>
        <v>#N/A</v>
      </c>
      <c r="L478" s="317"/>
      <c r="M478" s="9"/>
      <c r="N478" s="3239"/>
      <c r="O478" s="3236"/>
      <c r="P478" s="3272"/>
      <c r="Q478" s="2461"/>
      <c r="R478" s="2448"/>
      <c r="S478" s="2450"/>
      <c r="T478" s="2200"/>
      <c r="U478" s="4" t="b">
        <f>U472</f>
        <v>0</v>
      </c>
    </row>
    <row r="479" spans="2:21" ht="13.5" customHeight="1">
      <c r="B479" s="3367"/>
      <c r="C479" s="2445"/>
      <c r="D479" s="2444"/>
      <c r="E479" s="2448"/>
      <c r="F479" s="2450"/>
      <c r="G479" s="3274" t="s">
        <v>689</v>
      </c>
      <c r="H479" s="312"/>
      <c r="I479" s="313" t="e">
        <f>VLOOKUP($L$10,寝台ＥＶ,21,0)</f>
        <v>#N/A</v>
      </c>
      <c r="J479" s="314" t="e">
        <f>VLOOKUP($L$10,寝台ＥＶ,23,0)</f>
        <v>#N/A</v>
      </c>
      <c r="K479" s="318" t="e">
        <f>VLOOKUP($L$10,寝台ＥＶ,25,0)</f>
        <v>#N/A</v>
      </c>
      <c r="L479" s="189"/>
      <c r="M479" s="9"/>
      <c r="N479" s="3239"/>
      <c r="O479" s="3236"/>
      <c r="P479" s="3272"/>
      <c r="Q479" s="2461"/>
      <c r="R479" s="2448"/>
      <c r="S479" s="2450"/>
      <c r="T479" s="2200"/>
      <c r="U479" s="4" t="b">
        <f>U472</f>
        <v>0</v>
      </c>
    </row>
    <row r="480" spans="2:21" ht="13.5" customHeight="1">
      <c r="B480" s="3367"/>
      <c r="C480" s="2445"/>
      <c r="D480" s="2444"/>
      <c r="E480" s="2448"/>
      <c r="F480" s="2450"/>
      <c r="G480" s="3275"/>
      <c r="H480" s="307" t="e">
        <f>HLOOKUP(H479,I479:M480,2,0)</f>
        <v>#N/A</v>
      </c>
      <c r="I480" s="308" t="e">
        <f>VLOOKUP($L$10,寝台ＥＶ,22,0)</f>
        <v>#N/A</v>
      </c>
      <c r="J480" s="316" t="e">
        <f>VLOOKUP($L$10,寝台ＥＶ,24,0)</f>
        <v>#N/A</v>
      </c>
      <c r="K480" s="309" t="e">
        <f>VLOOKUP($L$10,寝台ＥＶ,26,0)</f>
        <v>#N/A</v>
      </c>
      <c r="L480" s="9"/>
      <c r="M480" s="9"/>
      <c r="N480" s="3239"/>
      <c r="O480" s="3236"/>
      <c r="P480" s="3272"/>
      <c r="Q480" s="2461"/>
      <c r="R480" s="2448"/>
      <c r="S480" s="2450"/>
      <c r="T480" s="2200"/>
      <c r="U480" s="4" t="b">
        <f>U472</f>
        <v>0</v>
      </c>
    </row>
    <row r="481" spans="2:21" ht="13.5" customHeight="1">
      <c r="B481" s="3367"/>
      <c r="C481" s="2445"/>
      <c r="D481" s="2444"/>
      <c r="E481" s="2448"/>
      <c r="F481" s="2450"/>
      <c r="G481" s="3274" t="s">
        <v>232</v>
      </c>
      <c r="H481" s="312"/>
      <c r="I481" s="313" t="e">
        <f>VLOOKUP($L$10,寝台ＥＶ,27,0)</f>
        <v>#N/A</v>
      </c>
      <c r="J481" s="314" t="e">
        <f>VLOOKUP($L$10,寝台ＥＶ,29,0)</f>
        <v>#N/A</v>
      </c>
      <c r="K481" s="315" t="e">
        <f>VLOOKUP($L$10,寝台ＥＶ,31,0)</f>
        <v>#N/A</v>
      </c>
      <c r="L481" s="9"/>
      <c r="M481" s="9"/>
      <c r="N481" s="3239"/>
      <c r="O481" s="3236"/>
      <c r="P481" s="3272"/>
      <c r="Q481" s="2461"/>
      <c r="R481" s="2448"/>
      <c r="S481" s="2450"/>
      <c r="T481" s="2200"/>
      <c r="U481" s="4" t="b">
        <f>U472</f>
        <v>0</v>
      </c>
    </row>
    <row r="482" spans="2:21" ht="13.5" customHeight="1">
      <c r="B482" s="3367"/>
      <c r="C482" s="2446"/>
      <c r="D482" s="2447"/>
      <c r="E482" s="2421"/>
      <c r="F482" s="2423"/>
      <c r="G482" s="3275"/>
      <c r="H482" s="307" t="e">
        <f>HLOOKUP(H481,I481:M482,2,0)</f>
        <v>#N/A</v>
      </c>
      <c r="I482" s="308" t="e">
        <f>VLOOKUP($L$10,寝台ＥＶ,28,0)</f>
        <v>#N/A</v>
      </c>
      <c r="J482" s="316" t="e">
        <f>VLOOKUP($L$10,寝台ＥＶ,30,0)</f>
        <v>#N/A</v>
      </c>
      <c r="K482" s="309" t="e">
        <f>VLOOKUP($L$10,寝台ＥＶ,32,0)</f>
        <v>#N/A</v>
      </c>
      <c r="L482" s="44"/>
      <c r="M482" s="44"/>
      <c r="N482" s="3240"/>
      <c r="O482" s="3237"/>
      <c r="P482" s="3290"/>
      <c r="Q482" s="2516"/>
      <c r="R482" s="2421"/>
      <c r="S482" s="2423"/>
      <c r="T482" s="2200"/>
      <c r="U482" s="4" t="b">
        <f>U472</f>
        <v>0</v>
      </c>
    </row>
    <row r="483" spans="2:21" ht="13.5" customHeight="1">
      <c r="B483" s="3367"/>
      <c r="C483" s="1578"/>
      <c r="D483" s="1580"/>
      <c r="E483" s="3243" t="s">
        <v>111</v>
      </c>
      <c r="F483" s="3244"/>
      <c r="G483" s="1549" t="s">
        <v>112</v>
      </c>
      <c r="H483" s="1547"/>
      <c r="I483" s="1547"/>
      <c r="J483" s="1547"/>
      <c r="K483" s="1547"/>
      <c r="L483" s="1547"/>
      <c r="M483" s="1548"/>
      <c r="N483" s="1556" t="s">
        <v>458</v>
      </c>
      <c r="O483" s="1556" t="s">
        <v>113</v>
      </c>
      <c r="P483" s="1842" t="s">
        <v>114</v>
      </c>
      <c r="Q483" s="1843" t="s">
        <v>138</v>
      </c>
      <c r="R483" s="2498" t="s">
        <v>686</v>
      </c>
      <c r="S483" s="3082"/>
      <c r="T483" s="2200"/>
      <c r="U483" s="4" t="b">
        <f>COUNTA(H484,H486,H488,H490,P484)&lt;&gt;0</f>
        <v>0</v>
      </c>
    </row>
    <row r="484" spans="2:21" ht="13.5" customHeight="1">
      <c r="B484" s="3367"/>
      <c r="C484" s="2443" t="s">
        <v>237</v>
      </c>
      <c r="D484" s="2444"/>
      <c r="E484" s="2418" t="e">
        <f>VLOOKUP($L$10,人荷ＥＶ,2,0)</f>
        <v>#N/A</v>
      </c>
      <c r="F484" s="2420"/>
      <c r="G484" s="3274" t="s">
        <v>229</v>
      </c>
      <c r="H484" s="2072"/>
      <c r="I484" s="402" t="e">
        <f>VLOOKUP($L$10,人荷ＥＶ,3,0)</f>
        <v>#N/A</v>
      </c>
      <c r="J484" s="403" t="e">
        <f>VLOOKUP($L$10,人荷ＥＶ,5,0)</f>
        <v>#N/A</v>
      </c>
      <c r="K484" s="624" t="e">
        <f>VLOOKUP($L$10,人荷ＥＶ,7,0)</f>
        <v>#N/A</v>
      </c>
      <c r="L484" s="627"/>
      <c r="M484" s="179"/>
      <c r="N484" s="3238" t="e">
        <f>ROUNDDOWN(H485*H487*H489*H491,2)</f>
        <v>#N/A</v>
      </c>
      <c r="O484" s="3235" t="e">
        <f>INT(E484*N484)</f>
        <v>#N/A</v>
      </c>
      <c r="P484" s="3271"/>
      <c r="Q484" s="3306" t="s">
        <v>139</v>
      </c>
      <c r="R484" s="2418">
        <f>IF(ISERROR(INT(O484*P484)),0,INT(O484*P484))</f>
        <v>0</v>
      </c>
      <c r="S484" s="2420"/>
      <c r="T484" s="2200"/>
      <c r="U484" s="4" t="b">
        <f>U483</f>
        <v>0</v>
      </c>
    </row>
    <row r="485" spans="2:21" ht="13.5" customHeight="1">
      <c r="B485" s="3367"/>
      <c r="C485" s="2445"/>
      <c r="D485" s="2444"/>
      <c r="E485" s="2448"/>
      <c r="F485" s="2450"/>
      <c r="G485" s="3275"/>
      <c r="H485" s="309" t="e">
        <f>IF(ISBLANK(H484),NA(),ROUNDDOWN(J485+(H484-J484)*IF(H484&gt;J484,(I485-J485)/(I484-J484),(K485-J485)/(K484-J484)),2))</f>
        <v>#N/A</v>
      </c>
      <c r="I485" s="308" t="e">
        <f>VLOOKUP($L$10,人荷ＥＶ,4,0)</f>
        <v>#N/A</v>
      </c>
      <c r="J485" s="316" t="e">
        <f>VLOOKUP($L$10,人荷ＥＶ,6,0)</f>
        <v>#N/A</v>
      </c>
      <c r="K485" s="324" t="e">
        <f>VLOOKUP($L$10,人荷ＥＶ,8,0)</f>
        <v>#N/A</v>
      </c>
      <c r="L485" s="317"/>
      <c r="M485" s="9"/>
      <c r="N485" s="3239"/>
      <c r="O485" s="3236"/>
      <c r="P485" s="3272"/>
      <c r="Q485" s="2461"/>
      <c r="R485" s="2448"/>
      <c r="S485" s="2450"/>
      <c r="T485" s="2200"/>
      <c r="U485" s="4" t="b">
        <f>U483</f>
        <v>0</v>
      </c>
    </row>
    <row r="486" spans="2:21" ht="13.5" customHeight="1">
      <c r="B486" s="3367"/>
      <c r="C486" s="2445"/>
      <c r="D486" s="2444"/>
      <c r="E486" s="2448"/>
      <c r="F486" s="2450"/>
      <c r="G486" s="3274" t="s">
        <v>230</v>
      </c>
      <c r="H486" s="2073"/>
      <c r="I486" s="404" t="e">
        <f>VLOOKUP($L$10,人荷ＥＶ,9,0)</f>
        <v>#N/A</v>
      </c>
      <c r="J486" s="405" t="e">
        <f>VLOOKUP($L$10,人荷ＥＶ,11,0)</f>
        <v>#N/A</v>
      </c>
      <c r="K486" s="616" t="e">
        <f>VLOOKUP($L$10,人荷ＥＶ,13,0)</f>
        <v>#N/A</v>
      </c>
      <c r="L486" s="629"/>
      <c r="M486" s="9"/>
      <c r="N486" s="3239"/>
      <c r="O486" s="3236"/>
      <c r="P486" s="3272"/>
      <c r="Q486" s="2461"/>
      <c r="R486" s="2448"/>
      <c r="S486" s="2450"/>
      <c r="T486" s="2200"/>
      <c r="U486" s="4" t="b">
        <f>U483</f>
        <v>0</v>
      </c>
    </row>
    <row r="487" spans="2:21" ht="13.5" customHeight="1">
      <c r="B487" s="3367"/>
      <c r="C487" s="2445"/>
      <c r="D487" s="2444"/>
      <c r="E487" s="2448"/>
      <c r="F487" s="2450"/>
      <c r="G487" s="3275"/>
      <c r="H487" s="309" t="e">
        <f>IF(ISBLANK($H486),NA(),ROUNDDOWN(1+IF($H486&gt;$J486,($I487-$J487)/($I486-$J486),($K487-$J487)/($K486-$J486))*($H486-$J486),2))</f>
        <v>#N/A</v>
      </c>
      <c r="I487" s="308" t="e">
        <f>VLOOKUP($L$10,人荷ＥＶ,10,0)</f>
        <v>#N/A</v>
      </c>
      <c r="J487" s="316" t="e">
        <f>VLOOKUP($L$10,人荷ＥＶ,12,0)</f>
        <v>#N/A</v>
      </c>
      <c r="K487" s="324" t="e">
        <f>VLOOKUP($L$10,人荷ＥＶ,14,0)</f>
        <v>#N/A</v>
      </c>
      <c r="L487" s="317"/>
      <c r="M487" s="9"/>
      <c r="N487" s="3239"/>
      <c r="O487" s="3236"/>
      <c r="P487" s="3272"/>
      <c r="Q487" s="2461"/>
      <c r="R487" s="2448"/>
      <c r="S487" s="2450"/>
      <c r="T487" s="2200"/>
      <c r="U487" s="4" t="b">
        <f>U483</f>
        <v>0</v>
      </c>
    </row>
    <row r="488" spans="2:21" ht="13.5" customHeight="1">
      <c r="B488" s="3367"/>
      <c r="C488" s="2445"/>
      <c r="D488" s="2444"/>
      <c r="E488" s="2448"/>
      <c r="F488" s="2450"/>
      <c r="G488" s="3274" t="s">
        <v>231</v>
      </c>
      <c r="H488" s="2074"/>
      <c r="I488" s="406" t="e">
        <f>VLOOKUP($L$10,人荷ＥＶ,15,0)</f>
        <v>#N/A</v>
      </c>
      <c r="J488" s="407" t="e">
        <f>VLOOKUP($L$10,人荷ＥＶ,17,0)</f>
        <v>#N/A</v>
      </c>
      <c r="K488" s="615" t="e">
        <f>VLOOKUP($L$10,人荷ＥＶ,19,0)</f>
        <v>#N/A</v>
      </c>
      <c r="L488" s="617"/>
      <c r="M488" s="9"/>
      <c r="N488" s="3239"/>
      <c r="O488" s="3236"/>
      <c r="P488" s="3272"/>
      <c r="Q488" s="2461"/>
      <c r="R488" s="2448"/>
      <c r="S488" s="2450"/>
      <c r="T488" s="2200"/>
      <c r="U488" s="4" t="b">
        <f>U483</f>
        <v>0</v>
      </c>
    </row>
    <row r="489" spans="2:21" ht="13.5" customHeight="1">
      <c r="B489" s="3367"/>
      <c r="C489" s="2445"/>
      <c r="D489" s="2444"/>
      <c r="E489" s="2448"/>
      <c r="F489" s="2450"/>
      <c r="G489" s="3275"/>
      <c r="H489" s="309" t="e">
        <f>IF(ISBLANK(H488),NA(),ROUNDDOWN(J489+(H488-J488)*IF(H488&gt;J488,(I489-J489)/(I488-J488),(K489-J489)/(K488-J488)),2))</f>
        <v>#N/A</v>
      </c>
      <c r="I489" s="308" t="e">
        <f>VLOOKUP($L$10,人荷ＥＶ,16,0)</f>
        <v>#N/A</v>
      </c>
      <c r="J489" s="316" t="e">
        <f>VLOOKUP($L$10,人荷ＥＶ,18,0)</f>
        <v>#N/A</v>
      </c>
      <c r="K489" s="324" t="e">
        <f>VLOOKUP($L$10,人荷ＥＶ,20,0)</f>
        <v>#N/A</v>
      </c>
      <c r="L489" s="317"/>
      <c r="M489" s="9"/>
      <c r="N489" s="3239"/>
      <c r="O489" s="3236"/>
      <c r="P489" s="3272"/>
      <c r="Q489" s="2461"/>
      <c r="R489" s="2448"/>
      <c r="S489" s="2450"/>
      <c r="T489" s="2200"/>
      <c r="U489" s="4" t="b">
        <f>U483</f>
        <v>0</v>
      </c>
    </row>
    <row r="490" spans="2:21" ht="13.5" customHeight="1">
      <c r="B490" s="3367"/>
      <c r="C490" s="2445"/>
      <c r="D490" s="2444"/>
      <c r="E490" s="2448"/>
      <c r="F490" s="2450"/>
      <c r="G490" s="3274" t="s">
        <v>689</v>
      </c>
      <c r="H490" s="312"/>
      <c r="I490" s="313" t="e">
        <f>VLOOKUP($L$10,人荷ＥＶ,21,0)</f>
        <v>#N/A</v>
      </c>
      <c r="J490" s="314" t="e">
        <f>VLOOKUP($L$10,人荷ＥＶ,23,0)</f>
        <v>#N/A</v>
      </c>
      <c r="K490" s="315" t="e">
        <f>VLOOKUP($L$10,人荷ＥＶ,25,0)</f>
        <v>#N/A</v>
      </c>
      <c r="L490" s="9"/>
      <c r="M490" s="9"/>
      <c r="N490" s="3239"/>
      <c r="O490" s="3236"/>
      <c r="P490" s="3272"/>
      <c r="Q490" s="2461"/>
      <c r="R490" s="2448"/>
      <c r="S490" s="2450"/>
      <c r="T490" s="2200"/>
      <c r="U490" s="4" t="b">
        <f>U483</f>
        <v>0</v>
      </c>
    </row>
    <row r="491" spans="2:21" ht="13.5" customHeight="1">
      <c r="B491" s="3367"/>
      <c r="C491" s="2446"/>
      <c r="D491" s="2447"/>
      <c r="E491" s="2421"/>
      <c r="F491" s="2423"/>
      <c r="G491" s="3275"/>
      <c r="H491" s="307" t="e">
        <f>HLOOKUP(H490,I490:M491,2,0)</f>
        <v>#N/A</v>
      </c>
      <c r="I491" s="308" t="e">
        <f>VLOOKUP($L$10,人荷ＥＶ,22,0)</f>
        <v>#N/A</v>
      </c>
      <c r="J491" s="316" t="e">
        <f>VLOOKUP($L$10,人荷ＥＶ,24,0)</f>
        <v>#N/A</v>
      </c>
      <c r="K491" s="309" t="e">
        <f>VLOOKUP($L$10,人荷ＥＶ,26,0)</f>
        <v>#N/A</v>
      </c>
      <c r="L491" s="44"/>
      <c r="M491" s="44"/>
      <c r="N491" s="3240"/>
      <c r="O491" s="3237"/>
      <c r="P491" s="3290"/>
      <c r="Q491" s="2516"/>
      <c r="R491" s="2421"/>
      <c r="S491" s="2423"/>
      <c r="T491" s="2200"/>
      <c r="U491" s="4" t="b">
        <f>U483</f>
        <v>0</v>
      </c>
    </row>
    <row r="492" spans="2:21" ht="13.5" customHeight="1">
      <c r="B492" s="3367"/>
      <c r="C492" s="1578"/>
      <c r="D492" s="1580"/>
      <c r="E492" s="3243" t="s">
        <v>111</v>
      </c>
      <c r="F492" s="3244"/>
      <c r="G492" s="1549" t="s">
        <v>112</v>
      </c>
      <c r="H492" s="1547"/>
      <c r="I492" s="1547"/>
      <c r="J492" s="1547"/>
      <c r="K492" s="1547"/>
      <c r="L492" s="1582"/>
      <c r="M492" s="1548"/>
      <c r="N492" s="1556" t="s">
        <v>458</v>
      </c>
      <c r="O492" s="1556" t="s">
        <v>113</v>
      </c>
      <c r="P492" s="1842" t="s">
        <v>114</v>
      </c>
      <c r="Q492" s="1843" t="s">
        <v>138</v>
      </c>
      <c r="R492" s="2498" t="s">
        <v>686</v>
      </c>
      <c r="S492" s="3082"/>
      <c r="T492" s="2200"/>
      <c r="U492" s="4" t="b">
        <f>COUNTA(H493,H495,H497,H499,H501,P493)&lt;&gt;0</f>
        <v>0</v>
      </c>
    </row>
    <row r="493" spans="2:21" ht="13.5" customHeight="1">
      <c r="B493" s="3367"/>
      <c r="C493" s="2443" t="s">
        <v>238</v>
      </c>
      <c r="D493" s="2444"/>
      <c r="E493" s="2418" t="e">
        <f>VLOOKUP($L$10,自動車電動ＥＶ,2,0)</f>
        <v>#N/A</v>
      </c>
      <c r="F493" s="2420"/>
      <c r="G493" s="3274" t="s">
        <v>229</v>
      </c>
      <c r="H493" s="2072"/>
      <c r="I493" s="402" t="e">
        <f>VLOOKUP($L$10,自動車電動ＥＶ,3,0)</f>
        <v>#N/A</v>
      </c>
      <c r="J493" s="403" t="e">
        <f>VLOOKUP($L$10,自動車電動ＥＶ,5,0)</f>
        <v>#N/A</v>
      </c>
      <c r="K493" s="624" t="e">
        <f>VLOOKUP($L$10,自動車電動ＥＶ,7,0)</f>
        <v>#N/A</v>
      </c>
      <c r="L493" s="627"/>
      <c r="M493" s="179"/>
      <c r="N493" s="3238" t="e">
        <f>ROUNDDOWN(H494*H496*H498*H500*H502,2)</f>
        <v>#N/A</v>
      </c>
      <c r="O493" s="3235" t="e">
        <f>INT(E493*N493)</f>
        <v>#N/A</v>
      </c>
      <c r="P493" s="3271"/>
      <c r="Q493" s="3306" t="s">
        <v>139</v>
      </c>
      <c r="R493" s="2418">
        <f>IF(ISERROR(INT(O493*P493)),0,INT(O493*P493))</f>
        <v>0</v>
      </c>
      <c r="S493" s="2420"/>
      <c r="T493" s="2200"/>
      <c r="U493" s="4" t="b">
        <f>U492</f>
        <v>0</v>
      </c>
    </row>
    <row r="494" spans="2:21" ht="13.5" customHeight="1">
      <c r="B494" s="3367"/>
      <c r="C494" s="2445"/>
      <c r="D494" s="2444"/>
      <c r="E494" s="2448"/>
      <c r="F494" s="2450"/>
      <c r="G494" s="3275"/>
      <c r="H494" s="309" t="e">
        <f>IF(ISBLANK(H493),NA(),ROUNDDOWN(J494+(H493-J493)*IF(H493&gt;J493,(I494-J494)/(I493-J493),(K494-J494)/(K493-J493)),2))</f>
        <v>#N/A</v>
      </c>
      <c r="I494" s="308" t="e">
        <f>VLOOKUP($L$10,自動車電動ＥＶ,4,0)</f>
        <v>#N/A</v>
      </c>
      <c r="J494" s="316" t="e">
        <f>VLOOKUP($L$10,自動車電動ＥＶ,6,0)</f>
        <v>#N/A</v>
      </c>
      <c r="K494" s="625" t="e">
        <f>VLOOKUP($L$10,自動車電動ＥＶ,8,0)</f>
        <v>#N/A</v>
      </c>
      <c r="L494" s="317"/>
      <c r="M494" s="9"/>
      <c r="N494" s="3239"/>
      <c r="O494" s="3236"/>
      <c r="P494" s="3272"/>
      <c r="Q494" s="2461"/>
      <c r="R494" s="2448"/>
      <c r="S494" s="2450"/>
      <c r="T494" s="2200"/>
      <c r="U494" s="4" t="b">
        <f>U492</f>
        <v>0</v>
      </c>
    </row>
    <row r="495" spans="2:21" ht="13.5" customHeight="1">
      <c r="B495" s="3367"/>
      <c r="C495" s="2445"/>
      <c r="D495" s="2444"/>
      <c r="E495" s="2448"/>
      <c r="F495" s="2450"/>
      <c r="G495" s="3274" t="s">
        <v>230</v>
      </c>
      <c r="H495" s="2076"/>
      <c r="I495" s="404" t="e">
        <f>VLOOKUP($L$10,自動車電動ＥＶ,9,0)</f>
        <v>#N/A</v>
      </c>
      <c r="J495" s="616" t="e">
        <f>VLOOKUP($L$10,自動車電動ＥＶ,11,0)</f>
        <v>#N/A</v>
      </c>
      <c r="K495" s="628"/>
      <c r="L495" s="9"/>
      <c r="M495" s="9"/>
      <c r="N495" s="3239"/>
      <c r="O495" s="3236"/>
      <c r="P495" s="3272"/>
      <c r="Q495" s="2461"/>
      <c r="R495" s="2448"/>
      <c r="S495" s="2450"/>
      <c r="T495" s="2200"/>
      <c r="U495" s="4" t="b">
        <f>U492</f>
        <v>0</v>
      </c>
    </row>
    <row r="496" spans="2:21" ht="13.5" customHeight="1">
      <c r="B496" s="3367"/>
      <c r="C496" s="2445"/>
      <c r="D496" s="2444"/>
      <c r="E496" s="2448"/>
      <c r="F496" s="2450"/>
      <c r="G496" s="3275"/>
      <c r="H496" s="309" t="e">
        <f>IF(H495&lt;J495,NA(),ROUNDDOWN(J496+(I496-J496)/(I495-J495)*(H495-J495),2))</f>
        <v>#N/A</v>
      </c>
      <c r="I496" s="308" t="e">
        <f>VLOOKUP($L$10,自動車電動ＥＶ,10,0)</f>
        <v>#N/A</v>
      </c>
      <c r="J496" s="324" t="e">
        <f>VLOOKUP($L$10,自動車電動ＥＶ,12,0)</f>
        <v>#N/A</v>
      </c>
      <c r="K496" s="310"/>
      <c r="L496" s="9"/>
      <c r="M496" s="9"/>
      <c r="N496" s="3239"/>
      <c r="O496" s="3236"/>
      <c r="P496" s="3272"/>
      <c r="Q496" s="2461"/>
      <c r="R496" s="2448"/>
      <c r="S496" s="2450"/>
      <c r="T496" s="2200"/>
      <c r="U496" s="4" t="b">
        <f>U492</f>
        <v>0</v>
      </c>
    </row>
    <row r="497" spans="2:21" ht="13.5" customHeight="1">
      <c r="B497" s="3367"/>
      <c r="C497" s="2445"/>
      <c r="D497" s="2444"/>
      <c r="E497" s="2448"/>
      <c r="F497" s="2450"/>
      <c r="G497" s="3274" t="s">
        <v>231</v>
      </c>
      <c r="H497" s="2074"/>
      <c r="I497" s="406" t="e">
        <f>VLOOKUP($L$10,自動車電動ＥＶ,15,0)</f>
        <v>#N/A</v>
      </c>
      <c r="J497" s="407" t="e">
        <f>VLOOKUP($L$10,自動車電動ＥＶ,17,0)</f>
        <v>#N/A</v>
      </c>
      <c r="K497" s="626" t="e">
        <f>VLOOKUP($L$10,自動車電動ＥＶ,19,0)</f>
        <v>#N/A</v>
      </c>
      <c r="L497" s="617"/>
      <c r="M497" s="9"/>
      <c r="N497" s="3239"/>
      <c r="O497" s="3236"/>
      <c r="P497" s="3272"/>
      <c r="Q497" s="2461"/>
      <c r="R497" s="2448"/>
      <c r="S497" s="2450"/>
      <c r="T497" s="2200"/>
      <c r="U497" s="4" t="b">
        <f>U492</f>
        <v>0</v>
      </c>
    </row>
    <row r="498" spans="2:21" ht="13.5" customHeight="1">
      <c r="B498" s="3367"/>
      <c r="C498" s="2445"/>
      <c r="D498" s="2444"/>
      <c r="E498" s="2448"/>
      <c r="F498" s="2450"/>
      <c r="G498" s="3275"/>
      <c r="H498" s="309" t="e">
        <f>IF(ISBLANK(H497),NA(),ROUNDDOWN(J498+(H497-J497)*IF(H497&gt;J497,(I498-J498)/(I497-J497),(K498-J498)/(K497-J497)),2))</f>
        <v>#N/A</v>
      </c>
      <c r="I498" s="308" t="e">
        <f>VLOOKUP($L$10,自動車電動ＥＶ,16,0)</f>
        <v>#N/A</v>
      </c>
      <c r="J498" s="316" t="e">
        <f>VLOOKUP($L$10,自動車電動ＥＶ,18,0)</f>
        <v>#N/A</v>
      </c>
      <c r="K498" s="324" t="e">
        <f>VLOOKUP($L$10,自動車電動ＥＶ,20,0)</f>
        <v>#N/A</v>
      </c>
      <c r="L498" s="317"/>
      <c r="M498" s="9"/>
      <c r="N498" s="3239"/>
      <c r="O498" s="3236"/>
      <c r="P498" s="3272"/>
      <c r="Q498" s="2461"/>
      <c r="R498" s="2448"/>
      <c r="S498" s="2450"/>
      <c r="T498" s="2200"/>
      <c r="U498" s="4" t="b">
        <f>U492</f>
        <v>0</v>
      </c>
    </row>
    <row r="499" spans="2:21" ht="13.5" customHeight="1">
      <c r="B499" s="3367"/>
      <c r="C499" s="2445"/>
      <c r="D499" s="2444"/>
      <c r="E499" s="2448"/>
      <c r="F499" s="2450"/>
      <c r="G499" s="3274" t="s">
        <v>792</v>
      </c>
      <c r="H499" s="312"/>
      <c r="I499" s="313" t="e">
        <f>VLOOKUP($L$10,自動車電動ＥＶ,21,0)</f>
        <v>#N/A</v>
      </c>
      <c r="J499" s="314" t="e">
        <f>VLOOKUP($L$10,自動車電動ＥＶ,23,0)</f>
        <v>#N/A</v>
      </c>
      <c r="K499" s="315" t="e">
        <f>VLOOKUP($L$10,自動車電動ＥＶ,25,0)</f>
        <v>#N/A</v>
      </c>
      <c r="L499" s="9"/>
      <c r="M499" s="9"/>
      <c r="N499" s="3239"/>
      <c r="O499" s="3236"/>
      <c r="P499" s="3272"/>
      <c r="Q499" s="2461"/>
      <c r="R499" s="2448"/>
      <c r="S499" s="2450"/>
      <c r="T499" s="2200"/>
      <c r="U499" s="4" t="b">
        <f>U492</f>
        <v>0</v>
      </c>
    </row>
    <row r="500" spans="2:21" ht="13.5" customHeight="1">
      <c r="B500" s="3367"/>
      <c r="C500" s="2445"/>
      <c r="D500" s="2444"/>
      <c r="E500" s="2448"/>
      <c r="F500" s="2450"/>
      <c r="G500" s="3275"/>
      <c r="H500" s="307" t="e">
        <f>HLOOKUP(H499,I499:M500,2,0)</f>
        <v>#N/A</v>
      </c>
      <c r="I500" s="308" t="e">
        <f>VLOOKUP($L$10,自動車電動ＥＶ,22,0)</f>
        <v>#N/A</v>
      </c>
      <c r="J500" s="316" t="e">
        <f>VLOOKUP($L$10,自動車電動ＥＶ,24,0)</f>
        <v>#N/A</v>
      </c>
      <c r="K500" s="309" t="e">
        <f>VLOOKUP($L$10,自動車電動ＥＶ,26,0)</f>
        <v>#N/A</v>
      </c>
      <c r="L500" s="9"/>
      <c r="M500" s="9"/>
      <c r="N500" s="3239"/>
      <c r="O500" s="3236"/>
      <c r="P500" s="3272"/>
      <c r="Q500" s="2461"/>
      <c r="R500" s="2448"/>
      <c r="S500" s="2450"/>
      <c r="T500" s="2200"/>
      <c r="U500" s="4" t="b">
        <f>U492</f>
        <v>0</v>
      </c>
    </row>
    <row r="501" spans="2:21" ht="13.5" customHeight="1">
      <c r="B501" s="3367"/>
      <c r="C501" s="2445"/>
      <c r="D501" s="2444"/>
      <c r="E501" s="2448"/>
      <c r="F501" s="2450"/>
      <c r="G501" s="3274" t="s">
        <v>689</v>
      </c>
      <c r="H501" s="312"/>
      <c r="I501" s="313" t="e">
        <f>VLOOKUP($L$10,自動車電動ＥＶ,27,0)</f>
        <v>#N/A</v>
      </c>
      <c r="J501" s="314" t="e">
        <f>VLOOKUP($L$10,自動車電動ＥＶ,29,0)</f>
        <v>#N/A</v>
      </c>
      <c r="K501" s="315" t="e">
        <f>VLOOKUP($L$10,自動車電動ＥＶ,31,0)</f>
        <v>#N/A</v>
      </c>
      <c r="L501" s="9"/>
      <c r="M501" s="9"/>
      <c r="N501" s="3239"/>
      <c r="O501" s="3236"/>
      <c r="P501" s="3272"/>
      <c r="Q501" s="2461"/>
      <c r="R501" s="2448"/>
      <c r="S501" s="2450"/>
      <c r="T501" s="2200"/>
      <c r="U501" s="4" t="b">
        <f>U492</f>
        <v>0</v>
      </c>
    </row>
    <row r="502" spans="2:21" ht="13.5" customHeight="1">
      <c r="B502" s="3367"/>
      <c r="C502" s="2446"/>
      <c r="D502" s="2447"/>
      <c r="E502" s="2421"/>
      <c r="F502" s="2423"/>
      <c r="G502" s="3275"/>
      <c r="H502" s="307" t="e">
        <f>HLOOKUP(H501,I501:M502,2,0)</f>
        <v>#N/A</v>
      </c>
      <c r="I502" s="308" t="e">
        <f>VLOOKUP($L$10,自動車電動ＥＶ,28,0)</f>
        <v>#N/A</v>
      </c>
      <c r="J502" s="316" t="e">
        <f>VLOOKUP($L$10,自動車電動ＥＶ,30,0)</f>
        <v>#N/A</v>
      </c>
      <c r="K502" s="309" t="e">
        <f>VLOOKUP($L$10,自動車電動ＥＶ,32,0)</f>
        <v>#N/A</v>
      </c>
      <c r="L502" s="44"/>
      <c r="M502" s="44"/>
      <c r="N502" s="3240"/>
      <c r="O502" s="3237"/>
      <c r="P502" s="3290"/>
      <c r="Q502" s="2516"/>
      <c r="R502" s="2421"/>
      <c r="S502" s="2423"/>
      <c r="T502" s="2200"/>
      <c r="U502" s="4" t="b">
        <f>U492</f>
        <v>0</v>
      </c>
    </row>
    <row r="503" spans="2:21" ht="13.5" customHeight="1">
      <c r="B503" s="3367"/>
      <c r="C503" s="1578"/>
      <c r="D503" s="1580"/>
      <c r="E503" s="3243" t="s">
        <v>111</v>
      </c>
      <c r="F503" s="3244"/>
      <c r="G503" s="1549" t="s">
        <v>112</v>
      </c>
      <c r="H503" s="1547"/>
      <c r="I503" s="1547"/>
      <c r="J503" s="1547"/>
      <c r="K503" s="1547"/>
      <c r="L503" s="1547"/>
      <c r="M503" s="1548"/>
      <c r="N503" s="1556" t="s">
        <v>458</v>
      </c>
      <c r="O503" s="1556" t="s">
        <v>113</v>
      </c>
      <c r="P503" s="1842" t="s">
        <v>114</v>
      </c>
      <c r="Q503" s="1843" t="s">
        <v>138</v>
      </c>
      <c r="R503" s="2498" t="s">
        <v>686</v>
      </c>
      <c r="S503" s="3082"/>
      <c r="T503" s="2200"/>
      <c r="U503" s="4" t="b">
        <f>COUNTA(H504,H506,H508,P504)&lt;&gt;0</f>
        <v>0</v>
      </c>
    </row>
    <row r="504" spans="2:21" ht="13.5" customHeight="1">
      <c r="B504" s="3367"/>
      <c r="C504" s="2443" t="s">
        <v>239</v>
      </c>
      <c r="D504" s="2444"/>
      <c r="E504" s="2418" t="e">
        <f>VLOOKUP($L$10,自動車油圧ＥＶ,2,0)</f>
        <v>#N/A</v>
      </c>
      <c r="F504" s="2420"/>
      <c r="G504" s="3274" t="s">
        <v>229</v>
      </c>
      <c r="H504" s="2072"/>
      <c r="I504" s="402" t="e">
        <f>VLOOKUP($L$10,自動車油圧ＥＶ,3,0)</f>
        <v>#N/A</v>
      </c>
      <c r="J504" s="403" t="e">
        <f>VLOOKUP($L$10,自動車油圧ＥＶ,5,0)</f>
        <v>#N/A</v>
      </c>
      <c r="K504" s="618" t="e">
        <f>VLOOKUP($L$10,自動車油圧ＥＶ,7,0)</f>
        <v>#N/A</v>
      </c>
      <c r="L504" s="621"/>
      <c r="M504" s="179"/>
      <c r="N504" s="3238" t="e">
        <f>ROUNDDOWN(H505*H507*H509,2)</f>
        <v>#N/A</v>
      </c>
      <c r="O504" s="3235" t="e">
        <f>INT(E504*N504)</f>
        <v>#N/A</v>
      </c>
      <c r="P504" s="3271"/>
      <c r="Q504" s="3306" t="s">
        <v>139</v>
      </c>
      <c r="R504" s="2418">
        <f>IF(ISERROR(INT(O504*P504)),0,INT(O504*P504))</f>
        <v>0</v>
      </c>
      <c r="S504" s="2420"/>
      <c r="T504" s="2200"/>
      <c r="U504" s="4" t="b">
        <f>U503</f>
        <v>0</v>
      </c>
    </row>
    <row r="505" spans="2:21" ht="13.5" customHeight="1">
      <c r="B505" s="3367"/>
      <c r="C505" s="2445"/>
      <c r="D505" s="2444"/>
      <c r="E505" s="2448"/>
      <c r="F505" s="2450"/>
      <c r="G505" s="3275"/>
      <c r="H505" s="309" t="e">
        <f>IF(ISBLANK(H504),NA(),ROUNDDOWN(J505+(H504-J504)*IF(H504&gt;J504,(I505-J505)/(I504-J504),(K505-J505)/(K504-J504)),2))</f>
        <v>#N/A</v>
      </c>
      <c r="I505" s="308" t="e">
        <f>VLOOKUP($L$10,自動車油圧ＥＶ,4,0)</f>
        <v>#N/A</v>
      </c>
      <c r="J505" s="316" t="e">
        <f>VLOOKUP($L$10,自動車油圧ＥＶ,6,0)</f>
        <v>#N/A</v>
      </c>
      <c r="K505" s="309" t="e">
        <f>VLOOKUP($L$10,自動車油圧ＥＶ,8,0)</f>
        <v>#N/A</v>
      </c>
      <c r="L505" s="311"/>
      <c r="M505" s="9"/>
      <c r="N505" s="3239"/>
      <c r="O505" s="3236"/>
      <c r="P505" s="3272"/>
      <c r="Q505" s="2461"/>
      <c r="R505" s="2448"/>
      <c r="S505" s="2450"/>
      <c r="T505" s="2200"/>
      <c r="U505" s="4" t="b">
        <f>U503</f>
        <v>0</v>
      </c>
    </row>
    <row r="506" spans="2:21" ht="13.5" customHeight="1">
      <c r="B506" s="3367"/>
      <c r="C506" s="2445"/>
      <c r="D506" s="2444"/>
      <c r="E506" s="2448"/>
      <c r="F506" s="2450"/>
      <c r="G506" s="3274" t="s">
        <v>231</v>
      </c>
      <c r="H506" s="2074"/>
      <c r="I506" s="406" t="e">
        <f>VLOOKUP($L$10,自動車油圧ＥＶ,9,0)</f>
        <v>#N/A</v>
      </c>
      <c r="J506" s="407" t="e">
        <f>VLOOKUP($L$10,自動車油圧ＥＶ,11,0)</f>
        <v>#N/A</v>
      </c>
      <c r="K506" s="623" t="e">
        <f>VLOOKUP($L$10,自動車油圧ＥＶ,13,0)</f>
        <v>#N/A</v>
      </c>
      <c r="L506" s="622"/>
      <c r="M506" s="9"/>
      <c r="N506" s="3239"/>
      <c r="O506" s="3236"/>
      <c r="P506" s="3272"/>
      <c r="Q506" s="2461"/>
      <c r="R506" s="2448"/>
      <c r="S506" s="2450"/>
      <c r="T506" s="2200"/>
      <c r="U506" s="4" t="b">
        <f>U503</f>
        <v>0</v>
      </c>
    </row>
    <row r="507" spans="2:21" ht="13.5" customHeight="1">
      <c r="B507" s="3367"/>
      <c r="C507" s="2445"/>
      <c r="D507" s="2444"/>
      <c r="E507" s="2448"/>
      <c r="F507" s="2450"/>
      <c r="G507" s="3275"/>
      <c r="H507" s="309" t="e">
        <f>IF(ISBLANK(H506),NA(),ROUNDDOWN(J507+(H506-J506)*IF(H506&gt;J506,(I507-J507)/(I506-J506),(K507-J507)/(K506-J506)),2))</f>
        <v>#N/A</v>
      </c>
      <c r="I507" s="308" t="e">
        <f>VLOOKUP($L$10,自動車油圧ＥＶ,10,0)</f>
        <v>#N/A</v>
      </c>
      <c r="J507" s="316" t="e">
        <f>VLOOKUP($L$10,自動車油圧ＥＶ,12,0)</f>
        <v>#N/A</v>
      </c>
      <c r="K507" s="309" t="e">
        <f>VLOOKUP($L$10,自動車油圧ＥＶ,14,0)</f>
        <v>#N/A</v>
      </c>
      <c r="L507" s="311"/>
      <c r="M507" s="9"/>
      <c r="N507" s="3239"/>
      <c r="O507" s="3236"/>
      <c r="P507" s="3272"/>
      <c r="Q507" s="2461"/>
      <c r="R507" s="2448"/>
      <c r="S507" s="2450"/>
      <c r="T507" s="2200"/>
      <c r="U507" s="4" t="b">
        <f>U503</f>
        <v>0</v>
      </c>
    </row>
    <row r="508" spans="2:21" ht="13.5" customHeight="1">
      <c r="B508" s="3367"/>
      <c r="C508" s="2445"/>
      <c r="D508" s="2444"/>
      <c r="E508" s="2448"/>
      <c r="F508" s="2450"/>
      <c r="G508" s="3274" t="s">
        <v>689</v>
      </c>
      <c r="H508" s="312"/>
      <c r="I508" s="313" t="e">
        <f>VLOOKUP($L$10,自動車油圧ＥＶ,15,0)</f>
        <v>#N/A</v>
      </c>
      <c r="J508" s="314" t="e">
        <f>VLOOKUP($L$10,自動車油圧ＥＶ,17,0)</f>
        <v>#N/A</v>
      </c>
      <c r="K508" s="315" t="e">
        <f>VLOOKUP($L$10,自動車油圧ＥＶ,19,0)</f>
        <v>#N/A</v>
      </c>
      <c r="L508" s="9"/>
      <c r="M508" s="9"/>
      <c r="N508" s="3239"/>
      <c r="O508" s="3236"/>
      <c r="P508" s="3272"/>
      <c r="Q508" s="2461"/>
      <c r="R508" s="2448"/>
      <c r="S508" s="2450"/>
      <c r="T508" s="2200"/>
      <c r="U508" s="4" t="b">
        <f>U503</f>
        <v>0</v>
      </c>
    </row>
    <row r="509" spans="2:21" ht="13.5" customHeight="1">
      <c r="B509" s="3367"/>
      <c r="C509" s="2446"/>
      <c r="D509" s="2447"/>
      <c r="E509" s="2421"/>
      <c r="F509" s="2423"/>
      <c r="G509" s="3275"/>
      <c r="H509" s="307" t="e">
        <f>HLOOKUP(H508,I508:M509,2,0)</f>
        <v>#N/A</v>
      </c>
      <c r="I509" s="308" t="e">
        <f>VLOOKUP($L$10,自動車油圧ＥＶ,16,0)</f>
        <v>#N/A</v>
      </c>
      <c r="J509" s="316" t="e">
        <f>VLOOKUP($L$10,自動車油圧ＥＶ,18,0)</f>
        <v>#N/A</v>
      </c>
      <c r="K509" s="309" t="e">
        <f>VLOOKUP($L$10,自動車油圧ＥＶ,20,0)</f>
        <v>#N/A</v>
      </c>
      <c r="L509" s="44"/>
      <c r="M509" s="44"/>
      <c r="N509" s="3240"/>
      <c r="O509" s="3237"/>
      <c r="P509" s="3290"/>
      <c r="Q509" s="2516"/>
      <c r="R509" s="2421"/>
      <c r="S509" s="2423"/>
      <c r="T509" s="2200"/>
      <c r="U509" s="4" t="b">
        <f>U503</f>
        <v>0</v>
      </c>
    </row>
    <row r="510" spans="2:21" ht="13.5" customHeight="1">
      <c r="B510" s="3367"/>
      <c r="C510" s="1578"/>
      <c r="D510" s="1580"/>
      <c r="E510" s="3243" t="s">
        <v>111</v>
      </c>
      <c r="F510" s="3244"/>
      <c r="G510" s="1549" t="s">
        <v>112</v>
      </c>
      <c r="H510" s="1547"/>
      <c r="I510" s="1547"/>
      <c r="J510" s="1547"/>
      <c r="K510" s="1547"/>
      <c r="L510" s="1547"/>
      <c r="M510" s="1548"/>
      <c r="N510" s="1556" t="s">
        <v>458</v>
      </c>
      <c r="O510" s="1556" t="s">
        <v>113</v>
      </c>
      <c r="P510" s="1842" t="s">
        <v>114</v>
      </c>
      <c r="Q510" s="1843" t="s">
        <v>138</v>
      </c>
      <c r="R510" s="2498" t="s">
        <v>686</v>
      </c>
      <c r="S510" s="3082"/>
      <c r="T510" s="2200"/>
      <c r="U510" s="4" t="b">
        <f>COUNTA(H511,H513,H515,P511)&lt;&gt;0</f>
        <v>0</v>
      </c>
    </row>
    <row r="511" spans="2:21" ht="13.5" customHeight="1">
      <c r="B511" s="3367"/>
      <c r="C511" s="2443" t="s">
        <v>240</v>
      </c>
      <c r="D511" s="2444"/>
      <c r="E511" s="2418" t="e">
        <f>VLOOKUP($L$10,ホームＥＶ,2,0)</f>
        <v>#N/A</v>
      </c>
      <c r="F511" s="2420"/>
      <c r="G511" s="3274" t="s">
        <v>229</v>
      </c>
      <c r="H511" s="2075"/>
      <c r="I511" s="402" t="e">
        <f>VLOOKUP($L$10,ホームＥＶ,3,0)</f>
        <v>#N/A</v>
      </c>
      <c r="J511" s="618" t="e">
        <f>VLOOKUP($L$10,ホームＥＶ,5,0)</f>
        <v>#N/A</v>
      </c>
      <c r="K511" t="s">
        <v>1172</v>
      </c>
      <c r="L511" s="179"/>
      <c r="M511" s="179"/>
      <c r="N511" s="3238" t="e">
        <f>ROUNDDOWN(H512*H514*H516,2)</f>
        <v>#N/A</v>
      </c>
      <c r="O511" s="3235" t="e">
        <f>INT(E511*N511)</f>
        <v>#N/A</v>
      </c>
      <c r="P511" s="3271"/>
      <c r="Q511" s="3306" t="s">
        <v>139</v>
      </c>
      <c r="R511" s="2418">
        <f>IF(ISERROR(INT(O511*P511)),0,INT(O511*P511))</f>
        <v>0</v>
      </c>
      <c r="S511" s="2420"/>
      <c r="T511" s="2200"/>
      <c r="U511" s="4" t="b">
        <f>U510</f>
        <v>0</v>
      </c>
    </row>
    <row r="512" spans="2:21" ht="13.5" customHeight="1">
      <c r="B512" s="3367"/>
      <c r="C512" s="2445"/>
      <c r="D512" s="2444"/>
      <c r="E512" s="2448"/>
      <c r="F512" s="2450"/>
      <c r="G512" s="3275"/>
      <c r="H512" s="309" t="e">
        <f>IF(ISBLANK(H511),NA(),MAX(J512,ROUNDDOWN(J512+(I512-J512)/(I511-J511)*(H511-J511),2)))</f>
        <v>#N/A</v>
      </c>
      <c r="I512" s="308" t="e">
        <f>VLOOKUP($L$10,ホームＥＶ,4,0)</f>
        <v>#N/A</v>
      </c>
      <c r="J512" s="309" t="e">
        <f>VLOOKUP($L$10,ホームＥＶ,6,0)</f>
        <v>#N/A</v>
      </c>
      <c r="K512" t="s">
        <v>1173</v>
      </c>
      <c r="L512" s="9"/>
      <c r="M512" s="9"/>
      <c r="N512" s="3239"/>
      <c r="O512" s="3236"/>
      <c r="P512" s="3272"/>
      <c r="Q512" s="2461"/>
      <c r="R512" s="2448"/>
      <c r="S512" s="2450"/>
      <c r="T512" s="2200"/>
      <c r="U512" s="4" t="b">
        <f>U510</f>
        <v>0</v>
      </c>
    </row>
    <row r="513" spans="2:21" ht="13.5" customHeight="1">
      <c r="B513" s="3367"/>
      <c r="C513" s="2445"/>
      <c r="D513" s="2444"/>
      <c r="E513" s="2448"/>
      <c r="F513" s="2450"/>
      <c r="G513" s="3274" t="s">
        <v>230</v>
      </c>
      <c r="H513" s="2076"/>
      <c r="I513" s="404" t="e">
        <f>VLOOKUP($L$10,ホームＥＶ,9,0)</f>
        <v>#N/A</v>
      </c>
      <c r="J513" s="619" t="e">
        <f>VLOOKUP($L$10,ホームＥＶ,11,0)</f>
        <v>#N/A</v>
      </c>
      <c r="L513" s="9"/>
      <c r="M513" s="9"/>
      <c r="N513" s="3239"/>
      <c r="O513" s="3236"/>
      <c r="P513" s="3272"/>
      <c r="Q513" s="2461"/>
      <c r="R513" s="2448"/>
      <c r="S513" s="2450"/>
      <c r="T513" s="2200"/>
      <c r="U513" s="4" t="b">
        <f>U510</f>
        <v>0</v>
      </c>
    </row>
    <row r="514" spans="2:21" ht="13.5" customHeight="1">
      <c r="B514" s="3367"/>
      <c r="C514" s="2445"/>
      <c r="D514" s="2444"/>
      <c r="E514" s="2448"/>
      <c r="F514" s="2450"/>
      <c r="G514" s="3275"/>
      <c r="H514" s="309" t="e">
        <f>IF(H513&lt;J513,NA(),ROUNDDOWN(J514+(I514-J514)/(I513-J513)*(H513-J513),2))</f>
        <v>#N/A</v>
      </c>
      <c r="I514" s="308" t="e">
        <f>VLOOKUP($L$10,ホームＥＶ,10,0)</f>
        <v>#N/A</v>
      </c>
      <c r="J514" s="309" t="e">
        <f>VLOOKUP($L$10,ホームＥＶ,12,0)</f>
        <v>#N/A</v>
      </c>
      <c r="L514" s="9"/>
      <c r="M514" s="9"/>
      <c r="N514" s="3239"/>
      <c r="O514" s="3236"/>
      <c r="P514" s="3272"/>
      <c r="Q514" s="2461"/>
      <c r="R514" s="2448"/>
      <c r="S514" s="2450"/>
      <c r="T514" s="2200"/>
      <c r="U514" s="4" t="b">
        <f>U510</f>
        <v>0</v>
      </c>
    </row>
    <row r="515" spans="2:21" ht="13.5" customHeight="1">
      <c r="B515" s="3367"/>
      <c r="C515" s="2445"/>
      <c r="D515" s="2444"/>
      <c r="E515" s="2448"/>
      <c r="F515" s="2450"/>
      <c r="G515" s="3274" t="s">
        <v>689</v>
      </c>
      <c r="H515" s="312"/>
      <c r="I515" s="313" t="e">
        <f>VLOOKUP($L$10,ホームＥＶ,15,0)</f>
        <v>#N/A</v>
      </c>
      <c r="J515" s="314" t="e">
        <f>VLOOKUP($L$10,ホームＥＶ,17,0)</f>
        <v>#N/A</v>
      </c>
      <c r="K515" s="315" t="e">
        <f>VLOOKUP($L$10,ホームＥＶ,19,0)</f>
        <v>#N/A</v>
      </c>
      <c r="L515" s="9"/>
      <c r="M515" s="9"/>
      <c r="N515" s="3239"/>
      <c r="O515" s="3236"/>
      <c r="P515" s="3272"/>
      <c r="Q515" s="2461"/>
      <c r="R515" s="2448"/>
      <c r="S515" s="2450"/>
      <c r="T515" s="2200"/>
      <c r="U515" s="4" t="b">
        <f>U510</f>
        <v>0</v>
      </c>
    </row>
    <row r="516" spans="2:21" ht="13.5" customHeight="1">
      <c r="B516" s="3367"/>
      <c r="C516" s="2446"/>
      <c r="D516" s="2447"/>
      <c r="E516" s="2421"/>
      <c r="F516" s="2423"/>
      <c r="G516" s="3275"/>
      <c r="H516" s="307" t="e">
        <f>HLOOKUP(H515,I515:M516,2,0)</f>
        <v>#N/A</v>
      </c>
      <c r="I516" s="308" t="e">
        <f>VLOOKUP($L$10,ホームＥＶ,16,0)</f>
        <v>#N/A</v>
      </c>
      <c r="J516" s="316" t="e">
        <f>VLOOKUP($L$10,ホームＥＶ,18,0)</f>
        <v>#N/A</v>
      </c>
      <c r="K516" s="309" t="e">
        <f>VLOOKUP($L$10,ホームＥＶ,20,0)</f>
        <v>#N/A</v>
      </c>
      <c r="L516" s="44"/>
      <c r="M516" s="44"/>
      <c r="N516" s="3240"/>
      <c r="O516" s="3237"/>
      <c r="P516" s="3290"/>
      <c r="Q516" s="2516"/>
      <c r="R516" s="2421"/>
      <c r="S516" s="2423"/>
      <c r="T516" s="2200"/>
      <c r="U516" s="4" t="b">
        <f>U510</f>
        <v>0</v>
      </c>
    </row>
    <row r="517" spans="2:21" ht="13.5" customHeight="1">
      <c r="B517" s="3367"/>
      <c r="C517" s="1578"/>
      <c r="D517" s="1580"/>
      <c r="E517" s="3243" t="s">
        <v>111</v>
      </c>
      <c r="F517" s="3244"/>
      <c r="G517" s="1549" t="s">
        <v>112</v>
      </c>
      <c r="H517" s="1547"/>
      <c r="I517" s="1547"/>
      <c r="J517" s="1547"/>
      <c r="K517" s="1547"/>
      <c r="L517" s="1547"/>
      <c r="M517" s="1548"/>
      <c r="N517" s="1556" t="s">
        <v>458</v>
      </c>
      <c r="O517" s="1556" t="s">
        <v>113</v>
      </c>
      <c r="P517" s="1842" t="s">
        <v>114</v>
      </c>
      <c r="Q517" s="1843" t="s">
        <v>138</v>
      </c>
      <c r="R517" s="2498" t="s">
        <v>686</v>
      </c>
      <c r="S517" s="3082"/>
      <c r="T517" s="2200"/>
      <c r="U517" s="4" t="b">
        <f>COUNTA(H518,H520,H522,H524,P518)&lt;&gt;0</f>
        <v>0</v>
      </c>
    </row>
    <row r="518" spans="2:21" ht="13.5" customHeight="1">
      <c r="B518" s="3367"/>
      <c r="C518" s="2443" t="s">
        <v>241</v>
      </c>
      <c r="D518" s="2444"/>
      <c r="E518" s="2418" t="e">
        <f>VLOOKUP($L$10,小荷物専用昇降機,2,0)</f>
        <v>#N/A</v>
      </c>
      <c r="F518" s="2420"/>
      <c r="G518" s="3274" t="s">
        <v>229</v>
      </c>
      <c r="H518" s="2075"/>
      <c r="I518" s="402" t="e">
        <f>VLOOKUP($L$10,小荷物専用昇降機,3,0)</f>
        <v>#N/A</v>
      </c>
      <c r="J518" s="403" t="e">
        <f>VLOOKUP($L$10,小荷物専用昇降機,5,0)</f>
        <v>#N/A</v>
      </c>
      <c r="K518" s="618" t="e">
        <f>VLOOKUP($L$10,小荷物専用昇降機,7,0)</f>
        <v>#N/A</v>
      </c>
      <c r="M518" s="179"/>
      <c r="N518" s="3238" t="e">
        <f>ROUNDDOWN(H519*H521*H523*H525,2)</f>
        <v>#N/A</v>
      </c>
      <c r="O518" s="3235" t="e">
        <f>INT(E518*N518)</f>
        <v>#N/A</v>
      </c>
      <c r="P518" s="3271"/>
      <c r="Q518" s="3306" t="s">
        <v>139</v>
      </c>
      <c r="R518" s="2418">
        <f>IF(ISERROR(INT(O518*P518)),0,INT(O518*P518))</f>
        <v>0</v>
      </c>
      <c r="S518" s="2420"/>
      <c r="T518" s="2200"/>
      <c r="U518" s="4" t="b">
        <f>U517</f>
        <v>0</v>
      </c>
    </row>
    <row r="519" spans="2:21" ht="13.5" customHeight="1">
      <c r="B519" s="3367"/>
      <c r="C519" s="2445"/>
      <c r="D519" s="2444"/>
      <c r="E519" s="2448"/>
      <c r="F519" s="2450"/>
      <c r="G519" s="3275"/>
      <c r="H519" s="309" t="e">
        <f>IF(ISBLANK(H518),NA(),ROUNDDOWN(J519+(H518-J518)*IF(H518&gt;J518,(I519-J519)/(I518-J518),(K519-J519)/(K518-J518)),2))</f>
        <v>#N/A</v>
      </c>
      <c r="I519" s="308" t="e">
        <f>VLOOKUP($L$10,小荷物専用昇降機,4,0)</f>
        <v>#N/A</v>
      </c>
      <c r="J519" s="316" t="e">
        <f>VLOOKUP($L$10,小荷物専用昇降機,6,0)</f>
        <v>#N/A</v>
      </c>
      <c r="K519" s="309" t="e">
        <f>VLOOKUP($L$10,小荷物専用昇降機,8,0)</f>
        <v>#N/A</v>
      </c>
      <c r="M519" s="9"/>
      <c r="N519" s="3239"/>
      <c r="O519" s="3236"/>
      <c r="P519" s="3272"/>
      <c r="Q519" s="2461"/>
      <c r="R519" s="2448"/>
      <c r="S519" s="2450"/>
      <c r="T519" s="2200"/>
      <c r="U519" s="4" t="b">
        <f>U517</f>
        <v>0</v>
      </c>
    </row>
    <row r="520" spans="2:21" ht="13.5" customHeight="1">
      <c r="B520" s="3367"/>
      <c r="C520" s="2445"/>
      <c r="D520" s="2444"/>
      <c r="E520" s="2448"/>
      <c r="F520" s="2450"/>
      <c r="G520" s="3274" t="s">
        <v>230</v>
      </c>
      <c r="H520" s="2076"/>
      <c r="I520" s="404" t="e">
        <f>VLOOKUP($L$10,小荷物専用昇降機,9,0)</f>
        <v>#N/A</v>
      </c>
      <c r="J520" s="616" t="e">
        <f>VLOOKUP($L$10,小荷物専用昇降機,11,0)</f>
        <v>#N/A</v>
      </c>
      <c r="K520" s="40"/>
      <c r="L520" s="9"/>
      <c r="M520" s="9"/>
      <c r="N520" s="3239"/>
      <c r="O520" s="3236"/>
      <c r="P520" s="3272"/>
      <c r="Q520" s="2461"/>
      <c r="R520" s="2448"/>
      <c r="S520" s="2450"/>
      <c r="T520" s="2200"/>
      <c r="U520" s="4" t="b">
        <f>U517</f>
        <v>0</v>
      </c>
    </row>
    <row r="521" spans="2:21" ht="13.5" customHeight="1">
      <c r="B521" s="3367"/>
      <c r="C521" s="2445"/>
      <c r="D521" s="2444"/>
      <c r="E521" s="2448"/>
      <c r="F521" s="2450"/>
      <c r="G521" s="3275"/>
      <c r="H521" s="309" t="e">
        <f>IF(H520&lt;J520,NA(),ROUNDDOWN(J521+(I521-J521)/(I520-J520)*(H520-J520),2))</f>
        <v>#N/A</v>
      </c>
      <c r="I521" s="308" t="e">
        <f>VLOOKUP($L$10,小荷物専用昇降機,10,0)</f>
        <v>#N/A</v>
      </c>
      <c r="J521" s="324" t="e">
        <f>VLOOKUP($L$10,小荷物専用昇降機,12,0)</f>
        <v>#N/A</v>
      </c>
      <c r="K521" s="32"/>
      <c r="L521" s="9"/>
      <c r="M521" s="9"/>
      <c r="N521" s="3239"/>
      <c r="O521" s="3236"/>
      <c r="P521" s="3272"/>
      <c r="Q521" s="2461"/>
      <c r="R521" s="2448"/>
      <c r="S521" s="2450"/>
      <c r="T521" s="2200"/>
      <c r="U521" s="4" t="b">
        <f>U517</f>
        <v>0</v>
      </c>
    </row>
    <row r="522" spans="2:21" ht="13.5" customHeight="1">
      <c r="B522" s="3367"/>
      <c r="C522" s="2445"/>
      <c r="D522" s="2444"/>
      <c r="E522" s="2448"/>
      <c r="F522" s="2450"/>
      <c r="G522" s="3274" t="s">
        <v>231</v>
      </c>
      <c r="H522" s="2077"/>
      <c r="I522" s="406" t="e">
        <f>VLOOKUP($L$10,小荷物専用昇降機,17,0)</f>
        <v>#N/A</v>
      </c>
      <c r="J522" s="615" t="e">
        <f>VLOOKUP($L$10,小荷物専用昇降機,19,0)</f>
        <v>#N/A</v>
      </c>
      <c r="K522" s="617"/>
      <c r="L522" s="9"/>
      <c r="M522" s="9"/>
      <c r="N522" s="3239"/>
      <c r="O522" s="3236"/>
      <c r="P522" s="3272"/>
      <c r="Q522" s="2461"/>
      <c r="R522" s="2448"/>
      <c r="S522" s="2450"/>
      <c r="T522" s="2200"/>
      <c r="U522" s="4" t="b">
        <f>U517</f>
        <v>0</v>
      </c>
    </row>
    <row r="523" spans="2:21" ht="13.5" customHeight="1">
      <c r="B523" s="3367"/>
      <c r="C523" s="2445"/>
      <c r="D523" s="2444"/>
      <c r="E523" s="2448"/>
      <c r="F523" s="2450"/>
      <c r="G523" s="3275"/>
      <c r="H523" s="309" t="e">
        <f>IF(ISBLANK(H522),NA(),MIN($I523,ROUNDDOWN($I523+($J523-$I523)/($J522-$I522)*($H522-$I522),2)))</f>
        <v>#N/A</v>
      </c>
      <c r="I523" s="308" t="e">
        <f>VLOOKUP($L$10,小荷物専用昇降機,18,0)</f>
        <v>#N/A</v>
      </c>
      <c r="J523" s="324" t="e">
        <f>VLOOKUP($L$10,小荷物専用昇降機,20,0)</f>
        <v>#N/A</v>
      </c>
      <c r="K523" s="310"/>
      <c r="L523" s="9"/>
      <c r="M523" s="9"/>
      <c r="N523" s="3239"/>
      <c r="O523" s="3236"/>
      <c r="P523" s="3272"/>
      <c r="Q523" s="2461"/>
      <c r="R523" s="2448"/>
      <c r="S523" s="2450"/>
      <c r="T523" s="2200"/>
      <c r="U523" s="4" t="b">
        <f>U517</f>
        <v>0</v>
      </c>
    </row>
    <row r="524" spans="2:21" ht="13.5" customHeight="1">
      <c r="B524" s="3367"/>
      <c r="C524" s="2445"/>
      <c r="D524" s="2444"/>
      <c r="E524" s="2448"/>
      <c r="F524" s="2450"/>
      <c r="G524" s="3274" t="s">
        <v>689</v>
      </c>
      <c r="H524" s="312"/>
      <c r="I524" s="313" t="e">
        <f>VLOOKUP($L$10,小荷物専用昇降機,21,0)</f>
        <v>#N/A</v>
      </c>
      <c r="J524" s="314" t="e">
        <f>VLOOKUP($L$10,小荷物専用昇降機,23,0)</f>
        <v>#N/A</v>
      </c>
      <c r="K524" s="315" t="e">
        <f>VLOOKUP($L$10,小荷物専用昇降機,25,0)</f>
        <v>#N/A</v>
      </c>
      <c r="L524" s="9"/>
      <c r="M524" s="9"/>
      <c r="N524" s="3239"/>
      <c r="O524" s="3236"/>
      <c r="P524" s="3272"/>
      <c r="Q524" s="2461"/>
      <c r="R524" s="2448"/>
      <c r="S524" s="2450"/>
      <c r="T524" s="2200"/>
      <c r="U524" s="4" t="b">
        <f>U517</f>
        <v>0</v>
      </c>
    </row>
    <row r="525" spans="2:21" ht="13.5" customHeight="1">
      <c r="B525" s="3367"/>
      <c r="C525" s="2446"/>
      <c r="D525" s="2447"/>
      <c r="E525" s="2421"/>
      <c r="F525" s="2423"/>
      <c r="G525" s="3275"/>
      <c r="H525" s="307" t="e">
        <f>HLOOKUP(H524,I524:M525,2,0)</f>
        <v>#N/A</v>
      </c>
      <c r="I525" s="308" t="e">
        <f>VLOOKUP($L$10,小荷物専用昇降機,22,0)</f>
        <v>#N/A</v>
      </c>
      <c r="J525" s="316" t="e">
        <f>VLOOKUP($L$10,小荷物専用昇降機,24,0)</f>
        <v>#N/A</v>
      </c>
      <c r="K525" s="309" t="e">
        <f>VLOOKUP($L$10,小荷物専用昇降機,26,0)</f>
        <v>#N/A</v>
      </c>
      <c r="L525" s="44"/>
      <c r="M525" s="44"/>
      <c r="N525" s="3240"/>
      <c r="O525" s="3237"/>
      <c r="P525" s="3290"/>
      <c r="Q525" s="2516"/>
      <c r="R525" s="2421"/>
      <c r="S525" s="2423"/>
      <c r="T525" s="2200"/>
      <c r="U525" s="4" t="b">
        <f>U517</f>
        <v>0</v>
      </c>
    </row>
    <row r="526" spans="2:21" ht="13.5" customHeight="1">
      <c r="B526" s="3367"/>
      <c r="C526" s="1851"/>
      <c r="D526" s="1851"/>
      <c r="E526" s="3243" t="s">
        <v>111</v>
      </c>
      <c r="F526" s="3244"/>
      <c r="G526" s="1549" t="s">
        <v>112</v>
      </c>
      <c r="H526" s="1547"/>
      <c r="I526" s="1547"/>
      <c r="J526" s="1547"/>
      <c r="K526" s="1547"/>
      <c r="L526" s="1547"/>
      <c r="M526" s="1548"/>
      <c r="N526" s="1556" t="s">
        <v>458</v>
      </c>
      <c r="O526" s="1556" t="s">
        <v>113</v>
      </c>
      <c r="P526" s="1842" t="s">
        <v>114</v>
      </c>
      <c r="Q526" s="1843" t="s">
        <v>138</v>
      </c>
      <c r="R526" s="2498" t="s">
        <v>686</v>
      </c>
      <c r="S526" s="3082"/>
      <c r="T526" s="2200"/>
      <c r="U526" s="4" t="b">
        <f>COUNTA(H527,H529,P527)&lt;&gt;0</f>
        <v>0</v>
      </c>
    </row>
    <row r="527" spans="2:21" ht="13.5" customHeight="1">
      <c r="B527" s="3367"/>
      <c r="C527" s="2840" t="s">
        <v>242</v>
      </c>
      <c r="D527" s="2981" t="s">
        <v>1162</v>
      </c>
      <c r="E527" s="2418" t="e">
        <f>VLOOKUP($L$10,Ｓ６００型,2,0)</f>
        <v>#N/A</v>
      </c>
      <c r="F527" s="2420"/>
      <c r="G527" s="3274" t="s">
        <v>243</v>
      </c>
      <c r="H527" s="312"/>
      <c r="I527" s="313" t="e">
        <f>VLOOKUP($L$10,Ｓ６００型,3,0)</f>
        <v>#N/A</v>
      </c>
      <c r="J527" s="314" t="e">
        <f>VLOOKUP($L$10,Ｓ６００型,5,0)</f>
        <v>#N/A</v>
      </c>
      <c r="K527" s="315" t="e">
        <f>VLOOKUP($L$10,Ｓ６００型,7,0)</f>
        <v>#N/A</v>
      </c>
      <c r="L527" s="179"/>
      <c r="M527" s="179"/>
      <c r="N527" s="3238" t="e">
        <f>ROUNDDOWN(H528*H530*IF(ISBLANK(H532),1,H532),2)</f>
        <v>#N/A</v>
      </c>
      <c r="O527" s="3235" t="e">
        <f>INT(E527*N527)</f>
        <v>#N/A</v>
      </c>
      <c r="P527" s="3271"/>
      <c r="Q527" s="3306" t="s">
        <v>139</v>
      </c>
      <c r="R527" s="2418">
        <f>IF(ISERROR(INT(O527*P527)),0,INT(O527*P527))</f>
        <v>0</v>
      </c>
      <c r="S527" s="2420"/>
      <c r="T527" s="2200"/>
      <c r="U527" s="4" t="b">
        <f>$U$526</f>
        <v>0</v>
      </c>
    </row>
    <row r="528" spans="2:21" ht="13.5" customHeight="1">
      <c r="B528" s="3367"/>
      <c r="C528" s="2885"/>
      <c r="D528" s="2982"/>
      <c r="E528" s="2448"/>
      <c r="F528" s="2640"/>
      <c r="G528" s="3275"/>
      <c r="H528" s="307" t="e">
        <f>HLOOKUP(H527,I527:M528,2,0)</f>
        <v>#N/A</v>
      </c>
      <c r="I528" s="308" t="e">
        <f>VLOOKUP($L$10,Ｓ６００型,4,0)</f>
        <v>#N/A</v>
      </c>
      <c r="J528" s="316" t="e">
        <f>VLOOKUP($L$10,Ｓ６００型,6,0)</f>
        <v>#N/A</v>
      </c>
      <c r="K528" s="324" t="e">
        <f>VLOOKUP($L$10,Ｓ６００型,8,0)</f>
        <v>#N/A</v>
      </c>
      <c r="L528" s="189"/>
      <c r="M528" s="10"/>
      <c r="N528" s="3239"/>
      <c r="O528" s="3236"/>
      <c r="P528" s="3272"/>
      <c r="Q528" s="3319"/>
      <c r="R528" s="2448"/>
      <c r="S528" s="2640"/>
      <c r="T528" s="2200"/>
      <c r="U528" s="4" t="b">
        <f t="shared" ref="U528:U530" si="47">$U$526</f>
        <v>0</v>
      </c>
    </row>
    <row r="529" spans="2:21" ht="13.5" customHeight="1">
      <c r="B529" s="3367"/>
      <c r="C529" s="2885"/>
      <c r="D529" s="2982"/>
      <c r="E529" s="2448"/>
      <c r="F529" s="2640"/>
      <c r="G529" s="3274" t="s">
        <v>244</v>
      </c>
      <c r="H529" s="2078"/>
      <c r="I529" s="395" t="e">
        <f>VLOOKUP($L$10,Ｓ６００型,9,0)</f>
        <v>#N/A</v>
      </c>
      <c r="J529" s="396" t="e">
        <f>VLOOKUP($L$10,Ｓ６００型,11,0)</f>
        <v>#N/A</v>
      </c>
      <c r="K529" s="592" t="e">
        <f>VLOOKUP($L$10,Ｓ６００型,13,0)</f>
        <v>#N/A</v>
      </c>
      <c r="L529" s="593"/>
      <c r="M529" s="9"/>
      <c r="N529" s="3239"/>
      <c r="O529" s="3236"/>
      <c r="P529" s="3272"/>
      <c r="Q529" s="3319"/>
      <c r="R529" s="2448"/>
      <c r="S529" s="2640"/>
      <c r="T529" s="2200"/>
      <c r="U529" s="4" t="b">
        <f t="shared" si="47"/>
        <v>0</v>
      </c>
    </row>
    <row r="530" spans="2:21" ht="13.5" customHeight="1">
      <c r="B530" s="3367"/>
      <c r="C530" s="2885"/>
      <c r="D530" s="2982"/>
      <c r="E530" s="2448"/>
      <c r="F530" s="2640"/>
      <c r="G530" s="3275"/>
      <c r="H530" s="309" t="e">
        <f>IF(ISBLANK(H529),NA(),ROUNDDOWN($J530+($H529-$J529)*IF($H529&gt;$J529,($I530-$J530)/($I529-$J529),($K530-$J530)/($K529-$J529)),2))</f>
        <v>#N/A</v>
      </c>
      <c r="I530" s="308" t="e">
        <f>VLOOKUP($L$10,Ｓ６００型,10,0)</f>
        <v>#N/A</v>
      </c>
      <c r="J530" s="316" t="e">
        <f>VLOOKUP($L$10,Ｓ６００型,12,0)</f>
        <v>#N/A</v>
      </c>
      <c r="K530" s="324" t="e">
        <f>VLOOKUP($L$10,Ｓ６００型,14,0)</f>
        <v>#N/A</v>
      </c>
      <c r="L530" s="317"/>
      <c r="M530" s="9"/>
      <c r="N530" s="3239"/>
      <c r="O530" s="3236"/>
      <c r="P530" s="3272"/>
      <c r="Q530" s="3319"/>
      <c r="R530" s="2448"/>
      <c r="S530" s="2640"/>
      <c r="T530" s="2200"/>
      <c r="U530" s="4" t="b">
        <f t="shared" si="47"/>
        <v>0</v>
      </c>
    </row>
    <row r="531" spans="2:21" ht="13.5" customHeight="1">
      <c r="B531" s="3367"/>
      <c r="C531" s="2885"/>
      <c r="D531" s="2982"/>
      <c r="E531" s="2448"/>
      <c r="F531" s="2640"/>
      <c r="G531" s="3332" t="s">
        <v>689</v>
      </c>
      <c r="H531" s="2079"/>
      <c r="I531" s="642"/>
      <c r="J531" s="642"/>
      <c r="K531" s="642"/>
      <c r="L531" s="311"/>
      <c r="M531" s="9"/>
      <c r="N531" s="3239"/>
      <c r="O531" s="3236"/>
      <c r="P531" s="3272"/>
      <c r="Q531" s="3319"/>
      <c r="R531" s="2448"/>
      <c r="S531" s="2640"/>
      <c r="T531" s="2200"/>
      <c r="U531" s="4" t="b">
        <f>AND($U$526,ISNUMBER(H532))</f>
        <v>0</v>
      </c>
    </row>
    <row r="532" spans="2:21" ht="13.5" customHeight="1">
      <c r="B532" s="3367"/>
      <c r="C532" s="2885"/>
      <c r="D532" s="2985"/>
      <c r="E532" s="2421"/>
      <c r="F532" s="2423"/>
      <c r="G532" s="3417"/>
      <c r="H532" s="2080"/>
      <c r="I532" s="329"/>
      <c r="J532" s="329"/>
      <c r="K532" s="329"/>
      <c r="L532" s="329"/>
      <c r="M532" s="9"/>
      <c r="N532" s="3240"/>
      <c r="O532" s="3237"/>
      <c r="P532" s="3290"/>
      <c r="Q532" s="3309"/>
      <c r="R532" s="2421"/>
      <c r="S532" s="2423"/>
      <c r="T532" s="2200"/>
      <c r="U532" s="4" t="b">
        <f>+U531</f>
        <v>0</v>
      </c>
    </row>
    <row r="533" spans="2:21" ht="13.5" customHeight="1">
      <c r="B533" s="3367"/>
      <c r="C533" s="2885"/>
      <c r="D533" s="1851"/>
      <c r="E533" s="3243" t="s">
        <v>111</v>
      </c>
      <c r="F533" s="3244"/>
      <c r="G533" s="1549" t="s">
        <v>112</v>
      </c>
      <c r="H533" s="1547"/>
      <c r="I533" s="1547"/>
      <c r="J533" s="1547"/>
      <c r="K533" s="1547"/>
      <c r="L533" s="1547"/>
      <c r="M533" s="1548"/>
      <c r="N533" s="1556" t="s">
        <v>458</v>
      </c>
      <c r="O533" s="1556" t="s">
        <v>113</v>
      </c>
      <c r="P533" s="1842" t="s">
        <v>114</v>
      </c>
      <c r="Q533" s="1843" t="s">
        <v>138</v>
      </c>
      <c r="R533" s="2498" t="s">
        <v>686</v>
      </c>
      <c r="S533" s="3082"/>
      <c r="T533" s="2200"/>
      <c r="U533" s="4" t="b">
        <f>COUNTA(H534,H536,P534)&lt;&gt;0</f>
        <v>0</v>
      </c>
    </row>
    <row r="534" spans="2:21" ht="13.5" customHeight="1">
      <c r="B534" s="3367"/>
      <c r="C534" s="2885"/>
      <c r="D534" s="2981" t="s">
        <v>1163</v>
      </c>
      <c r="E534" s="2418" t="e">
        <f>VLOOKUP($L$10,Ｓ１０００型,2,0)</f>
        <v>#N/A</v>
      </c>
      <c r="F534" s="2420"/>
      <c r="G534" s="3274" t="s">
        <v>243</v>
      </c>
      <c r="H534" s="312"/>
      <c r="I534" s="313" t="e">
        <f>VLOOKUP($L$10,Ｓ１０００型,3,0)</f>
        <v>#N/A</v>
      </c>
      <c r="J534" s="314" t="e">
        <f>VLOOKUP($L$10,Ｓ１０００型,5,0)</f>
        <v>#N/A</v>
      </c>
      <c r="K534" s="315" t="e">
        <f>VLOOKUP($L$10,Ｓ１０００型,7,0)</f>
        <v>#N/A</v>
      </c>
      <c r="L534" s="179"/>
      <c r="M534" s="179"/>
      <c r="N534" s="3238" t="e">
        <f>ROUNDDOWN(H535*H537,2)</f>
        <v>#N/A</v>
      </c>
      <c r="O534" s="3235" t="e">
        <f>INT(E534*N534)</f>
        <v>#N/A</v>
      </c>
      <c r="P534" s="3271"/>
      <c r="Q534" s="3306" t="s">
        <v>139</v>
      </c>
      <c r="R534" s="2418">
        <f>IF(ISERROR(INT(O534*P534)),0,INT(O534*P534))</f>
        <v>0</v>
      </c>
      <c r="S534" s="2420"/>
      <c r="T534" s="2200"/>
      <c r="U534" s="4" t="b">
        <f>U533</f>
        <v>0</v>
      </c>
    </row>
    <row r="535" spans="2:21" ht="13.5" customHeight="1">
      <c r="B535" s="3367"/>
      <c r="C535" s="2885"/>
      <c r="D535" s="2982"/>
      <c r="E535" s="2448"/>
      <c r="F535" s="2450"/>
      <c r="G535" s="3275"/>
      <c r="H535" s="307" t="e">
        <f>HLOOKUP(H534,I534:M535,2,0)</f>
        <v>#N/A</v>
      </c>
      <c r="I535" s="308" t="e">
        <f>VLOOKUP($L$10,Ｓ１０００型,4,0)</f>
        <v>#N/A</v>
      </c>
      <c r="J535" s="316" t="e">
        <f>VLOOKUP($L$10,Ｓ１０００型,6,0)</f>
        <v>#N/A</v>
      </c>
      <c r="K535" s="324" t="e">
        <f>VLOOKUP($L$10,Ｓ１０００型,8,0)</f>
        <v>#N/A</v>
      </c>
      <c r="L535" s="189"/>
      <c r="M535" s="10"/>
      <c r="N535" s="2461"/>
      <c r="O535" s="3236"/>
      <c r="P535" s="3272"/>
      <c r="Q535" s="2461"/>
      <c r="R535" s="2448"/>
      <c r="S535" s="2450"/>
      <c r="T535" s="2200"/>
      <c r="U535" s="4" t="b">
        <f>U533</f>
        <v>0</v>
      </c>
    </row>
    <row r="536" spans="2:21" ht="13.5" customHeight="1">
      <c r="B536" s="3367"/>
      <c r="C536" s="2885"/>
      <c r="D536" s="2982"/>
      <c r="E536" s="2448"/>
      <c r="F536" s="2450"/>
      <c r="G536" s="3274" t="s">
        <v>244</v>
      </c>
      <c r="H536" s="2078"/>
      <c r="I536" s="395" t="e">
        <f>VLOOKUP($L$10,Ｓ１０００型,9,0)</f>
        <v>#N/A</v>
      </c>
      <c r="J536" s="396" t="e">
        <f>VLOOKUP($L$10,Ｓ１０００型,11,0)</f>
        <v>#N/A</v>
      </c>
      <c r="K536" s="592" t="e">
        <f>VLOOKUP($L$10,Ｓ１０００型,13,0)</f>
        <v>#N/A</v>
      </c>
      <c r="L536" s="593"/>
      <c r="M536" s="10"/>
      <c r="N536" s="2461"/>
      <c r="O536" s="3236"/>
      <c r="P536" s="3272"/>
      <c r="Q536" s="2461"/>
      <c r="R536" s="2448"/>
      <c r="S536" s="2450"/>
      <c r="T536" s="2200"/>
      <c r="U536" s="4" t="b">
        <f>U533</f>
        <v>0</v>
      </c>
    </row>
    <row r="537" spans="2:21" ht="13.5" customHeight="1">
      <c r="B537" s="3367"/>
      <c r="C537" s="2885"/>
      <c r="D537" s="2982"/>
      <c r="E537" s="2448"/>
      <c r="F537" s="2450"/>
      <c r="G537" s="3275"/>
      <c r="H537" s="309" t="e">
        <f>IF(ISBLANK(H536),NA(),ROUNDDOWN($J537+($H536-$J536)*IF($H536&gt;$J536,($I537-$J537)/($I536-$J536),($K537-$J537)/($K536-$J536)),2))</f>
        <v>#N/A</v>
      </c>
      <c r="I537" s="308" t="e">
        <f>VLOOKUP($L$10,Ｓ１０００型,10,0)</f>
        <v>#N/A</v>
      </c>
      <c r="J537" s="316" t="e">
        <f>VLOOKUP($L$10,Ｓ１０００型,12,0)</f>
        <v>#N/A</v>
      </c>
      <c r="K537" s="324" t="e">
        <f>VLOOKUP($L$10,Ｓ１０００型,14,0)</f>
        <v>#N/A</v>
      </c>
      <c r="L537" s="310"/>
      <c r="M537" s="69"/>
      <c r="N537" s="2461"/>
      <c r="O537" s="3236"/>
      <c r="P537" s="3272"/>
      <c r="Q537" s="2461"/>
      <c r="R537" s="2448"/>
      <c r="S537" s="2450"/>
      <c r="T537" s="2200"/>
      <c r="U537" s="4" t="b">
        <f>U533</f>
        <v>0</v>
      </c>
    </row>
    <row r="538" spans="2:21" ht="13.5" customHeight="1">
      <c r="B538" s="1833"/>
      <c r="C538" s="1845"/>
      <c r="D538" s="1580"/>
      <c r="E538" s="3332" t="s">
        <v>111</v>
      </c>
      <c r="F538" s="3333"/>
      <c r="G538" s="1581" t="s">
        <v>112</v>
      </c>
      <c r="H538" s="1582"/>
      <c r="I538" s="1582"/>
      <c r="J538" s="1582"/>
      <c r="K538" s="1582"/>
      <c r="L538" s="1582"/>
      <c r="M538" s="1583"/>
      <c r="N538" s="1727" t="s">
        <v>458</v>
      </c>
      <c r="O538" s="1727" t="s">
        <v>113</v>
      </c>
      <c r="P538" s="1842" t="s">
        <v>114</v>
      </c>
      <c r="Q538" s="1843" t="s">
        <v>138</v>
      </c>
      <c r="R538" s="3067" t="s">
        <v>686</v>
      </c>
      <c r="S538" s="3331"/>
      <c r="T538" s="2200"/>
      <c r="U538" s="4" t="b">
        <f>COUNTA(H539,H541,H543,H545,P539)&lt;&gt;0</f>
        <v>0</v>
      </c>
    </row>
    <row r="539" spans="2:21" ht="13.5" customHeight="1">
      <c r="B539" s="2840" t="s">
        <v>245</v>
      </c>
      <c r="C539" s="2443" t="s">
        <v>246</v>
      </c>
      <c r="D539" s="2444"/>
      <c r="E539" s="2418" t="e">
        <f>VLOOKUP($L$10,ゴンドラ,2,0)</f>
        <v>#N/A</v>
      </c>
      <c r="F539" s="2420"/>
      <c r="G539" s="3274" t="s">
        <v>247</v>
      </c>
      <c r="H539" s="2069"/>
      <c r="I539" s="395" t="e">
        <f>VLOOKUP($L$10,ゴンドラ,3,0)</f>
        <v>#N/A</v>
      </c>
      <c r="J539" s="396" t="e">
        <f>VLOOKUP($L$10,ゴンドラ,5,0)</f>
        <v>#N/A</v>
      </c>
      <c r="K539" s="592" t="e">
        <f>VLOOKUP($L$10,ゴンドラ,7,0)</f>
        <v>#N/A</v>
      </c>
      <c r="L539" s="40"/>
      <c r="M539" s="179"/>
      <c r="N539" s="3238" t="e">
        <f>ROUNDDOWN(H540*H542*H544*H546,2)</f>
        <v>#N/A</v>
      </c>
      <c r="O539" s="3235" t="e">
        <f>INT(E539*N539)</f>
        <v>#N/A</v>
      </c>
      <c r="P539" s="3271"/>
      <c r="Q539" s="3306" t="s">
        <v>139</v>
      </c>
      <c r="R539" s="2418">
        <f>IF(ISERROR(INT(O539*P539)),0,INT(O539*P539))</f>
        <v>0</v>
      </c>
      <c r="S539" s="2420"/>
      <c r="T539" s="2200"/>
      <c r="U539" s="4" t="b">
        <f>U538</f>
        <v>0</v>
      </c>
    </row>
    <row r="540" spans="2:21" ht="13.5" customHeight="1">
      <c r="B540" s="2885"/>
      <c r="C540" s="2445"/>
      <c r="D540" s="2444"/>
      <c r="E540" s="2448"/>
      <c r="F540" s="2450"/>
      <c r="G540" s="3275"/>
      <c r="H540" s="309" t="e">
        <f>IF(ISBLANK(H539),NA(),ROUNDDOWN($J540+($H539-$J539)*IF($H539&gt;$J539,($I540-$J540)/($I539-$J539),($K540-$J540)/($K539-$J539)),2))</f>
        <v>#N/A</v>
      </c>
      <c r="I540" s="308" t="e">
        <f>VLOOKUP($L$10,ゴンドラ,4,0)</f>
        <v>#N/A</v>
      </c>
      <c r="J540" s="316" t="e">
        <f>VLOOKUP($L$10,ゴンドラ,6,0)</f>
        <v>#N/A</v>
      </c>
      <c r="K540" s="324" t="e">
        <f>VLOOKUP($L$10,ゴンドラ,8,0)</f>
        <v>#N/A</v>
      </c>
      <c r="L540" s="317"/>
      <c r="M540" s="9"/>
      <c r="N540" s="3239"/>
      <c r="O540" s="3236"/>
      <c r="P540" s="3272"/>
      <c r="Q540" s="2461"/>
      <c r="R540" s="2448"/>
      <c r="S540" s="2450"/>
      <c r="T540" s="2200"/>
      <c r="U540" s="4" t="b">
        <f>U538</f>
        <v>0</v>
      </c>
    </row>
    <row r="541" spans="2:21" ht="13.5" customHeight="1">
      <c r="B541" s="2885"/>
      <c r="C541" s="2445"/>
      <c r="D541" s="2444"/>
      <c r="E541" s="2448"/>
      <c r="F541" s="2450"/>
      <c r="G541" s="3274" t="s">
        <v>248</v>
      </c>
      <c r="H541" s="312"/>
      <c r="I541" s="313" t="e">
        <f>VLOOKUP($L$10,ゴンドラ,9,0)</f>
        <v>#N/A</v>
      </c>
      <c r="J541" s="314" t="e">
        <f>VLOOKUP($L$10,ゴンドラ,11,0)</f>
        <v>#N/A</v>
      </c>
      <c r="K541" s="315" t="e">
        <f>VLOOKUP($L$10,ゴンドラ,13,0)</f>
        <v>#N/A</v>
      </c>
      <c r="L541" s="9"/>
      <c r="M541" s="9"/>
      <c r="N541" s="3239"/>
      <c r="O541" s="3236"/>
      <c r="P541" s="3272"/>
      <c r="Q541" s="2461"/>
      <c r="R541" s="2448"/>
      <c r="S541" s="2450"/>
      <c r="T541" s="2200"/>
      <c r="U541" s="4" t="b">
        <f>U538</f>
        <v>0</v>
      </c>
    </row>
    <row r="542" spans="2:21" ht="13.5" customHeight="1">
      <c r="B542" s="2885"/>
      <c r="C542" s="2445"/>
      <c r="D542" s="2444"/>
      <c r="E542" s="2448"/>
      <c r="F542" s="2450"/>
      <c r="G542" s="3275"/>
      <c r="H542" s="307" t="e">
        <f>HLOOKUP(H541,I541:M542,2,0)</f>
        <v>#N/A</v>
      </c>
      <c r="I542" s="308" t="e">
        <f>VLOOKUP($L$10,ゴンドラ,10,0)</f>
        <v>#N/A</v>
      </c>
      <c r="J542" s="316" t="e">
        <f>VLOOKUP($L$10,ゴンドラ,12,0)</f>
        <v>#N/A</v>
      </c>
      <c r="K542" s="309" t="e">
        <f>VLOOKUP($L$10,ゴンドラ,14,0)</f>
        <v>#N/A</v>
      </c>
      <c r="L542" s="9"/>
      <c r="M542" s="9"/>
      <c r="N542" s="3239"/>
      <c r="O542" s="3236"/>
      <c r="P542" s="3272"/>
      <c r="Q542" s="2461"/>
      <c r="R542" s="2448"/>
      <c r="S542" s="2450"/>
      <c r="T542" s="2200"/>
      <c r="U542" s="4" t="b">
        <f>U538</f>
        <v>0</v>
      </c>
    </row>
    <row r="543" spans="2:21" ht="13.5" customHeight="1">
      <c r="B543" s="2885"/>
      <c r="C543" s="2445"/>
      <c r="D543" s="2444"/>
      <c r="E543" s="2448"/>
      <c r="F543" s="2450"/>
      <c r="G543" s="3327" t="s">
        <v>249</v>
      </c>
      <c r="H543" s="408"/>
      <c r="I543" s="370" t="e">
        <f>VLOOKUP($L$10,ゴンドラ,15,0)</f>
        <v>#N/A</v>
      </c>
      <c r="J543" s="613" t="e">
        <f>VLOOKUP($L$10,ゴンドラ,17,0)</f>
        <v>#N/A</v>
      </c>
      <c r="K543" s="614"/>
      <c r="L543" s="9"/>
      <c r="M543" s="9"/>
      <c r="N543" s="3239"/>
      <c r="O543" s="3236"/>
      <c r="P543" s="3272"/>
      <c r="Q543" s="2461"/>
      <c r="R543" s="2448"/>
      <c r="S543" s="2450"/>
      <c r="T543" s="2200"/>
      <c r="U543" s="4" t="b">
        <f>U538</f>
        <v>0</v>
      </c>
    </row>
    <row r="544" spans="2:21" ht="13.5" customHeight="1">
      <c r="B544" s="2885"/>
      <c r="C544" s="2445"/>
      <c r="D544" s="2444"/>
      <c r="E544" s="2448"/>
      <c r="F544" s="2450"/>
      <c r="G544" s="3275"/>
      <c r="H544" s="307" t="e">
        <f>HLOOKUP(H543,I543:M544,2,0)</f>
        <v>#N/A</v>
      </c>
      <c r="I544" s="308" t="e">
        <f>VLOOKUP($L$10,ゴンドラ,16,0)</f>
        <v>#N/A</v>
      </c>
      <c r="J544" s="324" t="e">
        <f>VLOOKUP($L$10,ゴンドラ,18,0)</f>
        <v>#N/A</v>
      </c>
      <c r="K544" s="317"/>
      <c r="L544" s="9"/>
      <c r="M544" s="9"/>
      <c r="N544" s="3239"/>
      <c r="O544" s="3236"/>
      <c r="P544" s="3272"/>
      <c r="Q544" s="2461"/>
      <c r="R544" s="2448"/>
      <c r="S544" s="2450"/>
      <c r="T544" s="2200"/>
      <c r="U544" s="4" t="b">
        <f>U538</f>
        <v>0</v>
      </c>
    </row>
    <row r="545" spans="2:21" ht="13.5" customHeight="1">
      <c r="B545" s="2885"/>
      <c r="C545" s="2445"/>
      <c r="D545" s="2444"/>
      <c r="E545" s="2448"/>
      <c r="F545" s="2450"/>
      <c r="G545" s="3274" t="s">
        <v>250</v>
      </c>
      <c r="H545" s="312"/>
      <c r="I545" s="313" t="e">
        <f>VLOOKUP($L$10,ゴンドラ,23,0)</f>
        <v>#N/A</v>
      </c>
      <c r="J545" s="315" t="e">
        <f>VLOOKUP($L$10,ゴンドラ,25,0)</f>
        <v>#N/A</v>
      </c>
      <c r="K545" s="9"/>
      <c r="L545" s="9"/>
      <c r="M545" s="9"/>
      <c r="N545" s="3239"/>
      <c r="O545" s="3236"/>
      <c r="P545" s="3272"/>
      <c r="Q545" s="2461"/>
      <c r="R545" s="2448"/>
      <c r="S545" s="2450"/>
      <c r="T545" s="2200"/>
      <c r="U545" s="4" t="b">
        <f>U538</f>
        <v>0</v>
      </c>
    </row>
    <row r="546" spans="2:21" ht="13.5" customHeight="1" thickBot="1">
      <c r="B546" s="2885"/>
      <c r="C546" s="2445"/>
      <c r="D546" s="2444"/>
      <c r="E546" s="2448"/>
      <c r="F546" s="2450"/>
      <c r="G546" s="3330"/>
      <c r="H546" s="363" t="e">
        <f>HLOOKUP(H545,I545:M546,2,0)</f>
        <v>#N/A</v>
      </c>
      <c r="I546" s="364" t="e">
        <f>VLOOKUP($L$10,ゴンドラ,24,0)</f>
        <v>#N/A</v>
      </c>
      <c r="J546" s="366" t="e">
        <f>VLOOKUP($L$10,ゴンドラ,26,0)</f>
        <v>#N/A</v>
      </c>
      <c r="K546" s="9"/>
      <c r="L546" s="9"/>
      <c r="M546" s="9"/>
      <c r="N546" s="3239"/>
      <c r="O546" s="3236"/>
      <c r="P546" s="3272"/>
      <c r="Q546" s="2461"/>
      <c r="R546" s="2448"/>
      <c r="S546" s="2450"/>
      <c r="T546" s="2200"/>
      <c r="U546" s="4" t="b">
        <f>U538</f>
        <v>0</v>
      </c>
    </row>
    <row r="547" spans="2:21" ht="13.5" customHeight="1" thickTop="1">
      <c r="B547" s="1858"/>
      <c r="C547" s="1859"/>
      <c r="D547" s="1859"/>
      <c r="E547" s="1860"/>
      <c r="F547" s="1860"/>
      <c r="G547" s="1860"/>
      <c r="H547" s="1860"/>
      <c r="I547" s="1860"/>
      <c r="J547" s="1860"/>
      <c r="K547" s="1860"/>
      <c r="L547" s="1860"/>
      <c r="M547" s="1860"/>
      <c r="N547" s="1861" t="s">
        <v>681</v>
      </c>
      <c r="O547" s="1862"/>
      <c r="P547" s="1863"/>
      <c r="Q547" s="3328">
        <f>SUM(R13,R27,R37:S546)</f>
        <v>0</v>
      </c>
      <c r="R547" s="3328"/>
      <c r="S547" s="3329"/>
      <c r="T547" s="2200"/>
      <c r="U547" s="4" t="b">
        <v>1</v>
      </c>
    </row>
  </sheetData>
  <autoFilter ref="U1:U547" xr:uid="{00000000-0001-0000-0B00-000000000000}"/>
  <customSheetViews>
    <customSheetView guid="{6CFAA980-29D1-42A9-8342-BF14629EBE3B}" showGridLines="0" fitToPage="1" showAutoFilter="1">
      <pane xSplit="1" ySplit="6" topLeftCell="B219" activePane="bottomRight" state="frozen"/>
      <selection pane="bottomRight" activeCell="G234" sqref="G234"/>
      <pageMargins left="0.51181102362204722" right="0.19685039370078741" top="0.59055118110236227" bottom="0.35433070866141736" header="0.39370078740157483" footer="0.19685039370078741"/>
      <pageSetup paperSize="9" scale="69" fitToHeight="0" orientation="portrait" r:id="rId1"/>
      <headerFooter alignWithMargins="0">
        <oddHeader>&amp;L&amp;"HG創英角ｺﾞｼｯｸUB,標準"&amp;12様式第１号 別紙２その１　建築設備計算書</oddHeader>
        <oddFooter>&amp;R&amp;D　&amp;T</oddFooter>
      </headerFooter>
      <autoFilter ref="T1:T1091" xr:uid="{431630F8-3112-4FFA-8318-160758470FA9}"/>
    </customSheetView>
  </customSheetViews>
  <mergeCells count="942">
    <mergeCell ref="I306:I308"/>
    <mergeCell ref="O296:O304"/>
    <mergeCell ref="H289:H290"/>
    <mergeCell ref="I289:I290"/>
    <mergeCell ref="N296:N304"/>
    <mergeCell ref="R295:S295"/>
    <mergeCell ref="R296:S304"/>
    <mergeCell ref="Q296:Q304"/>
    <mergeCell ref="P296:P304"/>
    <mergeCell ref="J307:M307"/>
    <mergeCell ref="N307:Q307"/>
    <mergeCell ref="J306:Q306"/>
    <mergeCell ref="J308:M308"/>
    <mergeCell ref="N308:Q308"/>
    <mergeCell ref="G333:G335"/>
    <mergeCell ref="H333:H334"/>
    <mergeCell ref="I333:I334"/>
    <mergeCell ref="G330:G331"/>
    <mergeCell ref="H309:H311"/>
    <mergeCell ref="N318:N331"/>
    <mergeCell ref="H312:H314"/>
    <mergeCell ref="G342:G343"/>
    <mergeCell ref="O318:O331"/>
    <mergeCell ref="G340:G341"/>
    <mergeCell ref="R340:S343"/>
    <mergeCell ref="R344:S344"/>
    <mergeCell ref="P340:P343"/>
    <mergeCell ref="Q340:Q343"/>
    <mergeCell ref="R339:S339"/>
    <mergeCell ref="R356:S357"/>
    <mergeCell ref="Q345:Q351"/>
    <mergeCell ref="P356:P357"/>
    <mergeCell ref="R355:S355"/>
    <mergeCell ref="N356:N357"/>
    <mergeCell ref="N345:N351"/>
    <mergeCell ref="O345:O351"/>
    <mergeCell ref="O359:O364"/>
    <mergeCell ref="R317:S317"/>
    <mergeCell ref="R345:S351"/>
    <mergeCell ref="R373:S374"/>
    <mergeCell ref="R380:S380"/>
    <mergeCell ref="R377:S377"/>
    <mergeCell ref="Q378:Q379"/>
    <mergeCell ref="P378:P379"/>
    <mergeCell ref="O378:O379"/>
    <mergeCell ref="N366:N369"/>
    <mergeCell ref="N371:N372"/>
    <mergeCell ref="P345:P351"/>
    <mergeCell ref="R370:S370"/>
    <mergeCell ref="R371:S372"/>
    <mergeCell ref="Q371:Q372"/>
    <mergeCell ref="R359:S364"/>
    <mergeCell ref="R318:S331"/>
    <mergeCell ref="Q356:Q357"/>
    <mergeCell ref="P318:P331"/>
    <mergeCell ref="Q318:Q331"/>
    <mergeCell ref="R358:S358"/>
    <mergeCell ref="N378:N379"/>
    <mergeCell ref="Q373:Q374"/>
    <mergeCell ref="R375:S376"/>
    <mergeCell ref="Q381:Q382"/>
    <mergeCell ref="G403:G404"/>
    <mergeCell ref="G396:G397"/>
    <mergeCell ref="G384:G385"/>
    <mergeCell ref="G381:G382"/>
    <mergeCell ref="G392:G393"/>
    <mergeCell ref="G398:G399"/>
    <mergeCell ref="G394:G395"/>
    <mergeCell ref="O373:O374"/>
    <mergeCell ref="R378:S379"/>
    <mergeCell ref="Q375:Q376"/>
    <mergeCell ref="R383:S383"/>
    <mergeCell ref="R386:S386"/>
    <mergeCell ref="Q387:Q390"/>
    <mergeCell ref="R392:S399"/>
    <mergeCell ref="Q392:Q399"/>
    <mergeCell ref="R381:S382"/>
    <mergeCell ref="Q384:Q385"/>
    <mergeCell ref="R384:S385"/>
    <mergeCell ref="N387:N390"/>
    <mergeCell ref="R387:S390"/>
    <mergeCell ref="E381:F382"/>
    <mergeCell ref="E371:F376"/>
    <mergeCell ref="G371:G372"/>
    <mergeCell ref="E384:F385"/>
    <mergeCell ref="G389:G390"/>
    <mergeCell ref="G387:G388"/>
    <mergeCell ref="G524:G525"/>
    <mergeCell ref="N511:N516"/>
    <mergeCell ref="G508:G509"/>
    <mergeCell ref="E492:F492"/>
    <mergeCell ref="E510:F510"/>
    <mergeCell ref="E504:F509"/>
    <mergeCell ref="E406:F407"/>
    <mergeCell ref="E400:F400"/>
    <mergeCell ref="E378:F379"/>
    <mergeCell ref="G378:G379"/>
    <mergeCell ref="G461:G462"/>
    <mergeCell ref="G469:G470"/>
    <mergeCell ref="G453:G454"/>
    <mergeCell ref="E459:F459"/>
    <mergeCell ref="E461:F470"/>
    <mergeCell ref="E471:F471"/>
    <mergeCell ref="E409:F410"/>
    <mergeCell ref="E423:F424"/>
    <mergeCell ref="E484:F491"/>
    <mergeCell ref="G446:G447"/>
    <mergeCell ref="G463:G464"/>
    <mergeCell ref="G473:G474"/>
    <mergeCell ref="E448:F448"/>
    <mergeCell ref="O423:O424"/>
    <mergeCell ref="P423:P424"/>
    <mergeCell ref="N423:N424"/>
    <mergeCell ref="G465:G466"/>
    <mergeCell ref="G467:G468"/>
    <mergeCell ref="G451:G452"/>
    <mergeCell ref="P473:P482"/>
    <mergeCell ref="G455:G456"/>
    <mergeCell ref="G457:G458"/>
    <mergeCell ref="G449:G450"/>
    <mergeCell ref="N449:N458"/>
    <mergeCell ref="E438:F447"/>
    <mergeCell ref="E428:F428"/>
    <mergeCell ref="G435:G436"/>
    <mergeCell ref="G423:G424"/>
    <mergeCell ref="E437:F437"/>
    <mergeCell ref="P426:P427"/>
    <mergeCell ref="R423:S424"/>
    <mergeCell ref="E533:F533"/>
    <mergeCell ref="N473:N482"/>
    <mergeCell ref="G475:G476"/>
    <mergeCell ref="G477:G478"/>
    <mergeCell ref="G479:G480"/>
    <mergeCell ref="G481:G482"/>
    <mergeCell ref="E473:F482"/>
    <mergeCell ref="G493:G494"/>
    <mergeCell ref="E511:F516"/>
    <mergeCell ref="G511:G512"/>
    <mergeCell ref="G527:G528"/>
    <mergeCell ref="G529:G530"/>
    <mergeCell ref="G531:G532"/>
    <mergeCell ref="E527:F532"/>
    <mergeCell ref="E517:F517"/>
    <mergeCell ref="E518:F525"/>
    <mergeCell ref="E526:F526"/>
    <mergeCell ref="N527:N532"/>
    <mergeCell ref="N518:N525"/>
    <mergeCell ref="G497:G498"/>
    <mergeCell ref="R533:S533"/>
    <mergeCell ref="G444:G445"/>
    <mergeCell ref="R526:S526"/>
    <mergeCell ref="N235:N238"/>
    <mergeCell ref="N214:N219"/>
    <mergeCell ref="N240:N243"/>
    <mergeCell ref="O250:O259"/>
    <mergeCell ref="O235:O238"/>
    <mergeCell ref="N245:N248"/>
    <mergeCell ref="O240:O243"/>
    <mergeCell ref="R365:S365"/>
    <mergeCell ref="P359:P364"/>
    <mergeCell ref="Q359:Q364"/>
    <mergeCell ref="N261:N270"/>
    <mergeCell ref="P214:P219"/>
    <mergeCell ref="Q232:Q233"/>
    <mergeCell ref="P232:P233"/>
    <mergeCell ref="Q272:Q287"/>
    <mergeCell ref="P272:P287"/>
    <mergeCell ref="P235:P238"/>
    <mergeCell ref="Q235:Q238"/>
    <mergeCell ref="R234:S234"/>
    <mergeCell ref="R232:S233"/>
    <mergeCell ref="R249:S249"/>
    <mergeCell ref="R245:S248"/>
    <mergeCell ref="R226:S226"/>
    <mergeCell ref="Q261:Q270"/>
    <mergeCell ref="O381:O382"/>
    <mergeCell ref="R145:S145"/>
    <mergeCell ref="R143:S144"/>
    <mergeCell ref="P143:P144"/>
    <mergeCell ref="R122:S123"/>
    <mergeCell ref="O261:O270"/>
    <mergeCell ref="R181:S185"/>
    <mergeCell ref="Q146:Q147"/>
    <mergeCell ref="R146:S147"/>
    <mergeCell ref="R153:S153"/>
    <mergeCell ref="R148:S148"/>
    <mergeCell ref="P154:P157"/>
    <mergeCell ref="Q154:Q157"/>
    <mergeCell ref="R149:S152"/>
    <mergeCell ref="R204:S207"/>
    <mergeCell ref="Q227:Q230"/>
    <mergeCell ref="R227:S230"/>
    <mergeCell ref="R213:S213"/>
    <mergeCell ref="R214:S219"/>
    <mergeCell ref="R194:S198"/>
    <mergeCell ref="R169:S175"/>
    <mergeCell ref="P164:P167"/>
    <mergeCell ref="Q164:Q167"/>
    <mergeCell ref="R191:S192"/>
    <mergeCell ref="R79:S79"/>
    <mergeCell ref="R80:S86"/>
    <mergeCell ref="O80:O86"/>
    <mergeCell ref="R91:S91"/>
    <mergeCell ref="Q92:Q96"/>
    <mergeCell ref="R76:S76"/>
    <mergeCell ref="R92:S96"/>
    <mergeCell ref="N80:N86"/>
    <mergeCell ref="Q77:Q78"/>
    <mergeCell ref="R77:S78"/>
    <mergeCell ref="Q80:Q86"/>
    <mergeCell ref="N92:N96"/>
    <mergeCell ref="P80:P86"/>
    <mergeCell ref="R53:S53"/>
    <mergeCell ref="Q37:Q38"/>
    <mergeCell ref="O37:O38"/>
    <mergeCell ref="R37:S38"/>
    <mergeCell ref="O54:O57"/>
    <mergeCell ref="Q43:Q45"/>
    <mergeCell ref="P43:P45"/>
    <mergeCell ref="N77:N78"/>
    <mergeCell ref="O77:O78"/>
    <mergeCell ref="N67:N71"/>
    <mergeCell ref="N54:N57"/>
    <mergeCell ref="O67:O71"/>
    <mergeCell ref="P67:P71"/>
    <mergeCell ref="R66:S66"/>
    <mergeCell ref="Q67:Q71"/>
    <mergeCell ref="R67:S71"/>
    <mergeCell ref="R10:S11"/>
    <mergeCell ref="P77:P78"/>
    <mergeCell ref="N59:N62"/>
    <mergeCell ref="O59:O62"/>
    <mergeCell ref="P59:P62"/>
    <mergeCell ref="Q61:Q62"/>
    <mergeCell ref="R59:S62"/>
    <mergeCell ref="R63:S63"/>
    <mergeCell ref="R64:S65"/>
    <mergeCell ref="R12:S12"/>
    <mergeCell ref="R40:S41"/>
    <mergeCell ref="R58:S58"/>
    <mergeCell ref="O43:O45"/>
    <mergeCell ref="N37:N38"/>
    <mergeCell ref="N51:N52"/>
    <mergeCell ref="O51:O52"/>
    <mergeCell ref="P51:P52"/>
    <mergeCell ref="Q51:Q52"/>
    <mergeCell ref="R13:S21"/>
    <mergeCell ref="Q13:Q21"/>
    <mergeCell ref="N64:N65"/>
    <mergeCell ref="O64:O65"/>
    <mergeCell ref="P64:P65"/>
    <mergeCell ref="Q64:Q65"/>
    <mergeCell ref="R27:S31"/>
    <mergeCell ref="R26:S26"/>
    <mergeCell ref="R43:S45"/>
    <mergeCell ref="N27:N31"/>
    <mergeCell ref="O27:O31"/>
    <mergeCell ref="G33:G34"/>
    <mergeCell ref="P54:P57"/>
    <mergeCell ref="P27:P31"/>
    <mergeCell ref="G30:G31"/>
    <mergeCell ref="R39:S39"/>
    <mergeCell ref="P40:P41"/>
    <mergeCell ref="Q40:Q41"/>
    <mergeCell ref="R36:S36"/>
    <mergeCell ref="R42:S42"/>
    <mergeCell ref="G47:G48"/>
    <mergeCell ref="R51:S52"/>
    <mergeCell ref="N43:N45"/>
    <mergeCell ref="N40:N41"/>
    <mergeCell ref="O40:O41"/>
    <mergeCell ref="R50:S50"/>
    <mergeCell ref="Q54:Q57"/>
    <mergeCell ref="P37:P38"/>
    <mergeCell ref="G43:G45"/>
    <mergeCell ref="R54:S57"/>
    <mergeCell ref="B539:B546"/>
    <mergeCell ref="C539:D546"/>
    <mergeCell ref="C527:C537"/>
    <mergeCell ref="D534:D537"/>
    <mergeCell ref="B429:B537"/>
    <mergeCell ref="C493:D502"/>
    <mergeCell ref="C504:D509"/>
    <mergeCell ref="C429:D436"/>
    <mergeCell ref="C518:D525"/>
    <mergeCell ref="C484:D491"/>
    <mergeCell ref="C461:D471"/>
    <mergeCell ref="C438:D447"/>
    <mergeCell ref="C473:D482"/>
    <mergeCell ref="C449:D459"/>
    <mergeCell ref="C511:D516"/>
    <mergeCell ref="D527:D532"/>
    <mergeCell ref="B272:B390"/>
    <mergeCell ref="C412:D415"/>
    <mergeCell ref="C356:D357"/>
    <mergeCell ref="C409:D410"/>
    <mergeCell ref="D380:D382"/>
    <mergeCell ref="C392:D399"/>
    <mergeCell ref="B392:B427"/>
    <mergeCell ref="C423:D424"/>
    <mergeCell ref="C426:D427"/>
    <mergeCell ref="C417:D418"/>
    <mergeCell ref="C420:D421"/>
    <mergeCell ref="D406:D407"/>
    <mergeCell ref="D401:D404"/>
    <mergeCell ref="C401:C407"/>
    <mergeCell ref="D387:D390"/>
    <mergeCell ref="D371:D376"/>
    <mergeCell ref="C359:C390"/>
    <mergeCell ref="D384:D385"/>
    <mergeCell ref="D378:D379"/>
    <mergeCell ref="C272:C316"/>
    <mergeCell ref="C318:D338"/>
    <mergeCell ref="D272:D294"/>
    <mergeCell ref="C340:D343"/>
    <mergeCell ref="C345:D354"/>
    <mergeCell ref="D296:D316"/>
    <mergeCell ref="C235:D238"/>
    <mergeCell ref="C181:D189"/>
    <mergeCell ref="E102:F103"/>
    <mergeCell ref="E105:F106"/>
    <mergeCell ref="E104:F104"/>
    <mergeCell ref="E107:F107"/>
    <mergeCell ref="C169:D179"/>
    <mergeCell ref="C149:D152"/>
    <mergeCell ref="C204:D212"/>
    <mergeCell ref="E154:F157"/>
    <mergeCell ref="E121:F121"/>
    <mergeCell ref="C227:D230"/>
    <mergeCell ref="C159:D162"/>
    <mergeCell ref="C245:D248"/>
    <mergeCell ref="E295:F295"/>
    <mergeCell ref="E272:F287"/>
    <mergeCell ref="C140:D141"/>
    <mergeCell ref="C137:D138"/>
    <mergeCell ref="C146:D147"/>
    <mergeCell ref="C119:D120"/>
    <mergeCell ref="C122:D123"/>
    <mergeCell ref="E136:F136"/>
    <mergeCell ref="E137:F138"/>
    <mergeCell ref="E37:F38"/>
    <mergeCell ref="E51:F52"/>
    <mergeCell ref="C51:D52"/>
    <mergeCell ref="E40:F41"/>
    <mergeCell ref="E63:F63"/>
    <mergeCell ref="E43:F45"/>
    <mergeCell ref="C67:D75"/>
    <mergeCell ref="E50:F50"/>
    <mergeCell ref="E58:F58"/>
    <mergeCell ref="C43:D49"/>
    <mergeCell ref="E344:F344"/>
    <mergeCell ref="E365:F365"/>
    <mergeCell ref="E345:F351"/>
    <mergeCell ref="E356:F357"/>
    <mergeCell ref="E355:F355"/>
    <mergeCell ref="D359:D364"/>
    <mergeCell ref="G348:G349"/>
    <mergeCell ref="G350:G351"/>
    <mergeCell ref="G359:G360"/>
    <mergeCell ref="G361:G362"/>
    <mergeCell ref="G363:G364"/>
    <mergeCell ref="E358:F358"/>
    <mergeCell ref="E359:F364"/>
    <mergeCell ref="D365:D369"/>
    <mergeCell ref="G345:G347"/>
    <mergeCell ref="G356:G357"/>
    <mergeCell ref="E366:F369"/>
    <mergeCell ref="G368:G369"/>
    <mergeCell ref="G366:G367"/>
    <mergeCell ref="G40:G41"/>
    <mergeCell ref="C54:D57"/>
    <mergeCell ref="E108:F109"/>
    <mergeCell ref="E168:F168"/>
    <mergeCell ref="E213:F213"/>
    <mergeCell ref="E193:F193"/>
    <mergeCell ref="E191:F192"/>
    <mergeCell ref="E194:F198"/>
    <mergeCell ref="E190:F190"/>
    <mergeCell ref="C143:D144"/>
    <mergeCell ref="E163:F163"/>
    <mergeCell ref="E164:F167"/>
    <mergeCell ref="C125:D132"/>
    <mergeCell ref="E110:F110"/>
    <mergeCell ref="E124:F124"/>
    <mergeCell ref="E115:F115"/>
    <mergeCell ref="C164:D167"/>
    <mergeCell ref="C134:D135"/>
    <mergeCell ref="E91:F91"/>
    <mergeCell ref="C64:D65"/>
    <mergeCell ref="E66:F66"/>
    <mergeCell ref="C59:D62"/>
    <mergeCell ref="E76:F76"/>
    <mergeCell ref="E101:F101"/>
    <mergeCell ref="G59:G60"/>
    <mergeCell ref="C194:D202"/>
    <mergeCell ref="C191:D192"/>
    <mergeCell ref="G61:G62"/>
    <mergeCell ref="G70:G71"/>
    <mergeCell ref="G64:G65"/>
    <mergeCell ref="G184:G185"/>
    <mergeCell ref="E226:F226"/>
    <mergeCell ref="E118:F118"/>
    <mergeCell ref="G119:G120"/>
    <mergeCell ref="G92:G94"/>
    <mergeCell ref="G95:G96"/>
    <mergeCell ref="G169:G170"/>
    <mergeCell ref="G149:G150"/>
    <mergeCell ref="G125:G126"/>
    <mergeCell ref="G134:G135"/>
    <mergeCell ref="G171:G173"/>
    <mergeCell ref="G108:G109"/>
    <mergeCell ref="E139:F139"/>
    <mergeCell ref="E145:F145"/>
    <mergeCell ref="E153:F153"/>
    <mergeCell ref="E148:F148"/>
    <mergeCell ref="E149:F152"/>
    <mergeCell ref="C214:D225"/>
    <mergeCell ref="G37:G38"/>
    <mergeCell ref="G67:G69"/>
    <mergeCell ref="C111:D114"/>
    <mergeCell ref="E111:F114"/>
    <mergeCell ref="C105:D106"/>
    <mergeCell ref="G102:G103"/>
    <mergeCell ref="G113:G114"/>
    <mergeCell ref="C108:D109"/>
    <mergeCell ref="C116:D117"/>
    <mergeCell ref="E116:F117"/>
    <mergeCell ref="C102:D103"/>
    <mergeCell ref="G80:G82"/>
    <mergeCell ref="G83:G84"/>
    <mergeCell ref="D80:D90"/>
    <mergeCell ref="D92:D100"/>
    <mergeCell ref="E80:F86"/>
    <mergeCell ref="C36:D38"/>
    <mergeCell ref="C77:D78"/>
    <mergeCell ref="E77:F78"/>
    <mergeCell ref="G105:G106"/>
    <mergeCell ref="G111:G112"/>
    <mergeCell ref="E92:F96"/>
    <mergeCell ref="G116:G117"/>
    <mergeCell ref="E64:F65"/>
    <mergeCell ref="E339:F339"/>
    <mergeCell ref="E340:F343"/>
    <mergeCell ref="N13:N21"/>
    <mergeCell ref="O13:O21"/>
    <mergeCell ref="B10:D11"/>
    <mergeCell ref="C13:D25"/>
    <mergeCell ref="C27:D35"/>
    <mergeCell ref="C39:D41"/>
    <mergeCell ref="B12:B100"/>
    <mergeCell ref="E59:F62"/>
    <mergeCell ref="G98:G99"/>
    <mergeCell ref="E67:F71"/>
    <mergeCell ref="E54:F57"/>
    <mergeCell ref="E79:F79"/>
    <mergeCell ref="G85:G86"/>
    <mergeCell ref="G88:G89"/>
    <mergeCell ref="E53:F53"/>
    <mergeCell ref="E27:F31"/>
    <mergeCell ref="E39:F39"/>
    <mergeCell ref="E42:F42"/>
    <mergeCell ref="G56:G57"/>
    <mergeCell ref="G54:G55"/>
    <mergeCell ref="G73:G74"/>
    <mergeCell ref="B102:B248"/>
    <mergeCell ref="P10:Q11"/>
    <mergeCell ref="O10:O11"/>
    <mergeCell ref="L10:N11"/>
    <mergeCell ref="K10:K11"/>
    <mergeCell ref="E36:F36"/>
    <mergeCell ref="E12:F12"/>
    <mergeCell ref="E26:F26"/>
    <mergeCell ref="E10:F11"/>
    <mergeCell ref="G20:G21"/>
    <mergeCell ref="G23:G24"/>
    <mergeCell ref="G27:G29"/>
    <mergeCell ref="G13:G14"/>
    <mergeCell ref="G17:G19"/>
    <mergeCell ref="E13:F21"/>
    <mergeCell ref="G10:J11"/>
    <mergeCell ref="G15:G16"/>
    <mergeCell ref="P13:P21"/>
    <mergeCell ref="Q27:Q31"/>
    <mergeCell ref="Q518:Q525"/>
    <mergeCell ref="R518:S525"/>
    <mergeCell ref="R510:S510"/>
    <mergeCell ref="Q484:Q491"/>
    <mergeCell ref="R493:S502"/>
    <mergeCell ref="R511:S516"/>
    <mergeCell ref="G513:G514"/>
    <mergeCell ref="P518:P525"/>
    <mergeCell ref="G520:G521"/>
    <mergeCell ref="G522:G523"/>
    <mergeCell ref="O518:O525"/>
    <mergeCell ref="G518:G519"/>
    <mergeCell ref="O484:O491"/>
    <mergeCell ref="R492:S492"/>
    <mergeCell ref="R517:S517"/>
    <mergeCell ref="G506:G507"/>
    <mergeCell ref="G504:G505"/>
    <mergeCell ref="G501:G502"/>
    <mergeCell ref="Q493:Q502"/>
    <mergeCell ref="R504:S509"/>
    <mergeCell ref="O504:O509"/>
    <mergeCell ref="G495:G496"/>
    <mergeCell ref="N504:N509"/>
    <mergeCell ref="P493:P502"/>
    <mergeCell ref="E534:F537"/>
    <mergeCell ref="Q547:S547"/>
    <mergeCell ref="P539:P546"/>
    <mergeCell ref="Q539:Q546"/>
    <mergeCell ref="R539:S546"/>
    <mergeCell ref="G541:G542"/>
    <mergeCell ref="G543:G544"/>
    <mergeCell ref="G545:G546"/>
    <mergeCell ref="G534:G535"/>
    <mergeCell ref="P534:P537"/>
    <mergeCell ref="Q534:Q537"/>
    <mergeCell ref="R534:S537"/>
    <mergeCell ref="G536:G537"/>
    <mergeCell ref="N534:N537"/>
    <mergeCell ref="E539:F546"/>
    <mergeCell ref="G539:G540"/>
    <mergeCell ref="N539:N546"/>
    <mergeCell ref="O539:O546"/>
    <mergeCell ref="R538:S538"/>
    <mergeCell ref="E538:F538"/>
    <mergeCell ref="O534:O537"/>
    <mergeCell ref="R459:S459"/>
    <mergeCell ref="R471:S471"/>
    <mergeCell ref="R472:S472"/>
    <mergeCell ref="O473:O482"/>
    <mergeCell ref="R473:S482"/>
    <mergeCell ref="O438:O447"/>
    <mergeCell ref="E503:F503"/>
    <mergeCell ref="E483:F483"/>
    <mergeCell ref="R483:S483"/>
    <mergeCell ref="E493:F502"/>
    <mergeCell ref="R449:S458"/>
    <mergeCell ref="R448:S448"/>
    <mergeCell ref="N438:N447"/>
    <mergeCell ref="E449:F458"/>
    <mergeCell ref="G442:G443"/>
    <mergeCell ref="E460:F460"/>
    <mergeCell ref="G438:G439"/>
    <mergeCell ref="G488:G489"/>
    <mergeCell ref="G490:G491"/>
    <mergeCell ref="N484:N491"/>
    <mergeCell ref="G440:G441"/>
    <mergeCell ref="E472:F472"/>
    <mergeCell ref="G484:G485"/>
    <mergeCell ref="G499:G500"/>
    <mergeCell ref="G414:G415"/>
    <mergeCell ref="E426:F427"/>
    <mergeCell ref="G426:G427"/>
    <mergeCell ref="E429:F436"/>
    <mergeCell ref="E422:F422"/>
    <mergeCell ref="G412:G413"/>
    <mergeCell ref="G433:G434"/>
    <mergeCell ref="E425:F425"/>
    <mergeCell ref="E417:F418"/>
    <mergeCell ref="G417:G418"/>
    <mergeCell ref="E416:F416"/>
    <mergeCell ref="G429:G430"/>
    <mergeCell ref="G431:G432"/>
    <mergeCell ref="E412:F415"/>
    <mergeCell ref="E419:F419"/>
    <mergeCell ref="E420:F421"/>
    <mergeCell ref="G420:G421"/>
    <mergeCell ref="E408:F408"/>
    <mergeCell ref="E411:F411"/>
    <mergeCell ref="O366:O369"/>
    <mergeCell ref="O392:O399"/>
    <mergeCell ref="O384:O385"/>
    <mergeCell ref="N384:N385"/>
    <mergeCell ref="E370:F370"/>
    <mergeCell ref="E387:F390"/>
    <mergeCell ref="E401:F404"/>
    <mergeCell ref="E377:F377"/>
    <mergeCell ref="E392:F399"/>
    <mergeCell ref="G401:G402"/>
    <mergeCell ref="E391:F391"/>
    <mergeCell ref="E383:F383"/>
    <mergeCell ref="E380:F380"/>
    <mergeCell ref="E386:F386"/>
    <mergeCell ref="O409:O410"/>
    <mergeCell ref="N409:N410"/>
    <mergeCell ref="G373:G374"/>
    <mergeCell ref="E405:F405"/>
    <mergeCell ref="N373:N374"/>
    <mergeCell ref="N375:N376"/>
    <mergeCell ref="G375:G376"/>
    <mergeCell ref="G409:G410"/>
    <mergeCell ref="Q426:Q427"/>
    <mergeCell ref="R426:S427"/>
    <mergeCell ref="N272:N287"/>
    <mergeCell ref="N250:N259"/>
    <mergeCell ref="O340:O343"/>
    <mergeCell ref="N340:N343"/>
    <mergeCell ref="O356:O357"/>
    <mergeCell ref="N359:N364"/>
    <mergeCell ref="Q412:Q415"/>
    <mergeCell ref="Q423:Q424"/>
    <mergeCell ref="R419:S419"/>
    <mergeCell ref="R416:S416"/>
    <mergeCell ref="R405:S405"/>
    <mergeCell ref="R401:S404"/>
    <mergeCell ref="Q401:Q404"/>
    <mergeCell ref="R411:S411"/>
    <mergeCell ref="R409:S410"/>
    <mergeCell ref="R420:S421"/>
    <mergeCell ref="P412:P415"/>
    <mergeCell ref="R422:S422"/>
    <mergeCell ref="O417:O418"/>
    <mergeCell ref="P417:P418"/>
    <mergeCell ref="P420:P421"/>
    <mergeCell ref="Q420:Q421"/>
    <mergeCell ref="O511:O516"/>
    <mergeCell ref="G515:G516"/>
    <mergeCell ref="R193:S193"/>
    <mergeCell ref="R484:S491"/>
    <mergeCell ref="G486:G487"/>
    <mergeCell ref="P484:P491"/>
    <mergeCell ref="O375:O376"/>
    <mergeCell ref="P371:P372"/>
    <mergeCell ref="P375:P376"/>
    <mergeCell ref="O371:O372"/>
    <mergeCell ref="R417:S418"/>
    <mergeCell ref="P401:P404"/>
    <mergeCell ref="P384:P385"/>
    <mergeCell ref="R460:S460"/>
    <mergeCell ref="P387:P390"/>
    <mergeCell ref="P373:P374"/>
    <mergeCell ref="O429:O436"/>
    <mergeCell ref="N417:N418"/>
    <mergeCell ref="N429:N436"/>
    <mergeCell ref="O420:O421"/>
    <mergeCell ref="N420:N421"/>
    <mergeCell ref="P429:P436"/>
    <mergeCell ref="R437:S437"/>
    <mergeCell ref="O426:O427"/>
    <mergeCell ref="O493:O502"/>
    <mergeCell ref="R503:S503"/>
    <mergeCell ref="N493:N502"/>
    <mergeCell ref="O527:O532"/>
    <mergeCell ref="P527:P532"/>
    <mergeCell ref="Q527:Q532"/>
    <mergeCell ref="R527:S532"/>
    <mergeCell ref="G137:G138"/>
    <mergeCell ref="E133:F133"/>
    <mergeCell ref="E134:F135"/>
    <mergeCell ref="E140:F141"/>
    <mergeCell ref="E142:F142"/>
    <mergeCell ref="E146:F147"/>
    <mergeCell ref="P140:P141"/>
    <mergeCell ref="Q140:Q141"/>
    <mergeCell ref="N140:N141"/>
    <mergeCell ref="Q143:Q144"/>
    <mergeCell ref="N149:N152"/>
    <mergeCell ref="R164:S167"/>
    <mergeCell ref="N159:N162"/>
    <mergeCell ref="G161:G162"/>
    <mergeCell ref="P194:P198"/>
    <mergeCell ref="G164:G165"/>
    <mergeCell ref="G166:G167"/>
    <mergeCell ref="O191:O192"/>
    <mergeCell ref="P181:P185"/>
    <mergeCell ref="P204:P207"/>
    <mergeCell ref="Q511:Q516"/>
    <mergeCell ref="Q429:Q436"/>
    <mergeCell ref="R429:S436"/>
    <mergeCell ref="N426:N427"/>
    <mergeCell ref="P504:P509"/>
    <mergeCell ref="Q504:Q509"/>
    <mergeCell ref="P511:P516"/>
    <mergeCell ref="N461:N470"/>
    <mergeCell ref="R425:S425"/>
    <mergeCell ref="O449:O458"/>
    <mergeCell ref="P449:P458"/>
    <mergeCell ref="Q449:Q458"/>
    <mergeCell ref="P438:P447"/>
    <mergeCell ref="Q438:Q447"/>
    <mergeCell ref="R438:S447"/>
    <mergeCell ref="R428:S428"/>
    <mergeCell ref="Q473:Q482"/>
    <mergeCell ref="O461:O470"/>
    <mergeCell ref="P461:P470"/>
    <mergeCell ref="Q461:Q470"/>
    <mergeCell ref="R461:S470"/>
    <mergeCell ref="O194:O198"/>
    <mergeCell ref="O204:O207"/>
    <mergeCell ref="N194:N198"/>
    <mergeCell ref="N204:N207"/>
    <mergeCell ref="O227:O230"/>
    <mergeCell ref="P227:P230"/>
    <mergeCell ref="N232:N233"/>
    <mergeCell ref="Q204:Q207"/>
    <mergeCell ref="Q194:Q198"/>
    <mergeCell ref="O232:O233"/>
    <mergeCell ref="N227:N230"/>
    <mergeCell ref="P366:P369"/>
    <mergeCell ref="N381:N382"/>
    <mergeCell ref="P392:P399"/>
    <mergeCell ref="O387:O390"/>
    <mergeCell ref="N392:N399"/>
    <mergeCell ref="Q366:Q369"/>
    <mergeCell ref="R400:S400"/>
    <mergeCell ref="Q417:Q418"/>
    <mergeCell ref="R366:S369"/>
    <mergeCell ref="R406:S407"/>
    <mergeCell ref="R412:S415"/>
    <mergeCell ref="N412:N415"/>
    <mergeCell ref="O412:O415"/>
    <mergeCell ref="Q406:Q407"/>
    <mergeCell ref="P409:P410"/>
    <mergeCell ref="Q409:Q410"/>
    <mergeCell ref="O406:O407"/>
    <mergeCell ref="P406:P407"/>
    <mergeCell ref="N406:N407"/>
    <mergeCell ref="R408:S408"/>
    <mergeCell ref="O401:O404"/>
    <mergeCell ref="N401:N404"/>
    <mergeCell ref="P381:P382"/>
    <mergeCell ref="R391:S391"/>
    <mergeCell ref="R102:S103"/>
    <mergeCell ref="R110:S110"/>
    <mergeCell ref="N108:N109"/>
    <mergeCell ref="O108:O109"/>
    <mergeCell ref="P108:P109"/>
    <mergeCell ref="G122:G123"/>
    <mergeCell ref="Q108:Q109"/>
    <mergeCell ref="R101:S101"/>
    <mergeCell ref="R108:S109"/>
    <mergeCell ref="P102:P103"/>
    <mergeCell ref="O102:O103"/>
    <mergeCell ref="R104:S104"/>
    <mergeCell ref="R107:S107"/>
    <mergeCell ref="P111:P114"/>
    <mergeCell ref="P116:P117"/>
    <mergeCell ref="R118:S118"/>
    <mergeCell ref="Q116:Q117"/>
    <mergeCell ref="P119:P120"/>
    <mergeCell ref="Q119:Q120"/>
    <mergeCell ref="R119:S120"/>
    <mergeCell ref="R121:S121"/>
    <mergeCell ref="P122:P123"/>
    <mergeCell ref="R111:S114"/>
    <mergeCell ref="R115:S115"/>
    <mergeCell ref="N102:N103"/>
    <mergeCell ref="O111:O114"/>
    <mergeCell ref="Q111:Q114"/>
    <mergeCell ref="Q102:Q103"/>
    <mergeCell ref="P92:P96"/>
    <mergeCell ref="O92:O96"/>
    <mergeCell ref="O122:O123"/>
    <mergeCell ref="N116:N117"/>
    <mergeCell ref="O119:O120"/>
    <mergeCell ref="N119:N120"/>
    <mergeCell ref="O116:O117"/>
    <mergeCell ref="N105:N106"/>
    <mergeCell ref="N122:N123"/>
    <mergeCell ref="N111:N114"/>
    <mergeCell ref="O105:O106"/>
    <mergeCell ref="P105:P106"/>
    <mergeCell ref="Q105:Q106"/>
    <mergeCell ref="Q122:Q123"/>
    <mergeCell ref="O164:O167"/>
    <mergeCell ref="Q181:Q185"/>
    <mergeCell ref="P169:P175"/>
    <mergeCell ref="R158:S158"/>
    <mergeCell ref="R163:S163"/>
    <mergeCell ref="P159:P162"/>
    <mergeCell ref="R116:S117"/>
    <mergeCell ref="Q125:Q132"/>
    <mergeCell ref="R125:S132"/>
    <mergeCell ref="Q159:Q162"/>
    <mergeCell ref="P146:P147"/>
    <mergeCell ref="O143:O144"/>
    <mergeCell ref="O169:O175"/>
    <mergeCell ref="O146:O147"/>
    <mergeCell ref="O149:O152"/>
    <mergeCell ref="R159:S162"/>
    <mergeCell ref="R124:S124"/>
    <mergeCell ref="P137:P138"/>
    <mergeCell ref="Q137:Q138"/>
    <mergeCell ref="R137:S138"/>
    <mergeCell ref="R139:S139"/>
    <mergeCell ref="P149:P152"/>
    <mergeCell ref="Q149:Q152"/>
    <mergeCell ref="Q134:Q135"/>
    <mergeCell ref="R105:S106"/>
    <mergeCell ref="R140:S141"/>
    <mergeCell ref="R142:S142"/>
    <mergeCell ref="R134:S135"/>
    <mergeCell ref="R136:S136"/>
    <mergeCell ref="P125:P132"/>
    <mergeCell ref="R133:S133"/>
    <mergeCell ref="O134:O135"/>
    <mergeCell ref="O140:O141"/>
    <mergeCell ref="O125:O132"/>
    <mergeCell ref="O137:O138"/>
    <mergeCell ref="P134:P135"/>
    <mergeCell ref="N137:N138"/>
    <mergeCell ref="G127:G128"/>
    <mergeCell ref="G143:G144"/>
    <mergeCell ref="G140:G141"/>
    <mergeCell ref="G146:G147"/>
    <mergeCell ref="E227:F230"/>
    <mergeCell ref="N143:N144"/>
    <mergeCell ref="N134:N135"/>
    <mergeCell ref="G129:G130"/>
    <mergeCell ref="N164:N167"/>
    <mergeCell ref="N125:N132"/>
    <mergeCell ref="N169:N175"/>
    <mergeCell ref="N181:N185"/>
    <mergeCell ref="G174:G175"/>
    <mergeCell ref="G177:G178"/>
    <mergeCell ref="G204:G205"/>
    <mergeCell ref="G181:G183"/>
    <mergeCell ref="G194:G196"/>
    <mergeCell ref="N191:N192"/>
    <mergeCell ref="N146:N147"/>
    <mergeCell ref="G131:G132"/>
    <mergeCell ref="G245:G246"/>
    <mergeCell ref="G232:G233"/>
    <mergeCell ref="E240:F243"/>
    <mergeCell ref="E249:F249"/>
    <mergeCell ref="E234:F234"/>
    <mergeCell ref="G151:G152"/>
    <mergeCell ref="E119:F120"/>
    <mergeCell ref="E122:F123"/>
    <mergeCell ref="E125:F132"/>
    <mergeCell ref="E143:F144"/>
    <mergeCell ref="E158:F158"/>
    <mergeCell ref="E159:F162"/>
    <mergeCell ref="G197:G198"/>
    <mergeCell ref="G235:G236"/>
    <mergeCell ref="E232:F233"/>
    <mergeCell ref="C154:D157"/>
    <mergeCell ref="C232:D233"/>
    <mergeCell ref="E214:F219"/>
    <mergeCell ref="E235:F238"/>
    <mergeCell ref="G200:G201"/>
    <mergeCell ref="E169:F175"/>
    <mergeCell ref="G187:G188"/>
    <mergeCell ref="E181:F185"/>
    <mergeCell ref="G191:G192"/>
    <mergeCell ref="E180:F180"/>
    <mergeCell ref="G154:G155"/>
    <mergeCell ref="G156:G157"/>
    <mergeCell ref="E203:F203"/>
    <mergeCell ref="C240:D243"/>
    <mergeCell ref="G237:G238"/>
    <mergeCell ref="G242:G243"/>
    <mergeCell ref="E244:F244"/>
    <mergeCell ref="E231:F231"/>
    <mergeCell ref="E204:F207"/>
    <mergeCell ref="G206:G207"/>
    <mergeCell ref="E239:F239"/>
    <mergeCell ref="G240:G241"/>
    <mergeCell ref="G216:G217"/>
    <mergeCell ref="G229:G230"/>
    <mergeCell ref="G227:G228"/>
    <mergeCell ref="G214:G215"/>
    <mergeCell ref="G218:G219"/>
    <mergeCell ref="C261:D270"/>
    <mergeCell ref="E261:F270"/>
    <mergeCell ref="G261:G262"/>
    <mergeCell ref="G263:G264"/>
    <mergeCell ref="G265:G266"/>
    <mergeCell ref="G267:G268"/>
    <mergeCell ref="G269:G270"/>
    <mergeCell ref="G254:G255"/>
    <mergeCell ref="G258:G259"/>
    <mergeCell ref="G256:G257"/>
    <mergeCell ref="C250:D259"/>
    <mergeCell ref="E250:F259"/>
    <mergeCell ref="E260:F260"/>
    <mergeCell ref="G250:G251"/>
    <mergeCell ref="G252:G253"/>
    <mergeCell ref="Q250:Q259"/>
    <mergeCell ref="R235:S238"/>
    <mergeCell ref="R240:S243"/>
    <mergeCell ref="R271:S271"/>
    <mergeCell ref="R239:S239"/>
    <mergeCell ref="Q245:Q248"/>
    <mergeCell ref="Q240:Q243"/>
    <mergeCell ref="P245:P248"/>
    <mergeCell ref="P250:P259"/>
    <mergeCell ref="R244:S244"/>
    <mergeCell ref="R261:S270"/>
    <mergeCell ref="R250:S259"/>
    <mergeCell ref="P240:P243"/>
    <mergeCell ref="P261:P270"/>
    <mergeCell ref="E318:F331"/>
    <mergeCell ref="G328:G329"/>
    <mergeCell ref="G289:G291"/>
    <mergeCell ref="G323:G325"/>
    <mergeCell ref="G326:G327"/>
    <mergeCell ref="G318:G319"/>
    <mergeCell ref="G320:G322"/>
    <mergeCell ref="E317:F317"/>
    <mergeCell ref="G247:G248"/>
    <mergeCell ref="G296:G298"/>
    <mergeCell ref="G299:G300"/>
    <mergeCell ref="G274:G276"/>
    <mergeCell ref="G282:G283"/>
    <mergeCell ref="E296:F304"/>
    <mergeCell ref="G303:G304"/>
    <mergeCell ref="G301:G302"/>
    <mergeCell ref="G286:G287"/>
    <mergeCell ref="E271:F271"/>
    <mergeCell ref="E245:F248"/>
    <mergeCell ref="G284:G285"/>
    <mergeCell ref="G309:G315"/>
    <mergeCell ref="G277:G279"/>
    <mergeCell ref="G280:G281"/>
    <mergeCell ref="G272:G273"/>
    <mergeCell ref="B3:E3"/>
    <mergeCell ref="B4:E4"/>
    <mergeCell ref="B8:G8"/>
    <mergeCell ref="C80:C100"/>
    <mergeCell ref="G159:G160"/>
    <mergeCell ref="O272:O287"/>
    <mergeCell ref="R154:S157"/>
    <mergeCell ref="N154:N157"/>
    <mergeCell ref="O154:O157"/>
    <mergeCell ref="R272:S287"/>
    <mergeCell ref="Q214:Q219"/>
    <mergeCell ref="P191:P192"/>
    <mergeCell ref="Q191:Q192"/>
    <mergeCell ref="R190:S190"/>
    <mergeCell ref="O159:O162"/>
    <mergeCell ref="O181:O185"/>
    <mergeCell ref="R231:S231"/>
    <mergeCell ref="R168:S168"/>
    <mergeCell ref="Q169:Q175"/>
    <mergeCell ref="R180:S180"/>
    <mergeCell ref="R260:S260"/>
    <mergeCell ref="R203:S203"/>
    <mergeCell ref="O214:O219"/>
    <mergeCell ref="O245:O248"/>
  </mergeCells>
  <phoneticPr fontId="8"/>
  <conditionalFormatting sqref="F3">
    <cfRule type="expression" dxfId="68" priority="1">
      <formula>SUM($R$13,$U$30)</formula>
    </cfRule>
  </conditionalFormatting>
  <conditionalFormatting sqref="F4">
    <cfRule type="expression" dxfId="67" priority="44">
      <formula>SUM($R$37,$R$40)&gt;0</formula>
    </cfRule>
  </conditionalFormatting>
  <conditionalFormatting sqref="F5">
    <cfRule type="expression" dxfId="66" priority="43">
      <formula>SUM($R$43)</formula>
    </cfRule>
  </conditionalFormatting>
  <conditionalFormatting sqref="G3">
    <cfRule type="expression" dxfId="65" priority="42">
      <formula>SUM($R$51)&gt;0</formula>
    </cfRule>
  </conditionalFormatting>
  <conditionalFormatting sqref="G4">
    <cfRule type="expression" dxfId="64" priority="41">
      <formula>SUM($R$54)&gt;0</formula>
    </cfRule>
  </conditionalFormatting>
  <conditionalFormatting sqref="G5">
    <cfRule type="expression" dxfId="63" priority="40">
      <formula>SUM($R$59,$R$64)&gt;0</formula>
    </cfRule>
  </conditionalFormatting>
  <conditionalFormatting sqref="H3">
    <cfRule type="expression" dxfId="62" priority="39">
      <formula>SUM($R$67)&gt;0</formula>
    </cfRule>
  </conditionalFormatting>
  <conditionalFormatting sqref="H4">
    <cfRule type="expression" dxfId="61" priority="38">
      <formula>SUM($R$77)&gt;0</formula>
    </cfRule>
  </conditionalFormatting>
  <conditionalFormatting sqref="H5">
    <cfRule type="expression" dxfId="60" priority="37">
      <formula>SUM($R$80,$R$92)&gt;0</formula>
    </cfRule>
  </conditionalFormatting>
  <conditionalFormatting sqref="H19">
    <cfRule type="cellIs" dxfId="59" priority="88" operator="greaterThan">
      <formula>$I19</formula>
    </cfRule>
  </conditionalFormatting>
  <conditionalFormatting sqref="H21">
    <cfRule type="cellIs" dxfId="58" priority="87" operator="notBetween">
      <formula>$I21</formula>
      <formula>$K21</formula>
    </cfRule>
  </conditionalFormatting>
  <conditionalFormatting sqref="H29">
    <cfRule type="cellIs" dxfId="57" priority="86" operator="greaterThan">
      <formula>$I29</formula>
    </cfRule>
  </conditionalFormatting>
  <conditionalFormatting sqref="H45">
    <cfRule type="cellIs" dxfId="56" priority="81" operator="greaterThan">
      <formula>$I45</formula>
    </cfRule>
  </conditionalFormatting>
  <conditionalFormatting sqref="H60">
    <cfRule type="cellIs" dxfId="55" priority="78" operator="greaterThan">
      <formula>$I60</formula>
    </cfRule>
  </conditionalFormatting>
  <conditionalFormatting sqref="H65">
    <cfRule type="cellIs" dxfId="54" priority="97" stopIfTrue="1" operator="notBetween">
      <formula>$J65</formula>
      <formula>#REF!</formula>
    </cfRule>
  </conditionalFormatting>
  <conditionalFormatting sqref="H69">
    <cfRule type="cellIs" dxfId="53" priority="77" operator="greaterThan">
      <formula>$I69</formula>
    </cfRule>
  </conditionalFormatting>
  <conditionalFormatting sqref="H82">
    <cfRule type="cellIs" dxfId="52" priority="75" operator="greaterThan">
      <formula>$I82</formula>
    </cfRule>
  </conditionalFormatting>
  <conditionalFormatting sqref="H94">
    <cfRule type="cellIs" dxfId="51" priority="56" operator="greaterThan">
      <formula>$I$94</formula>
    </cfRule>
  </conditionalFormatting>
  <conditionalFormatting sqref="H112">
    <cfRule type="cellIs" dxfId="50" priority="55" operator="greaterThan">
      <formula>$I$112</formula>
    </cfRule>
  </conditionalFormatting>
  <conditionalFormatting sqref="H114">
    <cfRule type="cellIs" dxfId="49" priority="54" operator="greaterThan">
      <formula>$I$114</formula>
    </cfRule>
  </conditionalFormatting>
  <conditionalFormatting sqref="H123">
    <cfRule type="cellIs" dxfId="48" priority="53" operator="greaterThan">
      <formula>$I$123</formula>
    </cfRule>
  </conditionalFormatting>
  <conditionalFormatting sqref="H215">
    <cfRule type="cellIs" dxfId="47" priority="52" operator="greaterThan">
      <formula>$I$215</formula>
    </cfRule>
  </conditionalFormatting>
  <conditionalFormatting sqref="H228">
    <cfRule type="cellIs" dxfId="46" priority="50" operator="greaterThan">
      <formula>$I$228</formula>
    </cfRule>
  </conditionalFormatting>
  <conditionalFormatting sqref="H248">
    <cfRule type="cellIs" dxfId="45" priority="70" operator="notBetween">
      <formula>$I$248</formula>
      <formula>$L$248</formula>
    </cfRule>
  </conditionalFormatting>
  <conditionalFormatting sqref="H251">
    <cfRule type="cellIs" dxfId="44" priority="47" operator="notBetween">
      <formula>$I$251</formula>
      <formula>$J$251</formula>
    </cfRule>
  </conditionalFormatting>
  <conditionalFormatting sqref="H262">
    <cfRule type="cellIs" dxfId="43" priority="46" operator="notBetween">
      <formula>$I$251</formula>
      <formula>$J$251</formula>
    </cfRule>
  </conditionalFormatting>
  <conditionalFormatting sqref="H276">
    <cfRule type="cellIs" dxfId="42" priority="69" operator="greaterThan">
      <formula>$I$276</formula>
    </cfRule>
  </conditionalFormatting>
  <conditionalFormatting sqref="H279">
    <cfRule type="cellIs" dxfId="41" priority="68" operator="notBetween">
      <formula>$J$279</formula>
      <formula>$I$279</formula>
    </cfRule>
  </conditionalFormatting>
  <conditionalFormatting sqref="H298">
    <cfRule type="cellIs" dxfId="40" priority="67" operator="greaterThan">
      <formula>$I$298</formula>
    </cfRule>
  </conditionalFormatting>
  <conditionalFormatting sqref="H322">
    <cfRule type="cellIs" dxfId="39" priority="66" operator="greaterThan">
      <formula>$K$322</formula>
    </cfRule>
  </conditionalFormatting>
  <conditionalFormatting sqref="H325">
    <cfRule type="cellIs" dxfId="38" priority="65" operator="notBetween">
      <formula>$J$325</formula>
      <formula>$I$325</formula>
    </cfRule>
  </conditionalFormatting>
  <conditionalFormatting sqref="H347">
    <cfRule type="cellIs" dxfId="37" priority="64" operator="notBetween">
      <formula>$J$347</formula>
      <formula>$I$347</formula>
    </cfRule>
  </conditionalFormatting>
  <conditionalFormatting sqref="H404">
    <cfRule type="cellIs" dxfId="36" priority="49" operator="greaterThan">
      <formula>$I$404</formula>
    </cfRule>
  </conditionalFormatting>
  <conditionalFormatting sqref="H413">
    <cfRule type="cellIs" dxfId="35" priority="48" operator="greaterThan">
      <formula>$I$413</formula>
    </cfRule>
  </conditionalFormatting>
  <conditionalFormatting sqref="I3">
    <cfRule type="expression" dxfId="34" priority="36">
      <formula>SUM($R$102,$R$105)</formula>
    </cfRule>
  </conditionalFormatting>
  <conditionalFormatting sqref="I4">
    <cfRule type="expression" dxfId="33" priority="35">
      <formula>SUM($R$116,$R$119)&gt;0</formula>
    </cfRule>
  </conditionalFormatting>
  <conditionalFormatting sqref="I5">
    <cfRule type="expression" dxfId="32" priority="34">
      <formula>SUM($R$108)&gt;0</formula>
    </cfRule>
  </conditionalFormatting>
  <conditionalFormatting sqref="J3">
    <cfRule type="expression" dxfId="31" priority="33">
      <formula>SUM($R$111)&gt;0</formula>
    </cfRule>
  </conditionalFormatting>
  <conditionalFormatting sqref="J4">
    <cfRule type="expression" dxfId="30" priority="32">
      <formula>SUM($R$122)&gt;0</formula>
    </cfRule>
  </conditionalFormatting>
  <conditionalFormatting sqref="J5">
    <cfRule type="expression" dxfId="29" priority="31">
      <formula>SUM($R$134)&gt;0</formula>
    </cfRule>
  </conditionalFormatting>
  <conditionalFormatting sqref="K3">
    <cfRule type="expression" dxfId="28" priority="30">
      <formula>SUM($R$137,$R$140,$R$143)&gt;0</formula>
    </cfRule>
  </conditionalFormatting>
  <conditionalFormatting sqref="K4">
    <cfRule type="expression" dxfId="27" priority="29">
      <formula>SUM($R$146,$R$149)&gt;0</formula>
    </cfRule>
  </conditionalFormatting>
  <conditionalFormatting sqref="K5">
    <cfRule type="expression" dxfId="26" priority="28">
      <formula>SUM($R$154)&gt;0</formula>
    </cfRule>
  </conditionalFormatting>
  <conditionalFormatting sqref="L3">
    <cfRule type="expression" dxfId="25" priority="27">
      <formula>SUM($R$159,$R$164,$R$169,$R$181,$R$194)&gt;0</formula>
    </cfRule>
  </conditionalFormatting>
  <conditionalFormatting sqref="L4">
    <cfRule type="expression" dxfId="24" priority="26">
      <formula>SUM($R$191)&gt;0</formula>
    </cfRule>
  </conditionalFormatting>
  <conditionalFormatting sqref="L5">
    <cfRule type="expression" dxfId="23" priority="24">
      <formula>SUM($R$214,$R$227,$R$232)&gt;0</formula>
    </cfRule>
  </conditionalFormatting>
  <conditionalFormatting sqref="M3">
    <cfRule type="expression" dxfId="22" priority="23">
      <formula>SUM($R$204,$R$235,$R$240)&gt;0</formula>
    </cfRule>
  </conditionalFormatting>
  <conditionalFormatting sqref="M4">
    <cfRule type="expression" dxfId="21" priority="22">
      <formula>SUM($R$245)&gt;0</formula>
    </cfRule>
  </conditionalFormatting>
  <conditionalFormatting sqref="M5">
    <cfRule type="expression" dxfId="20" priority="20">
      <formula>SUM($R$250,$R$261)&gt;0</formula>
    </cfRule>
  </conditionalFormatting>
  <conditionalFormatting sqref="N3">
    <cfRule type="expression" dxfId="19" priority="99">
      <formula>SUM($R$272,$R$318,$R$340,$R$345)&gt;0</formula>
    </cfRule>
  </conditionalFormatting>
  <conditionalFormatting sqref="N4">
    <cfRule type="expression" dxfId="18" priority="100">
      <formula>$R$296&gt;0</formula>
    </cfRule>
  </conditionalFormatting>
  <conditionalFormatting sqref="N5">
    <cfRule type="expression" dxfId="17" priority="18">
      <formula>SUM($R$356)&gt;0</formula>
    </cfRule>
  </conditionalFormatting>
  <conditionalFormatting sqref="O3">
    <cfRule type="expression" dxfId="16" priority="4">
      <formula>SUM($R$359)&gt;0</formula>
    </cfRule>
  </conditionalFormatting>
  <conditionalFormatting sqref="O4">
    <cfRule type="expression" dxfId="15" priority="98">
      <formula>SUM(#REF!,$R$366)&gt;0</formula>
    </cfRule>
  </conditionalFormatting>
  <conditionalFormatting sqref="O5">
    <cfRule type="expression" dxfId="14" priority="15">
      <formula>SUM($R$371,$R$373,$R$375)&gt;0</formula>
    </cfRule>
  </conditionalFormatting>
  <conditionalFormatting sqref="P3">
    <cfRule type="expression" dxfId="13" priority="14">
      <formula>SUM($R$378)&gt;0</formula>
    </cfRule>
  </conditionalFormatting>
  <conditionalFormatting sqref="P4">
    <cfRule type="expression" dxfId="12" priority="13">
      <formula>SUM($R$381,$R$384)&gt;0</formula>
    </cfRule>
  </conditionalFormatting>
  <conditionalFormatting sqref="P5">
    <cfRule type="expression" dxfId="11" priority="12">
      <formula>SUM($R$387)&gt;0</formula>
    </cfRule>
  </conditionalFormatting>
  <conditionalFormatting sqref="Q3">
    <cfRule type="expression" dxfId="10" priority="11">
      <formula>SUM($R$392)&gt;0</formula>
    </cfRule>
  </conditionalFormatting>
  <conditionalFormatting sqref="Q4">
    <cfRule type="expression" dxfId="9" priority="10">
      <formula>SUM($R$409)&gt;0</formula>
    </cfRule>
  </conditionalFormatting>
  <conditionalFormatting sqref="Q5">
    <cfRule type="expression" dxfId="8" priority="9">
      <formula>SUM($R$423:$S$427)&gt;0</formula>
    </cfRule>
  </conditionalFormatting>
  <conditionalFormatting sqref="R3">
    <cfRule type="expression" dxfId="7" priority="8">
      <formula>SUM($R$438,$R$449,$R$461,$R$473,$R$484,$R$493,$R$504)&gt;0</formula>
    </cfRule>
  </conditionalFormatting>
  <conditionalFormatting sqref="R4">
    <cfRule type="expression" dxfId="6" priority="5">
      <formula>SUM($R$511)&gt;0</formula>
    </cfRule>
  </conditionalFormatting>
  <conditionalFormatting sqref="R5">
    <cfRule type="expression" dxfId="5" priority="6">
      <formula>SUM($R$518)&gt;0</formula>
    </cfRule>
  </conditionalFormatting>
  <dataValidations count="132">
    <dataValidation type="list" allowBlank="1" showInputMessage="1" showErrorMessage="1" sqref="H297 H275 H242 H364 H338 H326 H354 H407 H278 H318 H316 H294" xr:uid="{00000000-0002-0000-0B00-000000000000}">
      <formula1>$I242:$M242</formula1>
    </dataValidation>
    <dataValidation type="list" allowBlank="1" showInputMessage="1" showErrorMessage="1" sqref="H545" xr:uid="{00000000-0002-0000-0B00-000001000000}">
      <formula1>$I$545:$J$545</formula1>
    </dataValidation>
    <dataValidation type="list" allowBlank="1" showInputMessage="1" showErrorMessage="1" sqref="H296" xr:uid="{00000000-0002-0000-0B00-000002000000}">
      <formula1>$I$296:$L$296</formula1>
    </dataValidation>
    <dataValidation type="list" allowBlank="1" showInputMessage="1" showErrorMessage="1" sqref="H320" xr:uid="{00000000-0002-0000-0B00-000003000000}">
      <formula1>$I$320:$L$320</formula1>
    </dataValidation>
    <dataValidation type="list" allowBlank="1" showInputMessage="1" showErrorMessage="1" sqref="H323" xr:uid="{00000000-0002-0000-0B00-000004000000}">
      <formula1>$I$323:$K$323</formula1>
    </dataValidation>
    <dataValidation type="list" allowBlank="1" showInputMessage="1" showErrorMessage="1" sqref="H328" xr:uid="{00000000-0002-0000-0B00-000005000000}">
      <formula1>$I$328:$J$328</formula1>
    </dataValidation>
    <dataValidation type="list" allowBlank="1" showInputMessage="1" showErrorMessage="1" sqref="H340" xr:uid="{00000000-0002-0000-0B00-000006000000}">
      <formula1>$I$340:$K$340</formula1>
    </dataValidation>
    <dataValidation type="list" allowBlank="1" showInputMessage="1" showErrorMessage="1" sqref="H345" xr:uid="{00000000-0002-0000-0B00-000007000000}">
      <formula1>$I$345:$K$345</formula1>
    </dataValidation>
    <dataValidation type="list" allowBlank="1" showInputMessage="1" showErrorMessage="1" sqref="H348" xr:uid="{00000000-0002-0000-0B00-000008000000}">
      <formula1>$I$348:$J$348</formula1>
    </dataValidation>
    <dataValidation type="list" allowBlank="1" showInputMessage="1" showErrorMessage="1" sqref="H363" xr:uid="{00000000-0002-0000-0B00-000009000000}">
      <formula1>$I$363:$K$363</formula1>
    </dataValidation>
    <dataValidation type="list" allowBlank="1" showInputMessage="1" showErrorMessage="1" sqref="H378" xr:uid="{00000000-0002-0000-0B00-00000A000000}">
      <formula1>$I$378:$K$378</formula1>
    </dataValidation>
    <dataValidation type="list" allowBlank="1" showInputMessage="1" showErrorMessage="1" sqref="H381" xr:uid="{00000000-0002-0000-0B00-00000B000000}">
      <formula1>$I$381:$K$381</formula1>
    </dataValidation>
    <dataValidation type="list" allowBlank="1" showInputMessage="1" showErrorMessage="1" sqref="H384" xr:uid="{00000000-0002-0000-0B00-00000C000000}">
      <formula1>$I$384:$K$384</formula1>
    </dataValidation>
    <dataValidation type="list" allowBlank="1" showInputMessage="1" showErrorMessage="1" sqref="H389" xr:uid="{00000000-0002-0000-0B00-00000D000000}">
      <formula1>$I$389:$J$389</formula1>
    </dataValidation>
    <dataValidation type="list" allowBlank="1" showInputMessage="1" showErrorMessage="1" sqref="H274" xr:uid="{00000000-0002-0000-0B00-00000E000000}">
      <formula1>$I$274:$L$274</formula1>
    </dataValidation>
    <dataValidation type="list" allowBlank="1" showInputMessage="1" showErrorMessage="1" sqref="H277" xr:uid="{00000000-0002-0000-0B00-00000F000000}">
      <formula1>$I$277:$K$277</formula1>
    </dataValidation>
    <dataValidation type="list" allowBlank="1" showInputMessage="1" showErrorMessage="1" sqref="H284" xr:uid="{00000000-0002-0000-0B00-000010000000}">
      <formula1>$I$284:$J$284</formula1>
    </dataValidation>
    <dataValidation type="list" allowBlank="1" showInputMessage="1" showErrorMessage="1" sqref="H247" xr:uid="{00000000-0002-0000-0B00-000011000000}">
      <formula1>$I$247:$L$247</formula1>
    </dataValidation>
    <dataValidation type="list" allowBlank="1" showInputMessage="1" showErrorMessage="1" sqref="H524" xr:uid="{00000000-0002-0000-0B00-000012000000}">
      <formula1>$I$524:$K$524</formula1>
    </dataValidation>
    <dataValidation type="list" allowBlank="1" showInputMessage="1" showErrorMessage="1" sqref="H515" xr:uid="{00000000-0002-0000-0B00-000013000000}">
      <formula1>$I$515:$K$515</formula1>
    </dataValidation>
    <dataValidation type="list" allowBlank="1" showInputMessage="1" showErrorMessage="1" sqref="H508" xr:uid="{00000000-0002-0000-0B00-000014000000}">
      <formula1>$I$508:$K$508</formula1>
    </dataValidation>
    <dataValidation type="list" allowBlank="1" showInputMessage="1" showErrorMessage="1" sqref="H501" xr:uid="{00000000-0002-0000-0B00-000015000000}">
      <formula1>$I$501:$K$501</formula1>
    </dataValidation>
    <dataValidation type="list" allowBlank="1" showInputMessage="1" showErrorMessage="1" sqref="H490" xr:uid="{00000000-0002-0000-0B00-000016000000}">
      <formula1>$I$490:$K$490</formula1>
    </dataValidation>
    <dataValidation type="list" allowBlank="1" showInputMessage="1" showErrorMessage="1" sqref="H481" xr:uid="{00000000-0002-0000-0B00-000017000000}">
      <formula1>$I$481:$K$481</formula1>
    </dataValidation>
    <dataValidation type="list" allowBlank="1" showInputMessage="1" showErrorMessage="1" sqref="H446" xr:uid="{00000000-0002-0000-0B00-000018000000}">
      <formula1>$I$446:$K$446</formula1>
    </dataValidation>
    <dataValidation type="list" allowBlank="1" showInputMessage="1" showErrorMessage="1" sqref="H409" xr:uid="{00000000-0002-0000-0B00-000019000000}">
      <formula1>$I$409:$K$409</formula1>
    </dataValidation>
    <dataValidation type="list" allowBlank="1" showInputMessage="1" showErrorMessage="1" sqref="H64" xr:uid="{00000000-0002-0000-0B00-00001A000000}">
      <formula1>$J$64:$K$64</formula1>
    </dataValidation>
    <dataValidation type="list" allowBlank="1" showInputMessage="1" showErrorMessage="1" sqref="H61" xr:uid="{00000000-0002-0000-0B00-00001B000000}">
      <formula1>$J$61:$K$61</formula1>
    </dataValidation>
    <dataValidation type="list" allowBlank="1" showInputMessage="1" showErrorMessage="1" sqref="H216" xr:uid="{00000000-0002-0000-0B00-00001C000000}">
      <formula1>$I$216:$J$216</formula1>
    </dataValidation>
    <dataValidation type="list" allowBlank="1" showInputMessage="1" showErrorMessage="1" sqref="H227" xr:uid="{00000000-0002-0000-0B00-00001D000000}">
      <formula1>$I$227:$L$227</formula1>
    </dataValidation>
    <dataValidation type="list" allowBlank="1" showInputMessage="1" showErrorMessage="1" sqref="H235" xr:uid="{00000000-0002-0000-0B00-00001E000000}">
      <formula1>$I$235:$L$235</formula1>
    </dataValidation>
    <dataValidation type="list" allowBlank="1" showInputMessage="1" showErrorMessage="1" sqref="H237" xr:uid="{00000000-0002-0000-0B00-00001F000000}">
      <formula1>$I$237:$K$237</formula1>
    </dataValidation>
    <dataValidation type="list" allowBlank="1" showInputMessage="1" showErrorMessage="1" sqref="H229" xr:uid="{00000000-0002-0000-0B00-000020000000}">
      <formula1>$I$229:$K$229</formula1>
    </dataValidation>
    <dataValidation type="list" allowBlank="1" showInputMessage="1" showErrorMessage="1" sqref="H272" xr:uid="{00000000-0002-0000-0B00-000021000000}">
      <formula1>$I$272:$J$272</formula1>
    </dataValidation>
    <dataValidation type="list" allowBlank="1" showInputMessage="1" showErrorMessage="1" sqref="H280" xr:uid="{00000000-0002-0000-0B00-000022000000}">
      <formula1>$I$280:$J$280</formula1>
    </dataValidation>
    <dataValidation type="list" allowBlank="1" showInputMessage="1" showErrorMessage="1" sqref="H282" xr:uid="{00000000-0002-0000-0B00-000023000000}">
      <formula1>$I$282:$J$282</formula1>
    </dataValidation>
    <dataValidation type="list" allowBlank="1" showInputMessage="1" showErrorMessage="1" sqref="H356" xr:uid="{00000000-0002-0000-0B00-000026000000}">
      <formula1>$I$356:$K$356</formula1>
    </dataValidation>
    <dataValidation type="list" allowBlank="1" showInputMessage="1" showErrorMessage="1" sqref="H359" xr:uid="{00000000-0002-0000-0B00-000027000000}">
      <formula1>$I$359:$J$359</formula1>
    </dataValidation>
    <dataValidation type="list" allowBlank="1" showInputMessage="1" showErrorMessage="1" sqref="H361" xr:uid="{00000000-0002-0000-0B00-000028000000}">
      <formula1>$I$361:$J$361</formula1>
    </dataValidation>
    <dataValidation type="list" allowBlank="1" showInputMessage="1" showErrorMessage="1" sqref="H366" xr:uid="{00000000-0002-0000-0B00-00002B000000}">
      <formula1>$I$366:$K$366</formula1>
    </dataValidation>
    <dataValidation type="list" allowBlank="1" showInputMessage="1" showErrorMessage="1" sqref="H368" xr:uid="{00000000-0002-0000-0B00-00002C000000}">
      <formula1>$I$368:$K$368</formula1>
    </dataValidation>
    <dataValidation type="list" allowBlank="1" showInputMessage="1" showErrorMessage="1" sqref="H392" xr:uid="{00000000-0002-0000-0B00-00002D000000}">
      <formula1>$I$392:$K$392</formula1>
    </dataValidation>
    <dataValidation type="list" allowBlank="1" showInputMessage="1" showErrorMessage="1" sqref="H394" xr:uid="{00000000-0002-0000-0B00-00002E000000}">
      <formula1>$I$394:$K$394</formula1>
    </dataValidation>
    <dataValidation type="list" allowBlank="1" showInputMessage="1" showErrorMessage="1" sqref="H396" xr:uid="{00000000-0002-0000-0B00-00002F000000}">
      <formula1>$I$396:$K$396</formula1>
    </dataValidation>
    <dataValidation type="list" allowBlank="1" showInputMessage="1" showErrorMessage="1" sqref="H401" xr:uid="{00000000-0002-0000-0B00-000030000000}">
      <formula1>$I$401:$J$401</formula1>
    </dataValidation>
    <dataValidation type="list" allowBlank="1" showInputMessage="1" showErrorMessage="1" sqref="H543" xr:uid="{00000000-0002-0000-0B00-000031000000}">
      <formula1>$I$543:$J$543</formula1>
    </dataValidation>
    <dataValidation type="list" allowBlank="1" showInputMessage="1" showErrorMessage="1" sqref="H541" xr:uid="{00000000-0002-0000-0B00-000032000000}">
      <formula1>$I$541:$K$541</formula1>
    </dataValidation>
    <dataValidation type="whole" operator="greaterThanOrEqual" allowBlank="1" showInputMessage="1" showErrorMessage="1" sqref="H520 H475 H463 H451 H440" xr:uid="{00000000-0002-0000-0B00-000033000000}">
      <formula1>2</formula1>
    </dataValidation>
    <dataValidation type="list" allowBlank="1" showInputMessage="1" showErrorMessage="1" sqref="H534" xr:uid="{00000000-0002-0000-0B00-000034000000}">
      <formula1>$I$534:$J$534</formula1>
    </dataValidation>
    <dataValidation type="list" allowBlank="1" showInputMessage="1" showErrorMessage="1" sqref="H527" xr:uid="{00000000-0002-0000-0B00-000035000000}">
      <formula1>$I$527:$J$527</formula1>
    </dataValidation>
    <dataValidation type="whole" operator="greaterThanOrEqual" allowBlank="1" showInputMessage="1" showErrorMessage="1" sqref="H513 H495" xr:uid="{00000000-0002-0000-0B00-000036000000}">
      <formula1>J495</formula1>
    </dataValidation>
    <dataValidation type="list" allowBlank="1" showInputMessage="1" showErrorMessage="1" sqref="H499" xr:uid="{00000000-0002-0000-0B00-000037000000}">
      <formula1>$I$499:$K$499</formula1>
    </dataValidation>
    <dataValidation type="whole" operator="greaterThanOrEqual" allowBlank="1" showInputMessage="1" showErrorMessage="1" sqref="H486" xr:uid="{00000000-0002-0000-0B00-000038000000}">
      <formula1>K486</formula1>
    </dataValidation>
    <dataValidation type="list" allowBlank="1" showInputMessage="1" showErrorMessage="1" sqref="H479" xr:uid="{00000000-0002-0000-0B00-000039000000}">
      <formula1>$I$479:$K$479</formula1>
    </dataValidation>
    <dataValidation type="list" allowBlank="1" showInputMessage="1" showErrorMessage="1" sqref="H469" xr:uid="{00000000-0002-0000-0B00-00003A000000}">
      <formula1>$I$469:$K$469</formula1>
    </dataValidation>
    <dataValidation type="list" allowBlank="1" showInputMessage="1" showErrorMessage="1" sqref="H467" xr:uid="{00000000-0002-0000-0B00-00003B000000}">
      <formula1>$I$467:$K$467</formula1>
    </dataValidation>
    <dataValidation type="list" allowBlank="1" showInputMessage="1" showErrorMessage="1" sqref="H459 H471" xr:uid="{00000000-0002-0000-0B00-00003C000000}">
      <formula1>"加算あり,加算なし"</formula1>
    </dataValidation>
    <dataValidation type="list" allowBlank="1" showInputMessage="1" showErrorMessage="1" sqref="H457" xr:uid="{00000000-0002-0000-0B00-00003D000000}">
      <formula1>$I$457:$K$457</formula1>
    </dataValidation>
    <dataValidation type="list" allowBlank="1" showInputMessage="1" showErrorMessage="1" sqref="H455" xr:uid="{00000000-0002-0000-0B00-00003E000000}">
      <formula1>$I$455:$K$455</formula1>
    </dataValidation>
    <dataValidation type="list" allowBlank="1" showInputMessage="1" showErrorMessage="1" sqref="H444" xr:uid="{00000000-0002-0000-0B00-00003F000000}">
      <formula1>$I$444:$K$444</formula1>
    </dataValidation>
    <dataValidation type="list" allowBlank="1" showInputMessage="1" showErrorMessage="1" sqref="H433" xr:uid="{00000000-0002-0000-0B00-000040000000}">
      <formula1>$I$433:$J$433</formula1>
    </dataValidation>
    <dataValidation type="list" allowBlank="1" showInputMessage="1" showErrorMessage="1" sqref="H431" xr:uid="{00000000-0002-0000-0B00-000041000000}">
      <formula1>$I$431:$K$431</formula1>
    </dataValidation>
    <dataValidation type="list" allowBlank="1" showInputMessage="1" showErrorMessage="1" sqref="H429" xr:uid="{00000000-0002-0000-0B00-000042000000}">
      <formula1>$I$429:$J$429</formula1>
    </dataValidation>
    <dataValidation type="list" allowBlank="1" showInputMessage="1" showErrorMessage="1" sqref="H232" xr:uid="{00000000-0002-0000-0B00-000043000000}">
      <formula1>$I$232:$K$232</formula1>
    </dataValidation>
    <dataValidation type="list" allowBlank="1" showInputMessage="1" showErrorMessage="1" sqref="H240" xr:uid="{00000000-0002-0000-0B00-000044000000}">
      <formula1>$I240:$L240</formula1>
    </dataValidation>
    <dataValidation type="list" allowBlank="1" showInputMessage="1" showErrorMessage="1" sqref="H13" xr:uid="{00000000-0002-0000-0B00-000045000000}">
      <formula1>$I$13:$K$13</formula1>
    </dataValidation>
    <dataValidation type="list" allowBlank="1" showInputMessage="1" showErrorMessage="1" sqref="H15" xr:uid="{00000000-0002-0000-0B00-000046000000}">
      <formula1>$I$15:$K$15</formula1>
    </dataValidation>
    <dataValidation type="list" allowBlank="1" showInputMessage="1" showErrorMessage="1" sqref="H17" xr:uid="{00000000-0002-0000-0B00-000047000000}">
      <formula1>$I$17:$L$17</formula1>
    </dataValidation>
    <dataValidation type="list" allowBlank="1" showInputMessage="1" showErrorMessage="1" sqref="H27" xr:uid="{00000000-0002-0000-0B00-000048000000}">
      <formula1>$I$27:$L$27</formula1>
    </dataValidation>
    <dataValidation type="list" allowBlank="1" showInputMessage="1" showErrorMessage="1" sqref="H30" xr:uid="{00000000-0002-0000-0B00-000049000000}">
      <formula1>$I$30:$K$30</formula1>
    </dataValidation>
    <dataValidation type="list" allowBlank="1" showInputMessage="1" showErrorMessage="1" sqref="H43" xr:uid="{00000000-0002-0000-0B00-00004A000000}">
      <formula1>$I$43:$L$43</formula1>
    </dataValidation>
    <dataValidation type="list" allowBlank="1" showInputMessage="1" showErrorMessage="1" sqref="H51 H77" xr:uid="{00000000-0002-0000-0B00-00004B000000}">
      <formula1>$I$51:$K$51</formula1>
    </dataValidation>
    <dataValidation type="list" allowBlank="1" showInputMessage="1" showErrorMessage="1" sqref="H56" xr:uid="{00000000-0002-0000-0B00-00004C000000}">
      <formula1>$I$56:$K$56</formula1>
    </dataValidation>
    <dataValidation type="list" allowBlank="1" showInputMessage="1" showErrorMessage="1" sqref="H59" xr:uid="{00000000-0002-0000-0B00-00004D000000}">
      <formula1>$I$59:$L$59</formula1>
    </dataValidation>
    <dataValidation type="list" allowBlank="1" showInputMessage="1" showErrorMessage="1" sqref="H67" xr:uid="{00000000-0002-0000-0B00-00004E000000}">
      <formula1>$I$67:$L$67</formula1>
    </dataValidation>
    <dataValidation type="list" allowBlank="1" showInputMessage="1" showErrorMessage="1" sqref="H70" xr:uid="{00000000-0002-0000-0B00-00004F000000}">
      <formula1>$I$70:$K$70</formula1>
    </dataValidation>
    <dataValidation type="list" allowBlank="1" showInputMessage="1" showErrorMessage="1" sqref="H80" xr:uid="{00000000-0002-0000-0B00-000050000000}">
      <formula1>$I$80:$L$80</formula1>
    </dataValidation>
    <dataValidation type="list" allowBlank="1" showInputMessage="1" showErrorMessage="1" sqref="H83" xr:uid="{00000000-0002-0000-0B00-000051000000}">
      <formula1>$I$83:$J$83</formula1>
    </dataValidation>
    <dataValidation type="list" allowBlank="1" showInputMessage="1" showErrorMessage="1" sqref="H92" xr:uid="{00000000-0002-0000-0B00-000052000000}">
      <formula1>$I$92:$L$92</formula1>
    </dataValidation>
    <dataValidation type="list" allowBlank="1" showInputMessage="1" showErrorMessage="1" sqref="H95" xr:uid="{00000000-0002-0000-0B00-000053000000}">
      <formula1>$I$95:$J$95</formula1>
    </dataValidation>
    <dataValidation type="list" allowBlank="1" showInputMessage="1" showErrorMessage="1" sqref="H102" xr:uid="{00000000-0002-0000-0B00-000054000000}">
      <formula1>$I$102:$L$102</formula1>
    </dataValidation>
    <dataValidation type="list" allowBlank="1" showInputMessage="1" showErrorMessage="1" sqref="H125" xr:uid="{00000000-0002-0000-0B00-000055000000}">
      <formula1>$I$125:$K$125</formula1>
    </dataValidation>
    <dataValidation type="list" allowBlank="1" showInputMessage="1" showErrorMessage="1" sqref="H127" xr:uid="{00000000-0002-0000-0B00-000056000000}">
      <formula1>$I$127:$J$127</formula1>
    </dataValidation>
    <dataValidation type="list" allowBlank="1" showInputMessage="1" showErrorMessage="1" sqref="H129" xr:uid="{00000000-0002-0000-0B00-000057000000}">
      <formula1>$I$129:$K$129</formula1>
    </dataValidation>
    <dataValidation type="list" allowBlank="1" showInputMessage="1" showErrorMessage="1" sqref="H134" xr:uid="{00000000-0002-0000-0B00-000058000000}">
      <formula1>$I$134:$K$134</formula1>
    </dataValidation>
    <dataValidation type="list" allowBlank="1" showInputMessage="1" showErrorMessage="1" sqref="H159" xr:uid="{00000000-0002-0000-0B00-000059000000}">
      <formula1>$I$159:$K$159</formula1>
    </dataValidation>
    <dataValidation type="list" allowBlank="1" showInputMessage="1" showErrorMessage="1" sqref="H161" xr:uid="{00000000-0002-0000-0B00-00005A000000}">
      <formula1>$I$161:$K$161</formula1>
    </dataValidation>
    <dataValidation type="list" allowBlank="1" showInputMessage="1" showErrorMessage="1" sqref="H164" xr:uid="{00000000-0002-0000-0B00-00005B000000}">
      <formula1>$I$164:$K$164</formula1>
    </dataValidation>
    <dataValidation type="list" allowBlank="1" showInputMessage="1" showErrorMessage="1" sqref="H166" xr:uid="{00000000-0002-0000-0B00-00005C000000}">
      <formula1>$I$166:$K$166</formula1>
    </dataValidation>
    <dataValidation type="list" allowBlank="1" showInputMessage="1" showErrorMessage="1" sqref="H169" xr:uid="{00000000-0002-0000-0B00-00005D000000}">
      <formula1>$I$169:$J$169</formula1>
    </dataValidation>
    <dataValidation type="list" allowBlank="1" showInputMessage="1" showErrorMessage="1" sqref="H171" xr:uid="{00000000-0002-0000-0B00-00005E000000}">
      <formula1>$I$171:$L$171</formula1>
    </dataValidation>
    <dataValidation type="list" allowBlank="1" showInputMessage="1" showErrorMessage="1" sqref="H174" xr:uid="{00000000-0002-0000-0B00-00005F000000}">
      <formula1>$I$174:$K$174</formula1>
    </dataValidation>
    <dataValidation type="list" allowBlank="1" showInputMessage="1" showErrorMessage="1" sqref="H181" xr:uid="{00000000-0002-0000-0B00-000060000000}">
      <formula1>$I$181:$L$181</formula1>
    </dataValidation>
    <dataValidation type="list" allowBlank="1" showInputMessage="1" showErrorMessage="1" sqref="H184" xr:uid="{00000000-0002-0000-0B00-000061000000}">
      <formula1>$I$184:$K$184</formula1>
    </dataValidation>
    <dataValidation type="list" allowBlank="1" showInputMessage="1" showErrorMessage="1" sqref="H191" xr:uid="{00000000-0002-0000-0B00-000062000000}">
      <formula1>$I$191:$K$191</formula1>
    </dataValidation>
    <dataValidation type="list" allowBlank="1" showInputMessage="1" showErrorMessage="1" sqref="H194" xr:uid="{00000000-0002-0000-0B00-000063000000}">
      <formula1>$I$194:$L$194</formula1>
    </dataValidation>
    <dataValidation type="list" allowBlank="1" showInputMessage="1" showErrorMessage="1" sqref="H197" xr:uid="{00000000-0002-0000-0B00-000064000000}">
      <formula1>$I$197:$K$197</formula1>
    </dataValidation>
    <dataValidation type="list" allowBlank="1" showInputMessage="1" showErrorMessage="1" sqref="H214" xr:uid="{00000000-0002-0000-0B00-000065000000}">
      <formula1>$I$214:$L$214</formula1>
    </dataValidation>
    <dataValidation type="list" allowBlank="1" showInputMessage="1" showErrorMessage="1" sqref="H218" xr:uid="{00000000-0002-0000-0B00-000066000000}">
      <formula1>$I$218:$K$218</formula1>
    </dataValidation>
    <dataValidation type="list" allowBlank="1" showInputMessage="1" showErrorMessage="1" sqref="H245" xr:uid="{00000000-0002-0000-0B00-000067000000}">
      <formula1>$I$245:$J$245</formula1>
    </dataValidation>
    <dataValidation type="list" allowBlank="1" showInputMessage="1" showErrorMessage="1" sqref="H105" xr:uid="{00000000-0002-0000-0B00-000068000000}">
      <formula1>$I$105:$L$105</formula1>
    </dataValidation>
    <dataValidation type="list" allowBlank="1" showInputMessage="1" showErrorMessage="1" sqref="H108" xr:uid="{00000000-0002-0000-0B00-000069000000}">
      <formula1>$I$108:$L$108</formula1>
    </dataValidation>
    <dataValidation type="list" allowBlank="1" showInputMessage="1" showErrorMessage="1" sqref="H111" xr:uid="{00000000-0002-0000-0B00-00006A000000}">
      <formula1>$I$111:$L$111</formula1>
    </dataValidation>
    <dataValidation type="list" allowBlank="1" showInputMessage="1" showErrorMessage="1" sqref="H113" xr:uid="{00000000-0002-0000-0B00-00006B000000}">
      <formula1>$I$113:$L$113</formula1>
    </dataValidation>
    <dataValidation type="list" allowBlank="1" showInputMessage="1" showErrorMessage="1" sqref="H116" xr:uid="{00000000-0002-0000-0B00-00006C000000}">
      <formula1>$I$116:$L$116</formula1>
    </dataValidation>
    <dataValidation type="list" allowBlank="1" showInputMessage="1" showErrorMessage="1" sqref="H119" xr:uid="{00000000-0002-0000-0B00-00006D000000}">
      <formula1>$I$119:$L$119</formula1>
    </dataValidation>
    <dataValidation type="list" allowBlank="1" showInputMessage="1" showErrorMessage="1" sqref="H122" xr:uid="{00000000-0002-0000-0B00-00006E000000}">
      <formula1>$I$122:$L$122</formula1>
    </dataValidation>
    <dataValidation type="list" allowBlank="1" showInputMessage="1" showErrorMessage="1" sqref="H137" xr:uid="{00000000-0002-0000-0B00-00006F000000}">
      <formula1>$I$137:$K$137</formula1>
    </dataValidation>
    <dataValidation type="list" allowBlank="1" showInputMessage="1" showErrorMessage="1" sqref="H140" xr:uid="{00000000-0002-0000-0B00-000070000000}">
      <formula1>$I$140:$K$140</formula1>
    </dataValidation>
    <dataValidation type="list" allowBlank="1" showInputMessage="1" showErrorMessage="1" sqref="H143" xr:uid="{00000000-0002-0000-0B00-000071000000}">
      <formula1>$I$143:$K$143</formula1>
    </dataValidation>
    <dataValidation type="list" allowBlank="1" showInputMessage="1" showErrorMessage="1" sqref="H146" xr:uid="{00000000-0002-0000-0B00-000072000000}">
      <formula1>$I$146:$L$146</formula1>
    </dataValidation>
    <dataValidation type="list" allowBlank="1" showInputMessage="1" showErrorMessage="1" sqref="H154" xr:uid="{00000000-0002-0000-0B00-000073000000}">
      <formula1>$I$154:$K$154</formula1>
    </dataValidation>
    <dataValidation type="list" allowBlank="1" showInputMessage="1" showErrorMessage="1" sqref="H156" xr:uid="{00000000-0002-0000-0B00-000074000000}">
      <formula1>$I$156:$K$156</formula1>
    </dataValidation>
    <dataValidation type="list" allowBlank="1" showInputMessage="1" showErrorMessage="1" sqref="H149" xr:uid="{00000000-0002-0000-0B00-000075000000}">
      <formula1>$I$149:$L$149</formula1>
    </dataValidation>
    <dataValidation type="list" allowBlank="1" showInputMessage="1" showErrorMessage="1" sqref="H151" xr:uid="{00000000-0002-0000-0B00-000076000000}">
      <formula1>$I$151:$L$151</formula1>
    </dataValidation>
    <dataValidation type="list" allowBlank="1" showInputMessage="1" showErrorMessage="1" sqref="H250 H261" xr:uid="{00000000-0002-0000-0B00-000077000000}">
      <formula1>$I$250:$L$250</formula1>
    </dataValidation>
    <dataValidation type="list" allowBlank="1" showInputMessage="1" showErrorMessage="1" sqref="H263" xr:uid="{00000000-0002-0000-0B00-000078000000}">
      <formula1>$I$263:$L$263</formula1>
    </dataValidation>
    <dataValidation type="list" allowBlank="1" showInputMessage="1" showErrorMessage="1" sqref="H254" xr:uid="{00000000-0002-0000-0B00-000079000000}">
      <formula1>$I$254:$K$254</formula1>
    </dataValidation>
    <dataValidation type="list" allowBlank="1" showInputMessage="1" showErrorMessage="1" sqref="H256" xr:uid="{00000000-0002-0000-0B00-00007A000000}">
      <formula1>$I$256:$J$256</formula1>
    </dataValidation>
    <dataValidation type="list" allowBlank="1" showInputMessage="1" showErrorMessage="1" sqref="H258" xr:uid="{00000000-0002-0000-0B00-00007B000000}">
      <formula1>$I$258:$K$258</formula1>
    </dataValidation>
    <dataValidation type="list" allowBlank="1" showInputMessage="1" showErrorMessage="1" sqref="H206" xr:uid="{00000000-0002-0000-0B00-00007D000000}">
      <formula1>$I$206:$K$206</formula1>
    </dataValidation>
    <dataValidation type="list" allowBlank="1" showInputMessage="1" showErrorMessage="1" sqref="H252" xr:uid="{00000000-0002-0000-0B00-00007E000000}">
      <formula1>$K$252</formula1>
    </dataValidation>
    <dataValidation type="list" allowBlank="1" showInputMessage="1" showErrorMessage="1" sqref="H40" xr:uid="{00000000-0002-0000-0B00-00007F000000}">
      <formula1>$I$40:$K$40</formula1>
    </dataValidation>
    <dataValidation type="list" allowBlank="1" showInputMessage="1" showErrorMessage="1" sqref="H426 H37" xr:uid="{00000000-0002-0000-0B00-000080000000}">
      <formula1>$I$426</formula1>
    </dataValidation>
    <dataValidation type="list" allowBlank="1" showInputMessage="1" showErrorMessage="1" sqref="H265" xr:uid="{00000000-0002-0000-0B00-000081000000}">
      <formula1>$I$265:$K$265</formula1>
    </dataValidation>
    <dataValidation type="list" allowBlank="1" showInputMessage="1" showErrorMessage="1" sqref="H267" xr:uid="{00000000-0002-0000-0B00-000082000000}">
      <formula1>$I$267:$J$267</formula1>
    </dataValidation>
    <dataValidation type="list" allowBlank="1" showInputMessage="1" showErrorMessage="1" sqref="H269" xr:uid="{00000000-0002-0000-0B00-000083000000}">
      <formula1>$I$269:$K$269</formula1>
    </dataValidation>
    <dataValidation type="list" allowBlank="1" showInputMessage="1" showErrorMessage="1" sqref="H303" xr:uid="{00000000-0002-0000-0B00-000084000000}">
      <formula1>$I$303:$K$303</formula1>
    </dataValidation>
    <dataValidation imeMode="off" allowBlank="1" showInputMessage="1" showErrorMessage="1" sqref="M205" xr:uid="{9845AB16-B9C4-4423-AC8E-DDC60D2C5BDE}"/>
    <dataValidation type="list" allowBlank="1" showInputMessage="1" showErrorMessage="1" sqref="H204" xr:uid="{00000000-0002-0000-0B00-00007C000000}">
      <formula1>$I$204:$L$204</formula1>
    </dataValidation>
    <dataValidation type="list" allowBlank="1" showInputMessage="1" showErrorMessage="1" sqref="H301" xr:uid="{3836558D-0CF2-4113-98C1-10BD5F786591}">
      <formula1>$I$301:$L$301</formula1>
    </dataValidation>
    <dataValidation type="list" allowBlank="1" showInputMessage="1" showErrorMessage="1" sqref="H299" xr:uid="{693605BC-CB5B-4FF1-94FA-C240D756D492}">
      <formula1>$I$299:$K$299</formula1>
    </dataValidation>
  </dataValidations>
  <hyperlinks>
    <hyperlink ref="F5" location="◆03" display="電　話" xr:uid="{00000000-0004-0000-0B00-000002000000}"/>
    <hyperlink ref="G3" location="◆04" display="呼出表示" xr:uid="{00000000-0004-0000-0B00-000003000000}"/>
    <hyperlink ref="G4" location="◆05" display="自動車管制" xr:uid="{00000000-0004-0000-0B00-000004000000}"/>
    <hyperlink ref="G5" location="◆06" display="ﾄﾞｱ/ｲﾝﾀｰﾎﾝ" xr:uid="{00000000-0004-0000-0B00-000005000000}"/>
    <hyperlink ref="H3" location="◆07" display="拡声器配線" xr:uid="{00000000-0004-0000-0B00-000006000000}"/>
    <hyperlink ref="H4" location="◆08" display="監視カメラ" xr:uid="{00000000-0004-0000-0B00-000007000000}"/>
    <hyperlink ref="H5" location="◆09" display="Ｔ　Ｖ" xr:uid="{00000000-0004-0000-0B00-000008000000}"/>
    <hyperlink ref="I3" location="◆10" display="給水主管" xr:uid="{00000000-0004-0000-0B00-000009000000}"/>
    <hyperlink ref="I4" location="◆11" display="排水主管" xr:uid="{00000000-0004-0000-0B00-00000A000000}"/>
    <hyperlink ref="I5" location="◆12" display="受水槽" xr:uid="{00000000-0004-0000-0B00-00000B000000}"/>
    <hyperlink ref="J3" location="◆13" display="増圧ポンプ" xr:uid="{00000000-0004-0000-0B00-00000C000000}"/>
    <hyperlink ref="J4" location="◆14" display="排水ポンプ" xr:uid="{00000000-0004-0000-0B00-00000D000000}"/>
    <hyperlink ref="J5" location="◆15" display="使用口" xr:uid="{00000000-0004-0000-0B00-00000E000000}"/>
    <hyperlink ref="K3" location="◆16" display="便　器" xr:uid="{00000000-0004-0000-0B00-00000F000000}"/>
    <hyperlink ref="K4" location="◆17" display="洗面器等" xr:uid="{00000000-0004-0000-0B00-000010000000}"/>
    <hyperlink ref="K5" location="◆18" display="洗濯/汚物" xr:uid="{00000000-0004-0000-0B00-000011000000}"/>
    <hyperlink ref="L3" location="◆19" display="UB/US/浴槽" xr:uid="{00000000-0004-0000-0B00-000012000000}"/>
    <hyperlink ref="L4" location="◆20" display="浴室乾燥機" xr:uid="{00000000-0004-0000-0B00-000013000000}"/>
    <hyperlink ref="L5" location="◆21" display="給湯器・管" xr:uid="{00000000-0004-0000-0B00-000014000000}"/>
    <hyperlink ref="M3" location="◆22" display="流台/ＳＫ" xr:uid="{00000000-0004-0000-0B00-000015000000}"/>
    <hyperlink ref="M4" location="◆23" display="ガス主管" xr:uid="{00000000-0004-0000-0B00-000016000000}"/>
    <hyperlink ref="M5" location="◆24" display="住宅用総合" xr:uid="{00000000-0004-0000-0B00-000017000000}"/>
    <hyperlink ref="N3" location="◆25" display="中央方式" xr:uid="{00000000-0004-0000-0B00-000018000000}"/>
    <hyperlink ref="N4" location="◆26" display="個別方式" xr:uid="{00000000-0004-0000-0B00-000019000000}"/>
    <hyperlink ref="N5" location="◆27" display="床暖房" xr:uid="{00000000-0004-0000-0B00-00001A000000}"/>
    <hyperlink ref="O3" location="◆28" display="換気設備" xr:uid="{00000000-0004-0000-0B00-00001B000000}"/>
    <hyperlink ref="O4" location="◆29" display="住宅用換気" xr:uid="{00000000-0004-0000-0B00-00001C000000}"/>
    <hyperlink ref="O5" location="◆30" display="換気扇" xr:uid="{00000000-0004-0000-0B00-00001D000000}"/>
    <hyperlink ref="P3" location="◆31" display="ﾚﾝｼﾞﾌｰﾄﾞ" xr:uid="{00000000-0004-0000-0B00-00001E000000}"/>
    <hyperlink ref="P4" location="◆32" display="機械排煙等" xr:uid="{00000000-0004-0000-0B00-00001F000000}"/>
    <hyperlink ref="P5" location="◆33" display="ﾍﾞﾝﾁﾚｰﾀｰ" xr:uid="{00000000-0004-0000-0B00-000020000000}"/>
    <hyperlink ref="Q3" location="◆34" display="火災報知" xr:uid="{00000000-0004-0000-0B00-000021000000}"/>
    <hyperlink ref="Q4" location="◆35" display="消火栓" xr:uid="{00000000-0004-0000-0B00-000022000000}"/>
    <hyperlink ref="Q5" location="◆36" display="ｽﾌﾟﾘﾝｸﾗｰ" xr:uid="{00000000-0004-0000-0B00-000023000000}"/>
    <hyperlink ref="R3" location="◆37" display="規格ＥＶ" xr:uid="{00000000-0004-0000-0B00-000024000000}"/>
    <hyperlink ref="R4" location="◆38" display="ﾎｰﾑＥＶ" xr:uid="{00000000-0004-0000-0B00-000025000000}"/>
    <hyperlink ref="R5" location="◆39" display="ﾀﾞﾑｳｪｰﾀ-" xr:uid="{00000000-0004-0000-0B00-000026000000}"/>
    <hyperlink ref="F4" location="◆02" display="電　灯" xr:uid="{00000000-0004-0000-0B00-000001000000}"/>
    <hyperlink ref="F3" location="①設" display="動　力" xr:uid="{00000000-0004-0000-0B00-000000000000}"/>
  </hyperlinks>
  <pageMargins left="0.51181102362204722" right="0.19685039370078741" top="0.59055118110236227" bottom="0.35433070866141736" header="0.39370078740157483" footer="0.19685039370078741"/>
  <pageSetup paperSize="9" scale="69" fitToHeight="0" orientation="portrait" r:id="rId2"/>
  <headerFooter alignWithMargins="0">
    <oddHeader>&amp;L&amp;"HG創英角ｺﾞｼｯｸUB,標準"&amp;12様式第１号 別紙２その１　建築設備計算書</oddHeader>
    <oddFooter>&amp;R&amp;D　&amp;T</oddFooter>
  </headerFooter>
  <ignoredErrors>
    <ignoredError sqref="U320:U393 H295:S295 R314:S314 U305 I301:K301 H300:J300 I299:J299 H302:K302 U296 U316:U319 I315:J315 L315:S315 U297:U304 Q309:S309 I235:O235 H236:L236 N236:O236 H241:L241 N241:O241 I240:O240 I242:O242 I237:O237 H238:O238 H243:O243 U13:U294 U395:U1059 U394 H394:S394 H395:S1059 Q242:S242 Q241:S241 Q243:S243 Q237:S237 Q236:S236 Q238:S238 Q240:S240 Q235:S235 H244:S294 H239:S239 L299:S299 L300:S300 H175:S234 M302:S302 H304:S304 H316:S319 I296:S296 H297:S297 I303:S303 H298:S298 M301:S301 H305:S305 I174:S174 H320:S391 H13:S173 H393:S393 I392:S392"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indexed="13"/>
    <pageSetUpPr fitToPage="1"/>
  </sheetPr>
  <dimension ref="A1:AA130"/>
  <sheetViews>
    <sheetView showGridLines="0" zoomScaleNormal="100" workbookViewId="0">
      <pane ySplit="4" topLeftCell="A5" activePane="bottomLeft" state="frozen"/>
      <selection activeCell="A2" sqref="A2:F2"/>
      <selection pane="bottomLeft" activeCell="AB14" sqref="AB14"/>
    </sheetView>
  </sheetViews>
  <sheetFormatPr defaultColWidth="9.33203125" defaultRowHeight="11"/>
  <cols>
    <col min="1" max="1" width="4" style="411" customWidth="1"/>
    <col min="2" max="2" width="4.33203125" style="411" customWidth="1"/>
    <col min="3" max="3" width="5.44140625" style="411" customWidth="1"/>
    <col min="4" max="4" width="3.33203125" style="411" customWidth="1"/>
    <col min="5" max="5" width="7" style="411" bestFit="1" customWidth="1"/>
    <col min="6" max="9" width="6" style="411" customWidth="1"/>
    <col min="10" max="10" width="12.44140625" style="411" bestFit="1" customWidth="1"/>
    <col min="11" max="11" width="12.109375" style="411" bestFit="1" customWidth="1"/>
    <col min="12" max="12" width="4.109375" style="411" customWidth="1"/>
    <col min="13" max="13" width="2" style="411" customWidth="1"/>
    <col min="14" max="14" width="4.109375" style="411" customWidth="1"/>
    <col min="15" max="18" width="10.33203125" style="411" customWidth="1"/>
    <col min="19" max="19" width="8" style="411" bestFit="1" customWidth="1"/>
    <col min="20" max="20" width="10.33203125" style="411" bestFit="1" customWidth="1"/>
    <col min="21" max="21" width="7.77734375" style="411" bestFit="1" customWidth="1"/>
    <col min="22" max="22" width="6" style="411" bestFit="1" customWidth="1"/>
    <col min="23" max="23" width="13.109375" style="411" bestFit="1" customWidth="1"/>
    <col min="24" max="24" width="5.6640625" bestFit="1" customWidth="1"/>
    <col min="25" max="25" width="8.33203125" style="411" bestFit="1" customWidth="1"/>
    <col min="26" max="27" width="9.33203125" style="2084"/>
    <col min="28" max="16384" width="9.33203125" style="411"/>
  </cols>
  <sheetData>
    <row r="1" spans="1:25" ht="12.5">
      <c r="A1" s="3608" t="s">
        <v>5738</v>
      </c>
      <c r="B1" s="3608"/>
      <c r="C1" s="3608"/>
      <c r="D1" s="3608"/>
      <c r="E1" s="3608"/>
      <c r="F1" s="3608"/>
      <c r="G1" s="3608"/>
      <c r="H1" s="3608"/>
      <c r="I1" s="3608"/>
      <c r="J1" s="3608"/>
      <c r="K1" s="3608"/>
      <c r="L1" s="3608"/>
      <c r="M1" s="3608"/>
      <c r="N1" s="3608"/>
      <c r="O1" s="3608"/>
      <c r="P1" s="3608"/>
      <c r="Q1" s="3608"/>
      <c r="R1" s="3608"/>
      <c r="S1" s="3608"/>
      <c r="T1" s="3608"/>
      <c r="U1" s="3608"/>
      <c r="V1" s="3608"/>
      <c r="W1" s="3608"/>
    </row>
    <row r="2" spans="1:25" ht="13">
      <c r="A2" s="410" t="s">
        <v>1110</v>
      </c>
      <c r="B2" s="410"/>
      <c r="C2" s="410"/>
      <c r="D2" s="410"/>
      <c r="I2" s="412"/>
      <c r="J2" s="412"/>
      <c r="K2" s="412"/>
      <c r="L2" s="412"/>
      <c r="M2" s="412"/>
      <c r="N2" s="412"/>
      <c r="O2" s="412"/>
      <c r="P2" s="412"/>
      <c r="Q2" s="412"/>
      <c r="R2" s="412"/>
      <c r="S2" s="412"/>
      <c r="T2" s="412"/>
      <c r="U2" s="413"/>
      <c r="V2" s="413"/>
      <c r="W2" s="2085" t="s">
        <v>5730</v>
      </c>
      <c r="Y2" s="414" t="b">
        <v>1</v>
      </c>
    </row>
    <row r="3" spans="1:25" ht="12">
      <c r="A3" s="3616" t="s">
        <v>714</v>
      </c>
      <c r="B3" s="3617"/>
      <c r="C3" s="3617"/>
      <c r="D3" s="3617"/>
      <c r="E3" s="3617"/>
      <c r="F3" s="3617"/>
      <c r="G3" s="3617"/>
      <c r="H3" s="3617"/>
      <c r="I3" s="3618"/>
      <c r="J3" s="3560" t="s">
        <v>664</v>
      </c>
      <c r="K3" s="3560" t="s">
        <v>814</v>
      </c>
      <c r="L3" s="3561" t="s">
        <v>669</v>
      </c>
      <c r="M3" s="3562"/>
      <c r="N3" s="3562"/>
      <c r="O3" s="1864"/>
      <c r="P3" s="1865"/>
      <c r="Q3" s="1865"/>
      <c r="R3" s="1866"/>
      <c r="S3" s="3560" t="s">
        <v>815</v>
      </c>
      <c r="T3" s="3560" t="s">
        <v>854</v>
      </c>
      <c r="U3" s="3564" t="s">
        <v>251</v>
      </c>
      <c r="V3" s="3565"/>
      <c r="W3" s="3558" t="s">
        <v>666</v>
      </c>
      <c r="X3" s="2200"/>
      <c r="Y3" s="414" t="b">
        <v>1</v>
      </c>
    </row>
    <row r="4" spans="1:25" ht="12">
      <c r="A4" s="3619"/>
      <c r="B4" s="3620"/>
      <c r="C4" s="3620"/>
      <c r="D4" s="3620"/>
      <c r="E4" s="3620"/>
      <c r="F4" s="3620"/>
      <c r="G4" s="3620"/>
      <c r="H4" s="3620"/>
      <c r="I4" s="3621"/>
      <c r="J4" s="3559"/>
      <c r="K4" s="3559"/>
      <c r="L4" s="3563"/>
      <c r="M4" s="3563"/>
      <c r="N4" s="3563"/>
      <c r="O4" s="1867" t="s">
        <v>252</v>
      </c>
      <c r="P4" s="1868"/>
      <c r="Q4" s="1868"/>
      <c r="R4" s="1869"/>
      <c r="S4" s="3559"/>
      <c r="T4" s="3559"/>
      <c r="U4" s="3566"/>
      <c r="V4" s="3567"/>
      <c r="W4" s="3559"/>
      <c r="X4" s="2201" t="s">
        <v>5815</v>
      </c>
      <c r="Y4" s="414" t="b">
        <v>1</v>
      </c>
    </row>
    <row r="5" spans="1:25" ht="12">
      <c r="A5" s="3609" t="s">
        <v>1507</v>
      </c>
      <c r="B5" s="3612" t="s">
        <v>5666</v>
      </c>
      <c r="C5" s="3436" t="s">
        <v>1506</v>
      </c>
      <c r="D5" s="3437"/>
      <c r="E5" s="1870" t="s">
        <v>253</v>
      </c>
      <c r="F5" s="1871" t="s">
        <v>254</v>
      </c>
      <c r="G5" s="1871" t="s">
        <v>255</v>
      </c>
      <c r="H5" s="1871" t="s">
        <v>256</v>
      </c>
      <c r="I5" s="1872" t="s">
        <v>498</v>
      </c>
      <c r="J5" s="3235">
        <f>ROUNDDOWN(IF(U5&gt;C7,I7+(I6-I7)/(C6-C7)*(U5-C7),IF(U5&gt;C8,I8+(I7-I8)/(C7-C8)*(U5-C8),I8-(I8-I9)/(C8-C9)*(C8-U5))),-1)</f>
        <v>7760</v>
      </c>
      <c r="K5" s="3443" t="s">
        <v>258</v>
      </c>
      <c r="L5" s="3448"/>
      <c r="M5" s="3449"/>
      <c r="N5" s="3450"/>
      <c r="O5" s="1421" t="s">
        <v>259</v>
      </c>
      <c r="P5" s="483" t="s">
        <v>260</v>
      </c>
      <c r="Q5" s="483" t="s">
        <v>261</v>
      </c>
      <c r="R5" s="415" t="s">
        <v>679</v>
      </c>
      <c r="S5" s="3399">
        <f>ROUNDDOWN(L8*L10,2)</f>
        <v>0</v>
      </c>
      <c r="T5" s="3438">
        <f>INT(J5*S5)</f>
        <v>0</v>
      </c>
      <c r="U5" s="2513">
        <f>+調書!E10</f>
        <v>0</v>
      </c>
      <c r="V5" s="3455" t="s">
        <v>1213</v>
      </c>
      <c r="W5" s="3438">
        <f>INT(T5*U5)</f>
        <v>0</v>
      </c>
      <c r="X5" s="2200"/>
      <c r="Y5" s="414" t="b">
        <f>COUNTA(L5,L7,L9)&lt;&gt;0</f>
        <v>0</v>
      </c>
    </row>
    <row r="6" spans="1:25">
      <c r="A6" s="3610"/>
      <c r="B6" s="3613"/>
      <c r="C6" s="1415">
        <v>200</v>
      </c>
      <c r="D6" s="1416" t="s">
        <v>1505</v>
      </c>
      <c r="E6" s="1413">
        <v>3330</v>
      </c>
      <c r="F6" s="1414">
        <f>IF(L$5="有",180,0)</f>
        <v>0</v>
      </c>
      <c r="G6" s="1414">
        <v>250</v>
      </c>
      <c r="H6" s="1414">
        <v>260</v>
      </c>
      <c r="I6" s="1417">
        <f>SUM(E6:H6)</f>
        <v>3840</v>
      </c>
      <c r="J6" s="3236"/>
      <c r="K6" s="3444"/>
      <c r="L6" s="3568"/>
      <c r="M6" s="3569"/>
      <c r="N6" s="3570"/>
      <c r="O6" s="1085"/>
      <c r="P6" s="1086"/>
      <c r="Q6" s="316" t="s">
        <v>262</v>
      </c>
      <c r="R6" s="309" t="s">
        <v>679</v>
      </c>
      <c r="S6" s="3461"/>
      <c r="T6" s="3447"/>
      <c r="U6" s="2459"/>
      <c r="V6" s="3554"/>
      <c r="W6" s="3447"/>
      <c r="X6" s="2200"/>
      <c r="Y6" s="414" t="b">
        <f>+$Y$5</f>
        <v>0</v>
      </c>
    </row>
    <row r="7" spans="1:25">
      <c r="A7" s="3610"/>
      <c r="B7" s="3613"/>
      <c r="C7" s="1415">
        <v>150</v>
      </c>
      <c r="D7" s="1418" t="s">
        <v>257</v>
      </c>
      <c r="E7" s="1413">
        <v>3550</v>
      </c>
      <c r="F7" s="1414">
        <f>IF(L$5="有",240,0)</f>
        <v>0</v>
      </c>
      <c r="G7" s="1414">
        <v>340</v>
      </c>
      <c r="H7" s="1414">
        <v>340</v>
      </c>
      <c r="I7" s="1417">
        <f>SUM(E7:H7)</f>
        <v>4230</v>
      </c>
      <c r="J7" s="3236"/>
      <c r="K7" s="3443" t="s">
        <v>264</v>
      </c>
      <c r="L7" s="3448"/>
      <c r="M7" s="3449"/>
      <c r="N7" s="3450"/>
      <c r="O7" s="1421" t="s">
        <v>465</v>
      </c>
      <c r="P7" s="483" t="s">
        <v>752</v>
      </c>
      <c r="Q7" s="483" t="s">
        <v>466</v>
      </c>
      <c r="R7" s="415" t="s">
        <v>679</v>
      </c>
      <c r="S7" s="3461"/>
      <c r="T7" s="3447"/>
      <c r="U7" s="2459"/>
      <c r="V7" s="3554"/>
      <c r="W7" s="3447"/>
      <c r="X7" s="2200"/>
      <c r="Y7" s="414" t="b">
        <f t="shared" ref="Y7:Y10" si="0">+$Y$5</f>
        <v>0</v>
      </c>
    </row>
    <row r="8" spans="1:25">
      <c r="A8" s="3610"/>
      <c r="B8" s="3613"/>
      <c r="C8" s="1415">
        <v>110</v>
      </c>
      <c r="D8" s="1418" t="s">
        <v>263</v>
      </c>
      <c r="E8" s="1413">
        <v>3620</v>
      </c>
      <c r="F8" s="1414">
        <f>IF(L$5="有",330,0)</f>
        <v>0</v>
      </c>
      <c r="G8" s="1414">
        <v>390</v>
      </c>
      <c r="H8" s="1414">
        <v>400</v>
      </c>
      <c r="I8" s="1417">
        <f>SUM(E8:H8)</f>
        <v>4410</v>
      </c>
      <c r="J8" s="3236"/>
      <c r="K8" s="3444"/>
      <c r="L8" s="3440">
        <f>IF(L7="",0,HLOOKUP(L7,O7:R8,2,0))</f>
        <v>0</v>
      </c>
      <c r="M8" s="3441"/>
      <c r="N8" s="3442"/>
      <c r="O8" s="308">
        <v>1.3</v>
      </c>
      <c r="P8" s="316">
        <v>1</v>
      </c>
      <c r="Q8" s="316">
        <v>0.8</v>
      </c>
      <c r="R8" s="309" t="s">
        <v>679</v>
      </c>
      <c r="S8" s="3461"/>
      <c r="T8" s="3447"/>
      <c r="U8" s="2459"/>
      <c r="V8" s="3554"/>
      <c r="W8" s="3447"/>
      <c r="X8" s="2200"/>
      <c r="Y8" s="414" t="b">
        <f t="shared" si="0"/>
        <v>0</v>
      </c>
    </row>
    <row r="9" spans="1:25">
      <c r="A9" s="3610"/>
      <c r="B9" s="3613"/>
      <c r="C9" s="1415">
        <v>66</v>
      </c>
      <c r="D9" s="1418" t="s">
        <v>46</v>
      </c>
      <c r="E9" s="1413">
        <v>4640</v>
      </c>
      <c r="F9" s="1414">
        <f>IF(L$5="有",350,0)</f>
        <v>0</v>
      </c>
      <c r="G9" s="1414">
        <v>550</v>
      </c>
      <c r="H9" s="1414">
        <v>560</v>
      </c>
      <c r="I9" s="1417">
        <f>SUM(E9:H9)</f>
        <v>5750</v>
      </c>
      <c r="J9" s="3236"/>
      <c r="K9" s="3443" t="s">
        <v>738</v>
      </c>
      <c r="L9" s="3448"/>
      <c r="M9" s="3449"/>
      <c r="N9" s="3450"/>
      <c r="O9" s="1421" t="s">
        <v>751</v>
      </c>
      <c r="P9" s="483" t="s">
        <v>752</v>
      </c>
      <c r="Q9" s="483" t="s">
        <v>753</v>
      </c>
      <c r="R9" s="415" t="s">
        <v>679</v>
      </c>
      <c r="S9" s="3461"/>
      <c r="T9" s="3447"/>
      <c r="U9" s="2459"/>
      <c r="V9" s="3554"/>
      <c r="W9" s="3447"/>
      <c r="X9" s="2200"/>
      <c r="Y9" s="414" t="b">
        <f t="shared" si="0"/>
        <v>0</v>
      </c>
    </row>
    <row r="10" spans="1:25">
      <c r="A10" s="3610"/>
      <c r="B10" s="3614"/>
      <c r="C10" s="772"/>
      <c r="D10" s="773"/>
      <c r="E10" s="954"/>
      <c r="F10" s="954"/>
      <c r="G10" s="954"/>
      <c r="H10" s="954"/>
      <c r="I10" s="955"/>
      <c r="J10" s="3237"/>
      <c r="K10" s="3444"/>
      <c r="L10" s="3440">
        <f>IF(L9="",0,HLOOKUP(L9,O9:R10,2,0))</f>
        <v>0</v>
      </c>
      <c r="M10" s="3441"/>
      <c r="N10" s="3442"/>
      <c r="O10" s="308">
        <v>1.5</v>
      </c>
      <c r="P10" s="316">
        <v>1</v>
      </c>
      <c r="Q10" s="316">
        <v>0.7</v>
      </c>
      <c r="R10" s="309" t="s">
        <v>679</v>
      </c>
      <c r="S10" s="3463"/>
      <c r="T10" s="3439"/>
      <c r="U10" s="2470"/>
      <c r="V10" s="3460"/>
      <c r="W10" s="3439"/>
      <c r="X10" s="2200"/>
      <c r="Y10" s="414" t="b">
        <f t="shared" si="0"/>
        <v>0</v>
      </c>
    </row>
    <row r="11" spans="1:25" ht="12">
      <c r="A11" s="3610"/>
      <c r="B11" s="3615" t="s">
        <v>5667</v>
      </c>
      <c r="C11" s="3436" t="s">
        <v>1506</v>
      </c>
      <c r="D11" s="3437"/>
      <c r="E11" s="1870" t="s">
        <v>253</v>
      </c>
      <c r="F11" s="1871" t="s">
        <v>254</v>
      </c>
      <c r="G11" s="1871" t="s">
        <v>255</v>
      </c>
      <c r="H11" s="1871" t="s">
        <v>256</v>
      </c>
      <c r="I11" s="1872" t="s">
        <v>498</v>
      </c>
      <c r="J11" s="3235">
        <f>ROUNDDOWN(IF(U11&gt;C13,I13+(I12-I13)/(C12-C13)*(U11-C13),I13-(I13-I14)/(C13-C14)*(C13-U11)),-1)</f>
        <v>8800</v>
      </c>
      <c r="K11" s="3443" t="s">
        <v>258</v>
      </c>
      <c r="L11" s="3448"/>
      <c r="M11" s="3449"/>
      <c r="N11" s="3450"/>
      <c r="O11" s="1421" t="s">
        <v>259</v>
      </c>
      <c r="P11" s="483" t="s">
        <v>260</v>
      </c>
      <c r="Q11" s="483" t="s">
        <v>261</v>
      </c>
      <c r="R11" s="415" t="s">
        <v>679</v>
      </c>
      <c r="S11" s="3399">
        <f>ROUNDDOWN(L14*L16,2)</f>
        <v>0</v>
      </c>
      <c r="T11" s="3438">
        <f>INT(J11*S11)</f>
        <v>0</v>
      </c>
      <c r="U11" s="2513">
        <f>+調書!E10</f>
        <v>0</v>
      </c>
      <c r="V11" s="3455" t="s">
        <v>1213</v>
      </c>
      <c r="W11" s="3438">
        <f>INT(T11*U11)</f>
        <v>0</v>
      </c>
      <c r="X11" s="2200"/>
      <c r="Y11" s="414" t="b">
        <f>COUNTA(L11,L13,L15)&lt;&gt;0</f>
        <v>0</v>
      </c>
    </row>
    <row r="12" spans="1:25">
      <c r="A12" s="3610"/>
      <c r="B12" s="3613"/>
      <c r="C12" s="1415">
        <v>330</v>
      </c>
      <c r="D12" s="1418" t="s">
        <v>265</v>
      </c>
      <c r="E12" s="1413">
        <v>4420</v>
      </c>
      <c r="F12" s="1414">
        <f>IF(L$11="有",110,0)</f>
        <v>0</v>
      </c>
      <c r="G12" s="1414">
        <v>300</v>
      </c>
      <c r="H12" s="1414">
        <v>240</v>
      </c>
      <c r="I12" s="1417">
        <f>SUM(E12:H12)</f>
        <v>4960</v>
      </c>
      <c r="J12" s="3236"/>
      <c r="K12" s="3444"/>
      <c r="L12" s="3568"/>
      <c r="M12" s="3569"/>
      <c r="N12" s="3570"/>
      <c r="O12" s="1085"/>
      <c r="P12" s="1086"/>
      <c r="Q12" s="316" t="s">
        <v>262</v>
      </c>
      <c r="R12" s="309" t="s">
        <v>679</v>
      </c>
      <c r="S12" s="3461"/>
      <c r="T12" s="3447"/>
      <c r="U12" s="2459"/>
      <c r="V12" s="3554"/>
      <c r="W12" s="3447"/>
      <c r="X12" s="2200"/>
      <c r="Y12" s="414" t="b">
        <f>+$Y$11</f>
        <v>0</v>
      </c>
    </row>
    <row r="13" spans="1:25">
      <c r="A13" s="3610"/>
      <c r="B13" s="3613"/>
      <c r="C13" s="1415">
        <v>165</v>
      </c>
      <c r="D13" s="1418" t="s">
        <v>263</v>
      </c>
      <c r="E13" s="1413">
        <v>4890</v>
      </c>
      <c r="F13" s="1414">
        <f>IF(L$11="有",220,0)</f>
        <v>0</v>
      </c>
      <c r="G13" s="1414">
        <v>480</v>
      </c>
      <c r="H13" s="1414">
        <v>490</v>
      </c>
      <c r="I13" s="1417">
        <f>SUM(E13:H13)</f>
        <v>5860</v>
      </c>
      <c r="J13" s="3236"/>
      <c r="K13" s="3443" t="s">
        <v>264</v>
      </c>
      <c r="L13" s="3448"/>
      <c r="M13" s="3449"/>
      <c r="N13" s="3450"/>
      <c r="O13" s="1421" t="s">
        <v>465</v>
      </c>
      <c r="P13" s="483" t="s">
        <v>752</v>
      </c>
      <c r="Q13" s="483" t="s">
        <v>466</v>
      </c>
      <c r="R13" s="415" t="s">
        <v>679</v>
      </c>
      <c r="S13" s="3461"/>
      <c r="T13" s="3447"/>
      <c r="U13" s="2459"/>
      <c r="V13" s="3554"/>
      <c r="W13" s="3447"/>
      <c r="X13" s="2200"/>
      <c r="Y13" s="414" t="b">
        <f t="shared" ref="Y13:Y16" si="1">+$Y$11</f>
        <v>0</v>
      </c>
    </row>
    <row r="14" spans="1:25">
      <c r="A14" s="3610"/>
      <c r="B14" s="3613"/>
      <c r="C14" s="1415">
        <v>82.5</v>
      </c>
      <c r="D14" s="1418" t="s">
        <v>46</v>
      </c>
      <c r="E14" s="1413">
        <v>5390</v>
      </c>
      <c r="F14" s="1414">
        <f>IF(L$11="有",440,0)</f>
        <v>0</v>
      </c>
      <c r="G14" s="1414">
        <v>960</v>
      </c>
      <c r="H14" s="1414">
        <v>980</v>
      </c>
      <c r="I14" s="1417">
        <f>SUM(E14:H14)</f>
        <v>7330</v>
      </c>
      <c r="J14" s="3236"/>
      <c r="K14" s="3444"/>
      <c r="L14" s="3440">
        <f>IF(L13="",0,HLOOKUP(L13,O13:R14,2,0))</f>
        <v>0</v>
      </c>
      <c r="M14" s="3441"/>
      <c r="N14" s="3442"/>
      <c r="O14" s="308">
        <v>1.3</v>
      </c>
      <c r="P14" s="316">
        <v>1</v>
      </c>
      <c r="Q14" s="316">
        <v>0.8</v>
      </c>
      <c r="R14" s="309" t="s">
        <v>679</v>
      </c>
      <c r="S14" s="3461"/>
      <c r="T14" s="3447"/>
      <c r="U14" s="2459"/>
      <c r="V14" s="3554"/>
      <c r="W14" s="3447"/>
      <c r="X14" s="2200"/>
      <c r="Y14" s="414" t="b">
        <f t="shared" si="1"/>
        <v>0</v>
      </c>
    </row>
    <row r="15" spans="1:25">
      <c r="A15" s="3610"/>
      <c r="B15" s="3613"/>
      <c r="C15" s="769"/>
      <c r="D15" s="770"/>
      <c r="E15" s="770"/>
      <c r="F15" s="770"/>
      <c r="G15" s="770"/>
      <c r="H15" s="770"/>
      <c r="I15" s="771"/>
      <c r="J15" s="3236"/>
      <c r="K15" s="3443" t="s">
        <v>738</v>
      </c>
      <c r="L15" s="3448"/>
      <c r="M15" s="3449"/>
      <c r="N15" s="3450"/>
      <c r="O15" s="1421" t="s">
        <v>751</v>
      </c>
      <c r="P15" s="483" t="s">
        <v>752</v>
      </c>
      <c r="Q15" s="483" t="s">
        <v>753</v>
      </c>
      <c r="R15" s="415" t="s">
        <v>679</v>
      </c>
      <c r="S15" s="3461"/>
      <c r="T15" s="3447"/>
      <c r="U15" s="2459"/>
      <c r="V15" s="3554"/>
      <c r="W15" s="3447"/>
      <c r="X15" s="2200"/>
      <c r="Y15" s="414" t="b">
        <f t="shared" si="1"/>
        <v>0</v>
      </c>
    </row>
    <row r="16" spans="1:25">
      <c r="A16" s="3611"/>
      <c r="B16" s="3614"/>
      <c r="C16" s="772"/>
      <c r="D16" s="773"/>
      <c r="E16" s="954"/>
      <c r="F16" s="954"/>
      <c r="G16" s="954"/>
      <c r="H16" s="954"/>
      <c r="I16" s="955"/>
      <c r="J16" s="3237"/>
      <c r="K16" s="3444"/>
      <c r="L16" s="3440">
        <f>IF(L15="",0,HLOOKUP(L15,O15:R16,2,0))</f>
        <v>0</v>
      </c>
      <c r="M16" s="3441"/>
      <c r="N16" s="3442"/>
      <c r="O16" s="308">
        <v>1.5</v>
      </c>
      <c r="P16" s="316">
        <v>1</v>
      </c>
      <c r="Q16" s="316">
        <v>0.7</v>
      </c>
      <c r="R16" s="309" t="s">
        <v>679</v>
      </c>
      <c r="S16" s="3463"/>
      <c r="T16" s="3439"/>
      <c r="U16" s="2470"/>
      <c r="V16" s="3460"/>
      <c r="W16" s="3439"/>
      <c r="X16" s="2200"/>
      <c r="Y16" s="414" t="b">
        <f t="shared" si="1"/>
        <v>0</v>
      </c>
    </row>
    <row r="17" spans="1:25">
      <c r="A17" s="3503" t="s">
        <v>266</v>
      </c>
      <c r="B17" s="3486" t="s">
        <v>1239</v>
      </c>
      <c r="C17" s="3506"/>
      <c r="D17" s="3507"/>
      <c r="E17" s="3466" t="s">
        <v>1472</v>
      </c>
      <c r="F17" s="3467"/>
      <c r="G17" s="3467"/>
      <c r="H17" s="3467"/>
      <c r="I17" s="3468"/>
      <c r="J17" s="3235">
        <v>5990</v>
      </c>
      <c r="K17" s="3443" t="s">
        <v>738</v>
      </c>
      <c r="L17" s="3448"/>
      <c r="M17" s="3449"/>
      <c r="N17" s="3450"/>
      <c r="O17" s="1421" t="s">
        <v>741</v>
      </c>
      <c r="P17" s="483" t="s">
        <v>712</v>
      </c>
      <c r="Q17" s="483" t="s">
        <v>743</v>
      </c>
      <c r="R17" s="415" t="s">
        <v>679</v>
      </c>
      <c r="S17" s="3399">
        <f>L18</f>
        <v>0</v>
      </c>
      <c r="T17" s="3438">
        <f>INT(J17*S17)</f>
        <v>0</v>
      </c>
      <c r="U17" s="3458"/>
      <c r="V17" s="3445" t="s">
        <v>750</v>
      </c>
      <c r="W17" s="3438">
        <f>INT(T17*U17)</f>
        <v>0</v>
      </c>
      <c r="X17" s="2200"/>
      <c r="Y17" s="416" t="b">
        <f>COUNTA($L17,$U17)&lt;&gt;0</f>
        <v>0</v>
      </c>
    </row>
    <row r="18" spans="1:25">
      <c r="A18" s="3504"/>
      <c r="B18" s="3489"/>
      <c r="C18" s="3490"/>
      <c r="D18" s="3491"/>
      <c r="E18" s="3472"/>
      <c r="F18" s="3473"/>
      <c r="G18" s="3473"/>
      <c r="H18" s="3473"/>
      <c r="I18" s="3474"/>
      <c r="J18" s="3237"/>
      <c r="K18" s="3444"/>
      <c r="L18" s="3440">
        <f>IF(L17="",0,HLOOKUP(L17,O17:R18,2,0))</f>
        <v>0</v>
      </c>
      <c r="M18" s="3441"/>
      <c r="N18" s="3442"/>
      <c r="O18" s="308">
        <v>1.5</v>
      </c>
      <c r="P18" s="316">
        <v>1</v>
      </c>
      <c r="Q18" s="316">
        <v>0.7</v>
      </c>
      <c r="R18" s="309" t="s">
        <v>679</v>
      </c>
      <c r="S18" s="3463"/>
      <c r="T18" s="3439"/>
      <c r="U18" s="3555"/>
      <c r="V18" s="3460"/>
      <c r="W18" s="3439"/>
      <c r="X18" s="2200"/>
      <c r="Y18" s="416" t="b">
        <f t="shared" ref="Y18" si="2">Y$17</f>
        <v>0</v>
      </c>
    </row>
    <row r="19" spans="1:25">
      <c r="A19" s="3504"/>
      <c r="B19" s="3489"/>
      <c r="C19" s="3490"/>
      <c r="D19" s="3491"/>
      <c r="E19" s="3466" t="s">
        <v>1473</v>
      </c>
      <c r="F19" s="3467"/>
      <c r="G19" s="3467"/>
      <c r="H19" s="3467"/>
      <c r="I19" s="3468"/>
      <c r="J19" s="3235">
        <v>5920</v>
      </c>
      <c r="K19" s="3443" t="s">
        <v>738</v>
      </c>
      <c r="L19" s="3448"/>
      <c r="M19" s="3449"/>
      <c r="N19" s="3450"/>
      <c r="O19" s="1421" t="s">
        <v>741</v>
      </c>
      <c r="P19" s="483" t="s">
        <v>712</v>
      </c>
      <c r="Q19" s="483" t="s">
        <v>743</v>
      </c>
      <c r="R19" s="415" t="s">
        <v>679</v>
      </c>
      <c r="S19" s="3399">
        <f>L20</f>
        <v>0</v>
      </c>
      <c r="T19" s="3438">
        <f>INT(J19*S19)</f>
        <v>0</v>
      </c>
      <c r="U19" s="3458"/>
      <c r="V19" s="3445" t="s">
        <v>750</v>
      </c>
      <c r="W19" s="3438">
        <f>INT(T19*U19)</f>
        <v>0</v>
      </c>
      <c r="X19" s="2200"/>
      <c r="Y19" s="416" t="b">
        <f>COUNTA($L19,$U19)&lt;&gt;0</f>
        <v>0</v>
      </c>
    </row>
    <row r="20" spans="1:25">
      <c r="A20" s="3504"/>
      <c r="B20" s="3489"/>
      <c r="C20" s="3490"/>
      <c r="D20" s="3491"/>
      <c r="E20" s="3472"/>
      <c r="F20" s="3473"/>
      <c r="G20" s="3473"/>
      <c r="H20" s="3473"/>
      <c r="I20" s="3474"/>
      <c r="J20" s="3237"/>
      <c r="K20" s="3444"/>
      <c r="L20" s="3440">
        <f>IF(L19="",0,HLOOKUP(L19,O19:R20,2,0))</f>
        <v>0</v>
      </c>
      <c r="M20" s="3441"/>
      <c r="N20" s="3442"/>
      <c r="O20" s="308">
        <v>1.5</v>
      </c>
      <c r="P20" s="316">
        <v>1</v>
      </c>
      <c r="Q20" s="316">
        <v>0.7</v>
      </c>
      <c r="R20" s="309" t="s">
        <v>679</v>
      </c>
      <c r="S20" s="3463"/>
      <c r="T20" s="3439"/>
      <c r="U20" s="3459"/>
      <c r="V20" s="3460"/>
      <c r="W20" s="3439"/>
      <c r="X20" s="2200"/>
      <c r="Y20" s="416" t="b">
        <f>Y$19</f>
        <v>0</v>
      </c>
    </row>
    <row r="21" spans="1:25">
      <c r="A21" s="3504"/>
      <c r="B21" s="3489"/>
      <c r="C21" s="3490"/>
      <c r="D21" s="3491"/>
      <c r="E21" s="3466" t="s">
        <v>1238</v>
      </c>
      <c r="F21" s="3467"/>
      <c r="G21" s="3467"/>
      <c r="H21" s="3467"/>
      <c r="I21" s="3468"/>
      <c r="J21" s="3235">
        <v>9130</v>
      </c>
      <c r="K21" s="3443" t="s">
        <v>738</v>
      </c>
      <c r="L21" s="3448"/>
      <c r="M21" s="3449"/>
      <c r="N21" s="3450"/>
      <c r="O21" s="1421" t="s">
        <v>741</v>
      </c>
      <c r="P21" s="483" t="s">
        <v>267</v>
      </c>
      <c r="Q21" s="483" t="s">
        <v>712</v>
      </c>
      <c r="R21" s="415" t="s">
        <v>743</v>
      </c>
      <c r="S21" s="3399">
        <f>L22</f>
        <v>0</v>
      </c>
      <c r="T21" s="3438">
        <f>INT(J21*S21)</f>
        <v>0</v>
      </c>
      <c r="U21" s="3458"/>
      <c r="V21" s="3445" t="s">
        <v>750</v>
      </c>
      <c r="W21" s="3438">
        <f>INT(T21*U21)</f>
        <v>0</v>
      </c>
      <c r="X21" s="2200"/>
      <c r="Y21" s="416" t="b">
        <f>COUNTA($L21,$U21)&lt;&gt;0</f>
        <v>0</v>
      </c>
    </row>
    <row r="22" spans="1:25">
      <c r="A22" s="3504"/>
      <c r="B22" s="3520"/>
      <c r="C22" s="3521"/>
      <c r="D22" s="3522"/>
      <c r="E22" s="3472"/>
      <c r="F22" s="3473"/>
      <c r="G22" s="3473"/>
      <c r="H22" s="3473"/>
      <c r="I22" s="3474"/>
      <c r="J22" s="3237"/>
      <c r="K22" s="3444"/>
      <c r="L22" s="3440">
        <f>IF(L21="",0,HLOOKUP(L21,O21:R22,2,0))</f>
        <v>0</v>
      </c>
      <c r="M22" s="3441"/>
      <c r="N22" s="3442"/>
      <c r="O22" s="308">
        <v>1.5</v>
      </c>
      <c r="P22" s="316">
        <v>1.3</v>
      </c>
      <c r="Q22" s="316">
        <v>1</v>
      </c>
      <c r="R22" s="309">
        <v>0.7</v>
      </c>
      <c r="S22" s="3463"/>
      <c r="T22" s="3439"/>
      <c r="U22" s="3586"/>
      <c r="V22" s="3460"/>
      <c r="W22" s="3439"/>
      <c r="X22" s="2200"/>
      <c r="Y22" s="416" t="b">
        <f>+$Y$21</f>
        <v>0</v>
      </c>
    </row>
    <row r="23" spans="1:25" ht="12" customHeight="1">
      <c r="A23" s="3504"/>
      <c r="B23" s="3486" t="s">
        <v>1240</v>
      </c>
      <c r="C23" s="3506"/>
      <c r="D23" s="3507"/>
      <c r="E23" s="3523" t="s">
        <v>5462</v>
      </c>
      <c r="F23" s="3524"/>
      <c r="G23" s="3529" t="s">
        <v>1216</v>
      </c>
      <c r="H23" s="3530"/>
      <c r="I23" s="3535"/>
      <c r="J23" s="3596">
        <f>IF(ISBLANK(I23),0,+(I23-2)*(J26-J25)+J26)</f>
        <v>0</v>
      </c>
      <c r="K23" s="3604" t="s">
        <v>738</v>
      </c>
      <c r="L23" s="3448"/>
      <c r="M23" s="3449"/>
      <c r="N23" s="3450"/>
      <c r="O23" s="1421" t="s">
        <v>741</v>
      </c>
      <c r="P23" s="483" t="s">
        <v>712</v>
      </c>
      <c r="Q23" s="483" t="s">
        <v>743</v>
      </c>
      <c r="R23" s="415" t="s">
        <v>679</v>
      </c>
      <c r="S23" s="3556">
        <f>L24</f>
        <v>0</v>
      </c>
      <c r="T23" s="3582">
        <f>INT(J23*S23)</f>
        <v>0</v>
      </c>
      <c r="U23" s="3458"/>
      <c r="V23" s="3445" t="s">
        <v>990</v>
      </c>
      <c r="W23" s="3582">
        <f>INT(T23*U23)</f>
        <v>0</v>
      </c>
      <c r="X23" s="2200"/>
      <c r="Y23" s="416" t="b">
        <f>COUNTA($I$23,$L$23,$U23)&lt;&gt;0</f>
        <v>0</v>
      </c>
    </row>
    <row r="24" spans="1:25" ht="12" customHeight="1">
      <c r="A24" s="3504"/>
      <c r="B24" s="3489"/>
      <c r="C24" s="3490"/>
      <c r="D24" s="3491"/>
      <c r="E24" s="3525"/>
      <c r="F24" s="3526"/>
      <c r="G24" s="3531"/>
      <c r="H24" s="3532"/>
      <c r="I24" s="3536"/>
      <c r="J24" s="3597"/>
      <c r="K24" s="3605"/>
      <c r="L24" s="3589">
        <f>IF(L23="",0,HLOOKUP(L23,O23:R24,2,0))</f>
        <v>0</v>
      </c>
      <c r="M24" s="3590"/>
      <c r="N24" s="3591"/>
      <c r="O24" s="1422">
        <v>1.5</v>
      </c>
      <c r="P24" s="1423">
        <v>1</v>
      </c>
      <c r="Q24" s="1423">
        <v>0.7</v>
      </c>
      <c r="R24" s="686" t="s">
        <v>679</v>
      </c>
      <c r="S24" s="3593"/>
      <c r="T24" s="3583"/>
      <c r="U24" s="3462"/>
      <c r="V24" s="3554"/>
      <c r="W24" s="3583"/>
      <c r="X24" s="2200"/>
      <c r="Y24" s="718" t="b">
        <f>+$Y$23</f>
        <v>0</v>
      </c>
    </row>
    <row r="25" spans="1:25" ht="12" customHeight="1">
      <c r="A25" s="3504"/>
      <c r="B25" s="3489"/>
      <c r="C25" s="3490"/>
      <c r="D25" s="3491"/>
      <c r="E25" s="3525"/>
      <c r="F25" s="3526"/>
      <c r="G25" s="3531"/>
      <c r="H25" s="3532"/>
      <c r="I25" s="1873">
        <v>1</v>
      </c>
      <c r="J25" s="1419">
        <v>23600</v>
      </c>
      <c r="K25" s="3598" t="s">
        <v>1215</v>
      </c>
      <c r="L25" s="3599"/>
      <c r="M25" s="3599"/>
      <c r="N25" s="3599"/>
      <c r="O25" s="3599"/>
      <c r="P25" s="3599"/>
      <c r="Q25" s="3599"/>
      <c r="R25" s="3600"/>
      <c r="S25" s="3593"/>
      <c r="T25" s="3583"/>
      <c r="U25" s="3462"/>
      <c r="V25" s="3554"/>
      <c r="W25" s="3583"/>
      <c r="X25" s="2200"/>
      <c r="Y25" s="687" t="b">
        <v>0</v>
      </c>
    </row>
    <row r="26" spans="1:25" ht="12" customHeight="1">
      <c r="A26" s="3504"/>
      <c r="B26" s="3508"/>
      <c r="C26" s="3509"/>
      <c r="D26" s="3510"/>
      <c r="E26" s="3527"/>
      <c r="F26" s="3528"/>
      <c r="G26" s="3533"/>
      <c r="H26" s="3534"/>
      <c r="I26" s="1874">
        <v>2</v>
      </c>
      <c r="J26" s="1420">
        <v>37260</v>
      </c>
      <c r="K26" s="3601"/>
      <c r="L26" s="3602"/>
      <c r="M26" s="3602"/>
      <c r="N26" s="3602"/>
      <c r="O26" s="3602"/>
      <c r="P26" s="3602"/>
      <c r="Q26" s="3602"/>
      <c r="R26" s="3603"/>
      <c r="S26" s="3594"/>
      <c r="T26" s="3584"/>
      <c r="U26" s="3622"/>
      <c r="V26" s="3592"/>
      <c r="W26" s="3584"/>
      <c r="X26" s="2200"/>
      <c r="Y26" s="687" t="b">
        <v>0</v>
      </c>
    </row>
    <row r="27" spans="1:25" ht="11.25" customHeight="1">
      <c r="A27" s="3504"/>
      <c r="B27" s="3511" t="s">
        <v>1241</v>
      </c>
      <c r="C27" s="3512"/>
      <c r="D27" s="3513"/>
      <c r="E27" s="3466" t="s">
        <v>1235</v>
      </c>
      <c r="F27" s="3468"/>
      <c r="G27" s="3538" t="s">
        <v>1236</v>
      </c>
      <c r="H27" s="3539"/>
      <c r="I27" s="3540"/>
      <c r="J27" s="3606">
        <v>6270</v>
      </c>
      <c r="K27" s="3443" t="s">
        <v>738</v>
      </c>
      <c r="L27" s="3448"/>
      <c r="M27" s="3449"/>
      <c r="N27" s="3450"/>
      <c r="O27" s="1421" t="s">
        <v>741</v>
      </c>
      <c r="P27" s="483" t="s">
        <v>712</v>
      </c>
      <c r="Q27" s="483" t="s">
        <v>743</v>
      </c>
      <c r="R27" s="415" t="s">
        <v>679</v>
      </c>
      <c r="S27" s="3556">
        <f>L28</f>
        <v>0</v>
      </c>
      <c r="T27" s="3582">
        <f>INT(J27*S27)</f>
        <v>0</v>
      </c>
      <c r="U27" s="3458"/>
      <c r="V27" s="3464" t="s">
        <v>268</v>
      </c>
      <c r="W27" s="3582">
        <f>INT(T27*U27)</f>
        <v>0</v>
      </c>
      <c r="X27" s="2200"/>
      <c r="Y27" s="416" t="b">
        <f>COUNTA($L27,$U27)&lt;&gt;0</f>
        <v>0</v>
      </c>
    </row>
    <row r="28" spans="1:25" ht="11.25" customHeight="1">
      <c r="A28" s="3504"/>
      <c r="B28" s="3514"/>
      <c r="C28" s="3515"/>
      <c r="D28" s="3516"/>
      <c r="E28" s="3469"/>
      <c r="F28" s="3537"/>
      <c r="G28" s="3541"/>
      <c r="H28" s="3539"/>
      <c r="I28" s="3540"/>
      <c r="J28" s="3607"/>
      <c r="K28" s="3444"/>
      <c r="L28" s="3589">
        <f>IF(L27="",0,HLOOKUP(L27,O27:R28,2,0))</f>
        <v>0</v>
      </c>
      <c r="M28" s="3590"/>
      <c r="N28" s="3591"/>
      <c r="O28" s="1422">
        <v>1.5</v>
      </c>
      <c r="P28" s="1423">
        <v>1</v>
      </c>
      <c r="Q28" s="1423">
        <v>0.7</v>
      </c>
      <c r="R28" s="686" t="s">
        <v>679</v>
      </c>
      <c r="S28" s="3557"/>
      <c r="T28" s="3585"/>
      <c r="U28" s="3459"/>
      <c r="V28" s="3465"/>
      <c r="W28" s="3585"/>
      <c r="X28" s="2200"/>
      <c r="Y28" s="416" t="b">
        <f>+$Y$27</f>
        <v>0</v>
      </c>
    </row>
    <row r="29" spans="1:25" ht="11.25" customHeight="1">
      <c r="A29" s="3504"/>
      <c r="B29" s="3514"/>
      <c r="C29" s="3515"/>
      <c r="D29" s="3516"/>
      <c r="E29" s="3469"/>
      <c r="F29" s="3537"/>
      <c r="G29" s="3538" t="s">
        <v>1237</v>
      </c>
      <c r="H29" s="3539"/>
      <c r="I29" s="3540"/>
      <c r="J29" s="3606">
        <v>2630</v>
      </c>
      <c r="K29" s="3443" t="s">
        <v>738</v>
      </c>
      <c r="L29" s="3448"/>
      <c r="M29" s="3449"/>
      <c r="N29" s="3450"/>
      <c r="O29" s="1421" t="s">
        <v>741</v>
      </c>
      <c r="P29" s="483" t="s">
        <v>712</v>
      </c>
      <c r="Q29" s="483" t="s">
        <v>743</v>
      </c>
      <c r="R29" s="415" t="s">
        <v>679</v>
      </c>
      <c r="S29" s="3556">
        <f>L30</f>
        <v>0</v>
      </c>
      <c r="T29" s="3582">
        <f>INT(J29*S29)</f>
        <v>0</v>
      </c>
      <c r="U29" s="3458"/>
      <c r="V29" s="3464" t="s">
        <v>268</v>
      </c>
      <c r="W29" s="3582">
        <f>INT(T29*U29)</f>
        <v>0</v>
      </c>
      <c r="X29" s="2200"/>
      <c r="Y29" s="416" t="b">
        <f>COUNTA($L29,$U29)&lt;&gt;0</f>
        <v>0</v>
      </c>
    </row>
    <row r="30" spans="1:25" ht="11.25" customHeight="1">
      <c r="A30" s="3504"/>
      <c r="B30" s="3514"/>
      <c r="C30" s="3515"/>
      <c r="D30" s="3516"/>
      <c r="E30" s="3472"/>
      <c r="F30" s="3474"/>
      <c r="G30" s="3541"/>
      <c r="H30" s="3539"/>
      <c r="I30" s="3540"/>
      <c r="J30" s="3607"/>
      <c r="K30" s="3444"/>
      <c r="L30" s="3589">
        <f>IF(L29="",0,HLOOKUP(L29,O29:R30,2,0))</f>
        <v>0</v>
      </c>
      <c r="M30" s="3590"/>
      <c r="N30" s="3591"/>
      <c r="O30" s="1422">
        <v>1.5</v>
      </c>
      <c r="P30" s="1423">
        <v>1</v>
      </c>
      <c r="Q30" s="1423">
        <v>0.7</v>
      </c>
      <c r="R30" s="686" t="s">
        <v>679</v>
      </c>
      <c r="S30" s="3557"/>
      <c r="T30" s="3585"/>
      <c r="U30" s="3459"/>
      <c r="V30" s="3465"/>
      <c r="W30" s="3585"/>
      <c r="X30" s="2200"/>
      <c r="Y30" s="416" t="b">
        <f>+$Y$29</f>
        <v>0</v>
      </c>
    </row>
    <row r="31" spans="1:25" ht="11.25" customHeight="1">
      <c r="A31" s="3504"/>
      <c r="B31" s="3514"/>
      <c r="C31" s="3515"/>
      <c r="D31" s="3516"/>
      <c r="E31" s="3466" t="s">
        <v>1234</v>
      </c>
      <c r="F31" s="3467"/>
      <c r="G31" s="3467"/>
      <c r="H31" s="3467"/>
      <c r="I31" s="3468"/>
      <c r="J31" s="3606">
        <v>1790</v>
      </c>
      <c r="K31" s="3443" t="s">
        <v>738</v>
      </c>
      <c r="L31" s="3448"/>
      <c r="M31" s="3449"/>
      <c r="N31" s="3450"/>
      <c r="O31" s="1421" t="s">
        <v>741</v>
      </c>
      <c r="P31" s="483" t="s">
        <v>712</v>
      </c>
      <c r="Q31" s="483" t="s">
        <v>743</v>
      </c>
      <c r="R31" s="415" t="s">
        <v>679</v>
      </c>
      <c r="S31" s="3556">
        <f>L32</f>
        <v>0</v>
      </c>
      <c r="T31" s="3582">
        <f>INT(J31*S31)</f>
        <v>0</v>
      </c>
      <c r="U31" s="3458"/>
      <c r="V31" s="3587" t="s">
        <v>1214</v>
      </c>
      <c r="W31" s="3582">
        <f>INT(T31*U31)</f>
        <v>0</v>
      </c>
      <c r="X31" s="2200"/>
      <c r="Y31" s="416" t="b">
        <f>OR(COUNTA($L31,$U31)&lt;&gt;0,Y39,Y45)</f>
        <v>0</v>
      </c>
    </row>
    <row r="32" spans="1:25" ht="11.25" customHeight="1">
      <c r="A32" s="3504"/>
      <c r="B32" s="3517"/>
      <c r="C32" s="3518"/>
      <c r="D32" s="3519"/>
      <c r="E32" s="3472"/>
      <c r="F32" s="3473"/>
      <c r="G32" s="3473"/>
      <c r="H32" s="3473"/>
      <c r="I32" s="3474"/>
      <c r="J32" s="3607"/>
      <c r="K32" s="3444"/>
      <c r="L32" s="3589">
        <f>IF(L31="",0,HLOOKUP(L31,O31:R32,2,0))</f>
        <v>0</v>
      </c>
      <c r="M32" s="3590"/>
      <c r="N32" s="3591"/>
      <c r="O32" s="1422">
        <v>1.5</v>
      </c>
      <c r="P32" s="1423">
        <v>1</v>
      </c>
      <c r="Q32" s="1423">
        <v>0.7</v>
      </c>
      <c r="R32" s="686" t="s">
        <v>679</v>
      </c>
      <c r="S32" s="3557"/>
      <c r="T32" s="3585"/>
      <c r="U32" s="3459"/>
      <c r="V32" s="3588"/>
      <c r="W32" s="3585"/>
      <c r="X32" s="2200"/>
      <c r="Y32" s="416" t="b">
        <f>+$Y$31</f>
        <v>0</v>
      </c>
    </row>
    <row r="33" spans="1:25">
      <c r="A33" s="3504"/>
      <c r="B33" s="3486" t="s">
        <v>1242</v>
      </c>
      <c r="C33" s="3506"/>
      <c r="D33" s="3507"/>
      <c r="E33" s="3486" t="s">
        <v>1233</v>
      </c>
      <c r="F33" s="3506"/>
      <c r="G33" s="3506"/>
      <c r="H33" s="3506"/>
      <c r="I33" s="3507"/>
      <c r="J33" s="3235">
        <v>7430</v>
      </c>
      <c r="K33" s="3443" t="s">
        <v>738</v>
      </c>
      <c r="L33" s="3448"/>
      <c r="M33" s="3449"/>
      <c r="N33" s="3450"/>
      <c r="O33" s="1421" t="s">
        <v>741</v>
      </c>
      <c r="P33" s="483" t="s">
        <v>712</v>
      </c>
      <c r="Q33" s="483" t="s">
        <v>743</v>
      </c>
      <c r="R33" s="415" t="s">
        <v>679</v>
      </c>
      <c r="S33" s="3399">
        <f>L34</f>
        <v>0</v>
      </c>
      <c r="T33" s="3438">
        <f>INT(J33*S33)</f>
        <v>0</v>
      </c>
      <c r="U33" s="3458"/>
      <c r="V33" s="3445" t="s">
        <v>750</v>
      </c>
      <c r="W33" s="3438">
        <f>INT(T33*U33)</f>
        <v>0</v>
      </c>
      <c r="X33" s="2200"/>
      <c r="Y33" s="416" t="b">
        <f>COUNTA($L33,$U33)&lt;&gt;0</f>
        <v>0</v>
      </c>
    </row>
    <row r="34" spans="1:25">
      <c r="A34" s="3505"/>
      <c r="B34" s="3520"/>
      <c r="C34" s="3521"/>
      <c r="D34" s="3522"/>
      <c r="E34" s="3520"/>
      <c r="F34" s="3521"/>
      <c r="G34" s="3521"/>
      <c r="H34" s="3521"/>
      <c r="I34" s="3522"/>
      <c r="J34" s="3237"/>
      <c r="K34" s="3444"/>
      <c r="L34" s="3440">
        <f>IF(L33="",0,HLOOKUP(L33,O33:R34,2,0))</f>
        <v>0</v>
      </c>
      <c r="M34" s="3441"/>
      <c r="N34" s="3442"/>
      <c r="O34" s="308">
        <v>1.5</v>
      </c>
      <c r="P34" s="316">
        <v>1</v>
      </c>
      <c r="Q34" s="316">
        <v>0.7</v>
      </c>
      <c r="R34" s="309" t="s">
        <v>679</v>
      </c>
      <c r="S34" s="3463"/>
      <c r="T34" s="3439"/>
      <c r="U34" s="3459"/>
      <c r="V34" s="3460"/>
      <c r="W34" s="3439"/>
      <c r="X34" s="2200"/>
      <c r="Y34" s="416" t="b">
        <f>+$Y$33</f>
        <v>0</v>
      </c>
    </row>
    <row r="35" spans="1:25">
      <c r="A35" s="3503" t="s">
        <v>269</v>
      </c>
      <c r="B35" s="3549" t="s">
        <v>1243</v>
      </c>
      <c r="C35" s="3490"/>
      <c r="D35" s="3491"/>
      <c r="E35" s="3595" t="s">
        <v>1232</v>
      </c>
      <c r="F35" s="3470"/>
      <c r="G35" s="3470"/>
      <c r="H35" s="3470"/>
      <c r="I35" s="3537"/>
      <c r="J35" s="3236">
        <v>50900</v>
      </c>
      <c r="K35" s="3550" t="s">
        <v>738</v>
      </c>
      <c r="L35" s="3571"/>
      <c r="M35" s="3572"/>
      <c r="N35" s="3573"/>
      <c r="O35" s="1424" t="s">
        <v>679</v>
      </c>
      <c r="P35" s="1425" t="s">
        <v>1007</v>
      </c>
      <c r="Q35" s="1425" t="s">
        <v>270</v>
      </c>
      <c r="R35" s="484" t="s">
        <v>679</v>
      </c>
      <c r="S35" s="3461">
        <f>L36</f>
        <v>0</v>
      </c>
      <c r="T35" s="3447">
        <f>INT(J35*S35)</f>
        <v>0</v>
      </c>
      <c r="U35" s="3574"/>
      <c r="V35" s="3554" t="s">
        <v>271</v>
      </c>
      <c r="W35" s="3447">
        <f>INT(T35*U35)</f>
        <v>0</v>
      </c>
      <c r="X35" s="2200"/>
      <c r="Y35" s="416" t="b">
        <f>COUNTA($L35,$U35)&lt;&gt;0</f>
        <v>0</v>
      </c>
    </row>
    <row r="36" spans="1:25">
      <c r="A36" s="3547"/>
      <c r="B36" s="3520"/>
      <c r="C36" s="3521"/>
      <c r="D36" s="3522"/>
      <c r="E36" s="3472"/>
      <c r="F36" s="3473"/>
      <c r="G36" s="3473"/>
      <c r="H36" s="3473"/>
      <c r="I36" s="3474"/>
      <c r="J36" s="3237"/>
      <c r="K36" s="3444"/>
      <c r="L36" s="3440">
        <f>IF(L35="",0,HLOOKUP(L35,O35:R36,2,0))</f>
        <v>0</v>
      </c>
      <c r="M36" s="3441"/>
      <c r="N36" s="3442"/>
      <c r="O36" s="308" t="s">
        <v>679</v>
      </c>
      <c r="P36" s="316">
        <v>1</v>
      </c>
      <c r="Q36" s="316">
        <v>0.3</v>
      </c>
      <c r="R36" s="309" t="s">
        <v>679</v>
      </c>
      <c r="S36" s="3463"/>
      <c r="T36" s="3439"/>
      <c r="U36" s="3459"/>
      <c r="V36" s="3460"/>
      <c r="W36" s="3439"/>
      <c r="X36" s="2200"/>
      <c r="Y36" s="416" t="b">
        <f>+$Y35</f>
        <v>0</v>
      </c>
    </row>
    <row r="37" spans="1:25" ht="11.25" customHeight="1">
      <c r="A37" s="3547"/>
      <c r="B37" s="3511" t="s">
        <v>1241</v>
      </c>
      <c r="C37" s="3542"/>
      <c r="D37" s="3543"/>
      <c r="E37" s="3466" t="s">
        <v>1231</v>
      </c>
      <c r="F37" s="3467"/>
      <c r="G37" s="3467"/>
      <c r="H37" s="3467"/>
      <c r="I37" s="3468"/>
      <c r="J37" s="3235">
        <v>1100</v>
      </c>
      <c r="K37" s="3443" t="s">
        <v>738</v>
      </c>
      <c r="L37" s="3448"/>
      <c r="M37" s="3449"/>
      <c r="N37" s="3450"/>
      <c r="O37" s="1421" t="s">
        <v>741</v>
      </c>
      <c r="P37" s="483" t="s">
        <v>712</v>
      </c>
      <c r="Q37" s="483" t="s">
        <v>743</v>
      </c>
      <c r="R37" s="415" t="s">
        <v>679</v>
      </c>
      <c r="S37" s="3399">
        <f>L38</f>
        <v>0</v>
      </c>
      <c r="T37" s="3438">
        <f>INT(J37*S37)</f>
        <v>0</v>
      </c>
      <c r="U37" s="3458"/>
      <c r="V37" s="3445" t="s">
        <v>750</v>
      </c>
      <c r="W37" s="3438">
        <f>INT(T37*U37)</f>
        <v>0</v>
      </c>
      <c r="X37" s="2200"/>
      <c r="Y37" s="416" t="b">
        <f>COUNTA($L37,$U37)&lt;&gt;0</f>
        <v>0</v>
      </c>
    </row>
    <row r="38" spans="1:25" ht="11.25" customHeight="1">
      <c r="A38" s="3547"/>
      <c r="B38" s="3514"/>
      <c r="C38" s="3515"/>
      <c r="D38" s="3516"/>
      <c r="E38" s="3472"/>
      <c r="F38" s="3473"/>
      <c r="G38" s="3473"/>
      <c r="H38" s="3473"/>
      <c r="I38" s="3474"/>
      <c r="J38" s="3237"/>
      <c r="K38" s="3444"/>
      <c r="L38" s="3440">
        <f>IF(L37="",0,HLOOKUP(L37,O37:R38,2,0))</f>
        <v>0</v>
      </c>
      <c r="M38" s="3441"/>
      <c r="N38" s="3442"/>
      <c r="O38" s="308">
        <v>1.3</v>
      </c>
      <c r="P38" s="316">
        <v>1</v>
      </c>
      <c r="Q38" s="316">
        <v>0.7</v>
      </c>
      <c r="R38" s="309" t="s">
        <v>679</v>
      </c>
      <c r="S38" s="3463"/>
      <c r="T38" s="3439"/>
      <c r="U38" s="3459"/>
      <c r="V38" s="3460"/>
      <c r="W38" s="3439"/>
      <c r="X38" s="2200"/>
      <c r="Y38" s="416" t="b">
        <f>+$Y37</f>
        <v>0</v>
      </c>
    </row>
    <row r="39" spans="1:25" ht="11.25" customHeight="1">
      <c r="A39" s="3547"/>
      <c r="B39" s="3514"/>
      <c r="C39" s="3515"/>
      <c r="D39" s="3516"/>
      <c r="E39" s="3466" t="s">
        <v>1198</v>
      </c>
      <c r="F39" s="3467"/>
      <c r="G39" s="3467"/>
      <c r="H39" s="3467"/>
      <c r="I39" s="3468"/>
      <c r="J39" s="3235">
        <v>227000</v>
      </c>
      <c r="K39" s="3443" t="s">
        <v>273</v>
      </c>
      <c r="L39" s="3551"/>
      <c r="M39" s="3552"/>
      <c r="N39" s="3553"/>
      <c r="O39" s="1426">
        <v>28</v>
      </c>
      <c r="P39" s="1427">
        <v>24</v>
      </c>
      <c r="Q39" s="1427">
        <v>20</v>
      </c>
      <c r="R39" s="415" t="s">
        <v>679</v>
      </c>
      <c r="S39" s="3399">
        <f>ROUNDDOWN(L40*L42*L44,2)</f>
        <v>0</v>
      </c>
      <c r="T39" s="3438">
        <f>INT(J39*S39)</f>
        <v>0</v>
      </c>
      <c r="U39" s="3458"/>
      <c r="V39" s="3445" t="s">
        <v>750</v>
      </c>
      <c r="W39" s="3438">
        <f>INT(T39*U39)</f>
        <v>0</v>
      </c>
      <c r="X39" s="2200"/>
      <c r="Y39" s="416" t="b">
        <f>COUNTA($L39,$L41,$L43,$U39)&lt;&gt;0</f>
        <v>0</v>
      </c>
    </row>
    <row r="40" spans="1:25" ht="11.25" customHeight="1">
      <c r="A40" s="3547"/>
      <c r="B40" s="3514"/>
      <c r="C40" s="3515"/>
      <c r="D40" s="3516"/>
      <c r="E40" s="3469"/>
      <c r="F40" s="3470"/>
      <c r="G40" s="3470"/>
      <c r="H40" s="3470"/>
      <c r="I40" s="3471"/>
      <c r="J40" s="3236"/>
      <c r="K40" s="3444"/>
      <c r="L40" s="3440">
        <f>IF(L39="",0,ROUNDDOWN(P40+(L39-P39)*IF(L39&gt;P39,(O40-P40)/(O39-P39),(Q40-P40)/(Q39-P39)),2))</f>
        <v>0</v>
      </c>
      <c r="M40" s="3441"/>
      <c r="N40" s="3442"/>
      <c r="O40" s="308">
        <v>1.1000000000000001</v>
      </c>
      <c r="P40" s="316">
        <v>1</v>
      </c>
      <c r="Q40" s="316">
        <v>0.9</v>
      </c>
      <c r="R40" s="309" t="s">
        <v>679</v>
      </c>
      <c r="S40" s="3461"/>
      <c r="T40" s="3447"/>
      <c r="U40" s="3462"/>
      <c r="V40" s="3446"/>
      <c r="W40" s="3447"/>
      <c r="X40" s="2200"/>
      <c r="Y40" s="416" t="b">
        <f>+$Y$39</f>
        <v>0</v>
      </c>
    </row>
    <row r="41" spans="1:25" ht="11.25" customHeight="1">
      <c r="A41" s="3547"/>
      <c r="B41" s="3514"/>
      <c r="C41" s="3515"/>
      <c r="D41" s="3516"/>
      <c r="E41" s="3469"/>
      <c r="F41" s="3470"/>
      <c r="G41" s="3470"/>
      <c r="H41" s="3470"/>
      <c r="I41" s="3471"/>
      <c r="J41" s="3236"/>
      <c r="K41" s="3443" t="s">
        <v>1190</v>
      </c>
      <c r="L41" s="3448"/>
      <c r="M41" s="3449"/>
      <c r="N41" s="3450"/>
      <c r="O41" s="1421" t="s">
        <v>679</v>
      </c>
      <c r="P41" s="483" t="s">
        <v>988</v>
      </c>
      <c r="Q41" s="483" t="s">
        <v>989</v>
      </c>
      <c r="R41" s="415" t="s">
        <v>679</v>
      </c>
      <c r="S41" s="3461"/>
      <c r="T41" s="3447"/>
      <c r="U41" s="3462"/>
      <c r="V41" s="3446"/>
      <c r="W41" s="3447"/>
      <c r="X41" s="2200"/>
      <c r="Y41" s="416" t="b">
        <f t="shared" ref="Y41:Y44" si="3">+$Y$39</f>
        <v>0</v>
      </c>
    </row>
    <row r="42" spans="1:25" ht="11.25" customHeight="1">
      <c r="A42" s="3547"/>
      <c r="B42" s="3514"/>
      <c r="C42" s="3515"/>
      <c r="D42" s="3516"/>
      <c r="E42" s="3469"/>
      <c r="F42" s="3470"/>
      <c r="G42" s="3470"/>
      <c r="H42" s="3470"/>
      <c r="I42" s="3471"/>
      <c r="J42" s="3236"/>
      <c r="K42" s="3444"/>
      <c r="L42" s="3440">
        <f>IF(L41="",0,HLOOKUP(L41,O41:R42,2,0))</f>
        <v>0</v>
      </c>
      <c r="M42" s="3441"/>
      <c r="N42" s="3442"/>
      <c r="O42" s="308" t="s">
        <v>679</v>
      </c>
      <c r="P42" s="316">
        <v>1</v>
      </c>
      <c r="Q42" s="316">
        <v>0.6</v>
      </c>
      <c r="R42" s="309" t="s">
        <v>679</v>
      </c>
      <c r="S42" s="3461"/>
      <c r="T42" s="3447"/>
      <c r="U42" s="3462"/>
      <c r="V42" s="3446"/>
      <c r="W42" s="3447"/>
      <c r="X42" s="2200"/>
      <c r="Y42" s="416" t="b">
        <f t="shared" si="3"/>
        <v>0</v>
      </c>
    </row>
    <row r="43" spans="1:25" ht="11.25" customHeight="1">
      <c r="A43" s="3547"/>
      <c r="B43" s="3514"/>
      <c r="C43" s="3515"/>
      <c r="D43" s="3516"/>
      <c r="E43" s="3469"/>
      <c r="F43" s="3470"/>
      <c r="G43" s="3470"/>
      <c r="H43" s="3470"/>
      <c r="I43" s="3471"/>
      <c r="J43" s="3236"/>
      <c r="K43" s="3443" t="s">
        <v>738</v>
      </c>
      <c r="L43" s="3448"/>
      <c r="M43" s="3449"/>
      <c r="N43" s="3450"/>
      <c r="O43" s="1421" t="s">
        <v>741</v>
      </c>
      <c r="P43" s="483" t="s">
        <v>712</v>
      </c>
      <c r="Q43" s="483" t="s">
        <v>743</v>
      </c>
      <c r="R43" s="415" t="s">
        <v>679</v>
      </c>
      <c r="S43" s="3461"/>
      <c r="T43" s="3447"/>
      <c r="U43" s="3462"/>
      <c r="V43" s="3446"/>
      <c r="W43" s="3447"/>
      <c r="X43" s="2200"/>
      <c r="Y43" s="416" t="b">
        <f t="shared" si="3"/>
        <v>0</v>
      </c>
    </row>
    <row r="44" spans="1:25" ht="11.25" customHeight="1">
      <c r="A44" s="3547"/>
      <c r="B44" s="3514"/>
      <c r="C44" s="3515"/>
      <c r="D44" s="3516"/>
      <c r="E44" s="3472"/>
      <c r="F44" s="3473"/>
      <c r="G44" s="3473"/>
      <c r="H44" s="3473"/>
      <c r="I44" s="3474"/>
      <c r="J44" s="3237"/>
      <c r="K44" s="3444"/>
      <c r="L44" s="3440">
        <f>IF(L43="",0,HLOOKUP(L43,O43:R44,2,0))</f>
        <v>0</v>
      </c>
      <c r="M44" s="3441"/>
      <c r="N44" s="3442"/>
      <c r="O44" s="308">
        <v>1.3</v>
      </c>
      <c r="P44" s="316">
        <v>1</v>
      </c>
      <c r="Q44" s="316">
        <v>0.7</v>
      </c>
      <c r="R44" s="309" t="s">
        <v>679</v>
      </c>
      <c r="S44" s="3463"/>
      <c r="T44" s="3439"/>
      <c r="U44" s="3459"/>
      <c r="V44" s="3460"/>
      <c r="W44" s="3439"/>
      <c r="X44" s="2200"/>
      <c r="Y44" s="416" t="b">
        <f t="shared" si="3"/>
        <v>0</v>
      </c>
    </row>
    <row r="45" spans="1:25" ht="11.25" customHeight="1">
      <c r="A45" s="3547"/>
      <c r="B45" s="3514"/>
      <c r="C45" s="3515"/>
      <c r="D45" s="3516"/>
      <c r="E45" s="3466" t="s">
        <v>274</v>
      </c>
      <c r="F45" s="3467"/>
      <c r="G45" s="3467"/>
      <c r="H45" s="3467"/>
      <c r="I45" s="3468"/>
      <c r="J45" s="3235">
        <v>314100</v>
      </c>
      <c r="K45" s="3443" t="s">
        <v>275</v>
      </c>
      <c r="L45" s="3575"/>
      <c r="M45" s="3576"/>
      <c r="N45" s="3577"/>
      <c r="O45" s="1428">
        <v>460</v>
      </c>
      <c r="P45" s="1429">
        <v>370</v>
      </c>
      <c r="Q45" s="1429">
        <v>300</v>
      </c>
      <c r="R45" s="415" t="s">
        <v>679</v>
      </c>
      <c r="S45" s="3399">
        <f>ROUNDDOWN(L46*L48,2)</f>
        <v>0</v>
      </c>
      <c r="T45" s="3438">
        <f>INT(J45*S45)</f>
        <v>0</v>
      </c>
      <c r="U45" s="3458"/>
      <c r="V45" s="3445" t="s">
        <v>750</v>
      </c>
      <c r="W45" s="3438">
        <f>INT(T45*U45)</f>
        <v>0</v>
      </c>
      <c r="X45" s="2200"/>
      <c r="Y45" s="416" t="b">
        <f>COUNTA($L45,$L47,$U45)&lt;&gt;0</f>
        <v>0</v>
      </c>
    </row>
    <row r="46" spans="1:25" ht="11.25" customHeight="1">
      <c r="A46" s="3547"/>
      <c r="B46" s="3514"/>
      <c r="C46" s="3515"/>
      <c r="D46" s="3516"/>
      <c r="E46" s="3469"/>
      <c r="F46" s="3470"/>
      <c r="G46" s="3470"/>
      <c r="H46" s="3470"/>
      <c r="I46" s="3471"/>
      <c r="J46" s="3236"/>
      <c r="K46" s="3444"/>
      <c r="L46" s="3440">
        <f>IF(L45="",0,ROUNDDOWN(IF(L45&gt;P45,P46+(O46-P46)/(O45-P45)*(L45-P45),P46-(P46-Q46)/(P45-Q45)*(P45-L45)),2))</f>
        <v>0</v>
      </c>
      <c r="M46" s="3441"/>
      <c r="N46" s="3442"/>
      <c r="O46" s="308">
        <v>1.1000000000000001</v>
      </c>
      <c r="P46" s="316">
        <v>1</v>
      </c>
      <c r="Q46" s="316">
        <v>0.85</v>
      </c>
      <c r="R46" s="309" t="s">
        <v>679</v>
      </c>
      <c r="S46" s="3461"/>
      <c r="T46" s="3447"/>
      <c r="U46" s="3462"/>
      <c r="V46" s="3446"/>
      <c r="W46" s="3447"/>
      <c r="X46" s="2200"/>
      <c r="Y46" s="416" t="b">
        <f>+$Y$45</f>
        <v>0</v>
      </c>
    </row>
    <row r="47" spans="1:25" ht="11.25" customHeight="1">
      <c r="A47" s="3547"/>
      <c r="B47" s="3514"/>
      <c r="C47" s="3515"/>
      <c r="D47" s="3516"/>
      <c r="E47" s="3469"/>
      <c r="F47" s="3470"/>
      <c r="G47" s="3470"/>
      <c r="H47" s="3470"/>
      <c r="I47" s="3471"/>
      <c r="J47" s="3236"/>
      <c r="K47" s="3443" t="s">
        <v>738</v>
      </c>
      <c r="L47" s="3448"/>
      <c r="M47" s="3449"/>
      <c r="N47" s="3450"/>
      <c r="O47" s="1421" t="s">
        <v>741</v>
      </c>
      <c r="P47" s="483" t="s">
        <v>712</v>
      </c>
      <c r="Q47" s="483" t="s">
        <v>743</v>
      </c>
      <c r="R47" s="415" t="s">
        <v>679</v>
      </c>
      <c r="S47" s="3461"/>
      <c r="T47" s="3447"/>
      <c r="U47" s="3462"/>
      <c r="V47" s="3446"/>
      <c r="W47" s="3447"/>
      <c r="X47" s="2200"/>
      <c r="Y47" s="416" t="b">
        <f t="shared" ref="Y47:Y48" si="4">+$Y$45</f>
        <v>0</v>
      </c>
    </row>
    <row r="48" spans="1:25" ht="11.25" customHeight="1">
      <c r="A48" s="3547"/>
      <c r="B48" s="3544"/>
      <c r="C48" s="3545"/>
      <c r="D48" s="3546"/>
      <c r="E48" s="3472"/>
      <c r="F48" s="3473"/>
      <c r="G48" s="3473"/>
      <c r="H48" s="3473"/>
      <c r="I48" s="3474"/>
      <c r="J48" s="3237"/>
      <c r="K48" s="3444"/>
      <c r="L48" s="3440">
        <f>IF(L47="",0,HLOOKUP(L47,O47:R48,2,0))</f>
        <v>0</v>
      </c>
      <c r="M48" s="3441"/>
      <c r="N48" s="3442"/>
      <c r="O48" s="308">
        <v>1.3</v>
      </c>
      <c r="P48" s="316">
        <v>1</v>
      </c>
      <c r="Q48" s="316">
        <v>0.7</v>
      </c>
      <c r="R48" s="309" t="s">
        <v>679</v>
      </c>
      <c r="S48" s="3463"/>
      <c r="T48" s="3439"/>
      <c r="U48" s="3459"/>
      <c r="V48" s="3460"/>
      <c r="W48" s="3439"/>
      <c r="X48" s="2200"/>
      <c r="Y48" s="416" t="b">
        <f t="shared" si="4"/>
        <v>0</v>
      </c>
    </row>
    <row r="49" spans="1:25">
      <c r="A49" s="3547"/>
      <c r="B49" s="3466" t="s">
        <v>1244</v>
      </c>
      <c r="C49" s="3467"/>
      <c r="D49" s="3468"/>
      <c r="E49" s="3480" t="s">
        <v>1230</v>
      </c>
      <c r="F49" s="3466" t="s">
        <v>276</v>
      </c>
      <c r="G49" s="3468"/>
      <c r="H49" s="3466" t="s">
        <v>277</v>
      </c>
      <c r="I49" s="3468"/>
      <c r="J49" s="3235">
        <v>40650</v>
      </c>
      <c r="K49" s="3443" t="s">
        <v>738</v>
      </c>
      <c r="L49" s="3448"/>
      <c r="M49" s="3449"/>
      <c r="N49" s="3450"/>
      <c r="O49" s="1421" t="s">
        <v>741</v>
      </c>
      <c r="P49" s="483" t="s">
        <v>712</v>
      </c>
      <c r="Q49" s="483" t="s">
        <v>743</v>
      </c>
      <c r="R49" s="415" t="s">
        <v>679</v>
      </c>
      <c r="S49" s="3399">
        <f>L50</f>
        <v>0</v>
      </c>
      <c r="T49" s="3438">
        <f>INT(J49*S49)</f>
        <v>0</v>
      </c>
      <c r="U49" s="3458"/>
      <c r="V49" s="3445" t="s">
        <v>750</v>
      </c>
      <c r="W49" s="3438">
        <f>INT(T49*U49)</f>
        <v>0</v>
      </c>
      <c r="X49" s="2200"/>
      <c r="Y49" s="416" t="b">
        <f>COUNTA($L49,$U49)&lt;&gt;0</f>
        <v>0</v>
      </c>
    </row>
    <row r="50" spans="1:25">
      <c r="A50" s="3547"/>
      <c r="B50" s="3469"/>
      <c r="C50" s="3470"/>
      <c r="D50" s="3471"/>
      <c r="E50" s="3481"/>
      <c r="F50" s="3469"/>
      <c r="G50" s="3471"/>
      <c r="H50" s="3472"/>
      <c r="I50" s="3474"/>
      <c r="J50" s="3237"/>
      <c r="K50" s="3444"/>
      <c r="L50" s="3440">
        <f>IF(L49="",0,HLOOKUP(L49,O49:R50,2,0))</f>
        <v>0</v>
      </c>
      <c r="M50" s="3441"/>
      <c r="N50" s="3442"/>
      <c r="O50" s="308">
        <v>1.5</v>
      </c>
      <c r="P50" s="316">
        <v>1</v>
      </c>
      <c r="Q50" s="316">
        <v>0.8</v>
      </c>
      <c r="R50" s="309" t="s">
        <v>679</v>
      </c>
      <c r="S50" s="3463"/>
      <c r="T50" s="3439"/>
      <c r="U50" s="3459"/>
      <c r="V50" s="3460"/>
      <c r="W50" s="3439"/>
      <c r="X50" s="2200"/>
      <c r="Y50" s="416" t="b">
        <f>+$Y49</f>
        <v>0</v>
      </c>
    </row>
    <row r="51" spans="1:25">
      <c r="A51" s="3547"/>
      <c r="B51" s="3469"/>
      <c r="C51" s="3470"/>
      <c r="D51" s="3471"/>
      <c r="E51" s="3481"/>
      <c r="F51" s="3469"/>
      <c r="G51" s="3471"/>
      <c r="H51" s="3466" t="s">
        <v>278</v>
      </c>
      <c r="I51" s="3468"/>
      <c r="J51" s="3235">
        <v>47690</v>
      </c>
      <c r="K51" s="3443" t="s">
        <v>738</v>
      </c>
      <c r="L51" s="3448"/>
      <c r="M51" s="3449"/>
      <c r="N51" s="3450"/>
      <c r="O51" s="1421" t="s">
        <v>741</v>
      </c>
      <c r="P51" s="483" t="s">
        <v>712</v>
      </c>
      <c r="Q51" s="483" t="s">
        <v>743</v>
      </c>
      <c r="R51" s="415" t="s">
        <v>679</v>
      </c>
      <c r="S51" s="3399">
        <f>L52</f>
        <v>0</v>
      </c>
      <c r="T51" s="3438">
        <f>INT(J51*S51)</f>
        <v>0</v>
      </c>
      <c r="U51" s="3458"/>
      <c r="V51" s="3445" t="s">
        <v>750</v>
      </c>
      <c r="W51" s="3438">
        <f>INT(T51*U51)</f>
        <v>0</v>
      </c>
      <c r="X51" s="2200"/>
      <c r="Y51" s="416" t="b">
        <f>COUNTA($L51,$U51)&lt;&gt;0</f>
        <v>0</v>
      </c>
    </row>
    <row r="52" spans="1:25">
      <c r="A52" s="3547"/>
      <c r="B52" s="3469"/>
      <c r="C52" s="3470"/>
      <c r="D52" s="3471"/>
      <c r="E52" s="3481"/>
      <c r="F52" s="3472"/>
      <c r="G52" s="3474"/>
      <c r="H52" s="3472"/>
      <c r="I52" s="3474"/>
      <c r="J52" s="3237"/>
      <c r="K52" s="3444"/>
      <c r="L52" s="3440">
        <f>IF(L51="",0,HLOOKUP(L51,O51:R52,2,0))</f>
        <v>0</v>
      </c>
      <c r="M52" s="3441"/>
      <c r="N52" s="3442"/>
      <c r="O52" s="308">
        <v>1.5</v>
      </c>
      <c r="P52" s="316">
        <v>1</v>
      </c>
      <c r="Q52" s="316">
        <v>0.8</v>
      </c>
      <c r="R52" s="309" t="s">
        <v>679</v>
      </c>
      <c r="S52" s="3463"/>
      <c r="T52" s="3439"/>
      <c r="U52" s="3459"/>
      <c r="V52" s="3460"/>
      <c r="W52" s="3439"/>
      <c r="X52" s="2200"/>
      <c r="Y52" s="416" t="b">
        <f>+$Y51</f>
        <v>0</v>
      </c>
    </row>
    <row r="53" spans="1:25">
      <c r="A53" s="3547"/>
      <c r="B53" s="3469"/>
      <c r="C53" s="3470"/>
      <c r="D53" s="3471"/>
      <c r="E53" s="3481"/>
      <c r="F53" s="3466" t="s">
        <v>279</v>
      </c>
      <c r="G53" s="3468"/>
      <c r="H53" s="3466" t="s">
        <v>277</v>
      </c>
      <c r="I53" s="3468"/>
      <c r="J53" s="3235">
        <v>11410</v>
      </c>
      <c r="K53" s="3443" t="s">
        <v>738</v>
      </c>
      <c r="L53" s="3448"/>
      <c r="M53" s="3449"/>
      <c r="N53" s="3450"/>
      <c r="O53" s="1421" t="s">
        <v>741</v>
      </c>
      <c r="P53" s="483" t="s">
        <v>712</v>
      </c>
      <c r="Q53" s="483" t="s">
        <v>743</v>
      </c>
      <c r="R53" s="415" t="s">
        <v>679</v>
      </c>
      <c r="S53" s="3399">
        <f>L54</f>
        <v>0</v>
      </c>
      <c r="T53" s="3438">
        <f>INT(J53*S53)</f>
        <v>0</v>
      </c>
      <c r="U53" s="3458"/>
      <c r="V53" s="3445" t="s">
        <v>750</v>
      </c>
      <c r="W53" s="3438">
        <f>INT(T53*U53)</f>
        <v>0</v>
      </c>
      <c r="X53" s="2200"/>
      <c r="Y53" s="416" t="b">
        <f>COUNTA($L53,$U53)&lt;&gt;0</f>
        <v>0</v>
      </c>
    </row>
    <row r="54" spans="1:25">
      <c r="A54" s="3547"/>
      <c r="B54" s="3469"/>
      <c r="C54" s="3470"/>
      <c r="D54" s="3471"/>
      <c r="E54" s="3481"/>
      <c r="F54" s="3469"/>
      <c r="G54" s="3471"/>
      <c r="H54" s="3472"/>
      <c r="I54" s="3474"/>
      <c r="J54" s="3237"/>
      <c r="K54" s="3444"/>
      <c r="L54" s="3440">
        <f>IF(L53="",0,HLOOKUP(L53,O53:R54,2,0))</f>
        <v>0</v>
      </c>
      <c r="M54" s="3441"/>
      <c r="N54" s="3442"/>
      <c r="O54" s="308">
        <v>1.5</v>
      </c>
      <c r="P54" s="316">
        <v>1</v>
      </c>
      <c r="Q54" s="316">
        <v>0.8</v>
      </c>
      <c r="R54" s="309" t="s">
        <v>679</v>
      </c>
      <c r="S54" s="3463"/>
      <c r="T54" s="3439"/>
      <c r="U54" s="3459"/>
      <c r="V54" s="3460"/>
      <c r="W54" s="3439"/>
      <c r="X54" s="2200"/>
      <c r="Y54" s="416" t="b">
        <f>+$Y53</f>
        <v>0</v>
      </c>
    </row>
    <row r="55" spans="1:25">
      <c r="A55" s="3547"/>
      <c r="B55" s="3469"/>
      <c r="C55" s="3470"/>
      <c r="D55" s="3471"/>
      <c r="E55" s="3481"/>
      <c r="F55" s="3469"/>
      <c r="G55" s="3471"/>
      <c r="H55" s="3466" t="s">
        <v>278</v>
      </c>
      <c r="I55" s="3468"/>
      <c r="J55" s="3235">
        <v>39500</v>
      </c>
      <c r="K55" s="3443" t="s">
        <v>738</v>
      </c>
      <c r="L55" s="3448"/>
      <c r="M55" s="3449"/>
      <c r="N55" s="3450"/>
      <c r="O55" s="1421" t="s">
        <v>741</v>
      </c>
      <c r="P55" s="483" t="s">
        <v>712</v>
      </c>
      <c r="Q55" s="483" t="s">
        <v>743</v>
      </c>
      <c r="R55" s="415" t="s">
        <v>679</v>
      </c>
      <c r="S55" s="3399">
        <f>L56</f>
        <v>0</v>
      </c>
      <c r="T55" s="3438">
        <f>INT(J55*S55)</f>
        <v>0</v>
      </c>
      <c r="U55" s="3458"/>
      <c r="V55" s="3445" t="s">
        <v>750</v>
      </c>
      <c r="W55" s="3438">
        <f>INT(T55*U55)</f>
        <v>0</v>
      </c>
      <c r="X55" s="2200"/>
      <c r="Y55" s="416" t="b">
        <f>COUNTA($L55,$U55)&lt;&gt;0</f>
        <v>0</v>
      </c>
    </row>
    <row r="56" spans="1:25">
      <c r="A56" s="3547"/>
      <c r="B56" s="3469"/>
      <c r="C56" s="3470"/>
      <c r="D56" s="3471"/>
      <c r="E56" s="3481"/>
      <c r="F56" s="3472"/>
      <c r="G56" s="3474"/>
      <c r="H56" s="3472"/>
      <c r="I56" s="3474"/>
      <c r="J56" s="3237"/>
      <c r="K56" s="3444"/>
      <c r="L56" s="3440">
        <f>IF(L55="",0,HLOOKUP(L55,O55:R56,2,0))</f>
        <v>0</v>
      </c>
      <c r="M56" s="3441"/>
      <c r="N56" s="3442"/>
      <c r="O56" s="308">
        <v>1.5</v>
      </c>
      <c r="P56" s="316">
        <v>1</v>
      </c>
      <c r="Q56" s="316">
        <v>0.8</v>
      </c>
      <c r="R56" s="309" t="s">
        <v>679</v>
      </c>
      <c r="S56" s="3463"/>
      <c r="T56" s="3439"/>
      <c r="U56" s="3459"/>
      <c r="V56" s="3460"/>
      <c r="W56" s="3439"/>
      <c r="X56" s="2200"/>
      <c r="Y56" s="416" t="b">
        <f>+$Y55</f>
        <v>0</v>
      </c>
    </row>
    <row r="57" spans="1:25">
      <c r="A57" s="3547"/>
      <c r="B57" s="3469"/>
      <c r="C57" s="3470"/>
      <c r="D57" s="3471"/>
      <c r="E57" s="3481"/>
      <c r="F57" s="3466" t="s">
        <v>280</v>
      </c>
      <c r="G57" s="3468"/>
      <c r="H57" s="3466" t="s">
        <v>278</v>
      </c>
      <c r="I57" s="3468"/>
      <c r="J57" s="3235">
        <v>64400</v>
      </c>
      <c r="K57" s="3443" t="s">
        <v>738</v>
      </c>
      <c r="L57" s="3448"/>
      <c r="M57" s="3449"/>
      <c r="N57" s="3450"/>
      <c r="O57" s="1421" t="s">
        <v>741</v>
      </c>
      <c r="P57" s="483" t="s">
        <v>712</v>
      </c>
      <c r="Q57" s="483" t="s">
        <v>743</v>
      </c>
      <c r="R57" s="415" t="s">
        <v>679</v>
      </c>
      <c r="S57" s="3399">
        <f>L58</f>
        <v>0</v>
      </c>
      <c r="T57" s="3438">
        <f>INT(J57*S57)</f>
        <v>0</v>
      </c>
      <c r="U57" s="3458"/>
      <c r="V57" s="3445" t="s">
        <v>750</v>
      </c>
      <c r="W57" s="3438">
        <f>INT(T57*U57)</f>
        <v>0</v>
      </c>
      <c r="X57" s="2200"/>
      <c r="Y57" s="416" t="b">
        <f>COUNTA($L57,$U57)&lt;&gt;0</f>
        <v>0</v>
      </c>
    </row>
    <row r="58" spans="1:25">
      <c r="A58" s="3547"/>
      <c r="B58" s="3469"/>
      <c r="C58" s="3470"/>
      <c r="D58" s="3471"/>
      <c r="E58" s="3482"/>
      <c r="F58" s="3472"/>
      <c r="G58" s="3474"/>
      <c r="H58" s="3472"/>
      <c r="I58" s="3474"/>
      <c r="J58" s="3237"/>
      <c r="K58" s="3444"/>
      <c r="L58" s="3440">
        <f>IF(L57="",0,HLOOKUP(L57,O57:R58,2,0))</f>
        <v>0</v>
      </c>
      <c r="M58" s="3441"/>
      <c r="N58" s="3442"/>
      <c r="O58" s="308">
        <v>1.5</v>
      </c>
      <c r="P58" s="316">
        <v>1</v>
      </c>
      <c r="Q58" s="316">
        <v>0.8</v>
      </c>
      <c r="R58" s="309" t="s">
        <v>679</v>
      </c>
      <c r="S58" s="3463"/>
      <c r="T58" s="3439"/>
      <c r="U58" s="3459"/>
      <c r="V58" s="3460"/>
      <c r="W58" s="3439"/>
      <c r="X58" s="2200"/>
      <c r="Y58" s="416" t="b">
        <f>+$Y57</f>
        <v>0</v>
      </c>
    </row>
    <row r="59" spans="1:25">
      <c r="A59" s="3547"/>
      <c r="B59" s="3469"/>
      <c r="C59" s="3470"/>
      <c r="D59" s="3471"/>
      <c r="E59" s="3466" t="s">
        <v>1229</v>
      </c>
      <c r="F59" s="3467"/>
      <c r="G59" s="3467"/>
      <c r="H59" s="3467"/>
      <c r="I59" s="3468"/>
      <c r="J59" s="3235">
        <v>46700</v>
      </c>
      <c r="K59" s="3443" t="s">
        <v>738</v>
      </c>
      <c r="L59" s="3448"/>
      <c r="M59" s="3449"/>
      <c r="N59" s="3450"/>
      <c r="O59" s="1421" t="s">
        <v>741</v>
      </c>
      <c r="P59" s="483" t="s">
        <v>712</v>
      </c>
      <c r="Q59" s="483" t="s">
        <v>743</v>
      </c>
      <c r="R59" s="415" t="s">
        <v>5460</v>
      </c>
      <c r="S59" s="3399">
        <f>L60</f>
        <v>0</v>
      </c>
      <c r="T59" s="3438">
        <f>INT(J59*S59)</f>
        <v>0</v>
      </c>
      <c r="U59" s="3458"/>
      <c r="V59" s="3445" t="s">
        <v>750</v>
      </c>
      <c r="W59" s="3438">
        <f>INT(T59*U59)</f>
        <v>0</v>
      </c>
      <c r="X59" s="2200"/>
      <c r="Y59" s="416" t="b">
        <f>COUNTA($L59,$U59)&lt;&gt;0</f>
        <v>0</v>
      </c>
    </row>
    <row r="60" spans="1:25">
      <c r="A60" s="3547"/>
      <c r="B60" s="3469"/>
      <c r="C60" s="3470"/>
      <c r="D60" s="3471"/>
      <c r="E60" s="3472"/>
      <c r="F60" s="3473"/>
      <c r="G60" s="3473"/>
      <c r="H60" s="3473"/>
      <c r="I60" s="3474"/>
      <c r="J60" s="3237"/>
      <c r="K60" s="3444"/>
      <c r="L60" s="3440">
        <f>IF(L59="",0,HLOOKUP(L59,O59:R60,2,0))</f>
        <v>0</v>
      </c>
      <c r="M60" s="3441"/>
      <c r="N60" s="3442"/>
      <c r="O60" s="308">
        <v>1.5</v>
      </c>
      <c r="P60" s="316">
        <v>1</v>
      </c>
      <c r="Q60" s="316">
        <v>0.7</v>
      </c>
      <c r="R60" s="309">
        <v>0.55000000000000004</v>
      </c>
      <c r="S60" s="3463"/>
      <c r="T60" s="3439"/>
      <c r="U60" s="3459"/>
      <c r="V60" s="3460"/>
      <c r="W60" s="3439"/>
      <c r="X60" s="2200"/>
      <c r="Y60" s="416" t="b">
        <f>+$Y59</f>
        <v>0</v>
      </c>
    </row>
    <row r="61" spans="1:25">
      <c r="A61" s="3547"/>
      <c r="B61" s="3469"/>
      <c r="C61" s="3470"/>
      <c r="D61" s="3471"/>
      <c r="E61" s="3466" t="s">
        <v>1228</v>
      </c>
      <c r="F61" s="3467"/>
      <c r="G61" s="3467"/>
      <c r="H61" s="3467"/>
      <c r="I61" s="3468"/>
      <c r="J61" s="3235">
        <v>66630</v>
      </c>
      <c r="K61" s="3443" t="s">
        <v>5637</v>
      </c>
      <c r="L61" s="3579"/>
      <c r="M61" s="3580"/>
      <c r="N61" s="3581"/>
      <c r="O61" s="1430">
        <v>120</v>
      </c>
      <c r="P61" s="1431">
        <v>75</v>
      </c>
      <c r="Q61" s="1431">
        <v>60</v>
      </c>
      <c r="R61" s="415" t="s">
        <v>679</v>
      </c>
      <c r="S61" s="3399">
        <f>ROUNDDOWN(L62*L64,2)</f>
        <v>0</v>
      </c>
      <c r="T61" s="3438">
        <f>INT(J61*S61)</f>
        <v>0</v>
      </c>
      <c r="U61" s="3458"/>
      <c r="V61" s="3445" t="s">
        <v>750</v>
      </c>
      <c r="W61" s="3438">
        <f>INT(T61*U61)</f>
        <v>0</v>
      </c>
      <c r="X61" s="2200"/>
      <c r="Y61" s="416" t="b">
        <f>COUNTA($L61,$L63,$U61)&lt;&gt;0</f>
        <v>0</v>
      </c>
    </row>
    <row r="62" spans="1:25">
      <c r="A62" s="3547"/>
      <c r="B62" s="3469"/>
      <c r="C62" s="3470"/>
      <c r="D62" s="3471"/>
      <c r="E62" s="3469"/>
      <c r="F62" s="3470"/>
      <c r="G62" s="3470"/>
      <c r="H62" s="3470"/>
      <c r="I62" s="3471"/>
      <c r="J62" s="3236"/>
      <c r="K62" s="3578"/>
      <c r="L62" s="3440">
        <f>IF(L61="",0,ROUNDDOWN(IF(L61&gt;P61,P62+(O62-P62)/(O61-P61)*(L61-P61),P62-(P62-Q62)/(P61-Q61)*(P61-L61)),2))</f>
        <v>0</v>
      </c>
      <c r="M62" s="3441"/>
      <c r="N62" s="3442"/>
      <c r="O62" s="308">
        <v>1.4</v>
      </c>
      <c r="P62" s="316">
        <v>1</v>
      </c>
      <c r="Q62" s="316">
        <v>0.9</v>
      </c>
      <c r="R62" s="309" t="s">
        <v>679</v>
      </c>
      <c r="S62" s="3461"/>
      <c r="T62" s="3447"/>
      <c r="U62" s="3462"/>
      <c r="V62" s="3446"/>
      <c r="W62" s="3447"/>
      <c r="X62" s="2200"/>
      <c r="Y62" s="416" t="b">
        <f>+$Y$61</f>
        <v>0</v>
      </c>
    </row>
    <row r="63" spans="1:25">
      <c r="A63" s="3547"/>
      <c r="B63" s="3469"/>
      <c r="C63" s="3470"/>
      <c r="D63" s="3471"/>
      <c r="E63" s="3469"/>
      <c r="F63" s="3470"/>
      <c r="G63" s="3470"/>
      <c r="H63" s="3470"/>
      <c r="I63" s="3471"/>
      <c r="J63" s="3236"/>
      <c r="K63" s="3443" t="s">
        <v>738</v>
      </c>
      <c r="L63" s="3448"/>
      <c r="M63" s="3449"/>
      <c r="N63" s="3450"/>
      <c r="O63" s="1421" t="s">
        <v>741</v>
      </c>
      <c r="P63" s="483" t="s">
        <v>5671</v>
      </c>
      <c r="Q63" s="483" t="s">
        <v>5636</v>
      </c>
      <c r="R63" s="415" t="s">
        <v>743</v>
      </c>
      <c r="S63" s="3461"/>
      <c r="T63" s="3447"/>
      <c r="U63" s="3462"/>
      <c r="V63" s="3446"/>
      <c r="W63" s="3447"/>
      <c r="X63" s="2200"/>
      <c r="Y63" s="416" t="b">
        <f>+$Y$61</f>
        <v>0</v>
      </c>
    </row>
    <row r="64" spans="1:25">
      <c r="A64" s="3547"/>
      <c r="B64" s="3469"/>
      <c r="C64" s="3470"/>
      <c r="D64" s="3471"/>
      <c r="E64" s="3472"/>
      <c r="F64" s="3473"/>
      <c r="G64" s="3473"/>
      <c r="H64" s="3473"/>
      <c r="I64" s="3474"/>
      <c r="J64" s="3237"/>
      <c r="K64" s="3444"/>
      <c r="L64" s="3440">
        <f>IF(L63="",0,HLOOKUP(L63,O63:R64,2,0))</f>
        <v>0</v>
      </c>
      <c r="M64" s="3441"/>
      <c r="N64" s="3442"/>
      <c r="O64" s="308">
        <v>2</v>
      </c>
      <c r="P64" s="316">
        <v>1</v>
      </c>
      <c r="Q64" s="316">
        <v>0.9</v>
      </c>
      <c r="R64" s="309">
        <v>0.7</v>
      </c>
      <c r="S64" s="3463"/>
      <c r="T64" s="3439"/>
      <c r="U64" s="3459"/>
      <c r="V64" s="3460"/>
      <c r="W64" s="3439"/>
      <c r="X64" s="2200"/>
      <c r="Y64" s="416" t="b">
        <f>+$Y$61</f>
        <v>0</v>
      </c>
    </row>
    <row r="65" spans="1:25">
      <c r="A65" s="3547"/>
      <c r="B65" s="3469"/>
      <c r="C65" s="3470"/>
      <c r="D65" s="3471"/>
      <c r="E65" s="3466" t="s">
        <v>5463</v>
      </c>
      <c r="F65" s="3467"/>
      <c r="G65" s="3467"/>
      <c r="H65" s="3467"/>
      <c r="I65" s="3468"/>
      <c r="J65" s="3235">
        <v>54360</v>
      </c>
      <c r="K65" s="3443" t="s">
        <v>5637</v>
      </c>
      <c r="L65" s="3448"/>
      <c r="M65" s="3449"/>
      <c r="N65" s="3450"/>
      <c r="O65" s="1430">
        <v>50</v>
      </c>
      <c r="P65" s="1431">
        <v>45</v>
      </c>
      <c r="Q65" s="483" t="s">
        <v>679</v>
      </c>
      <c r="R65" s="415" t="s">
        <v>679</v>
      </c>
      <c r="S65" s="3399">
        <f>ROUNDDOWN(L66*L68,2)</f>
        <v>0</v>
      </c>
      <c r="T65" s="3438">
        <f>INT(J65*S65)</f>
        <v>0</v>
      </c>
      <c r="U65" s="3458"/>
      <c r="V65" s="3445" t="s">
        <v>750</v>
      </c>
      <c r="W65" s="3438">
        <f>INT(T65*U65)</f>
        <v>0</v>
      </c>
      <c r="X65" s="2200"/>
      <c r="Y65" s="416" t="b">
        <f>COUNTA($L65,$L67,$U65)&lt;&gt;0</f>
        <v>0</v>
      </c>
    </row>
    <row r="66" spans="1:25">
      <c r="A66" s="3547"/>
      <c r="B66" s="3469"/>
      <c r="C66" s="3470"/>
      <c r="D66" s="3471"/>
      <c r="E66" s="3469"/>
      <c r="F66" s="3470"/>
      <c r="G66" s="3470"/>
      <c r="H66" s="3470"/>
      <c r="I66" s="3471"/>
      <c r="J66" s="3236"/>
      <c r="K66" s="3578"/>
      <c r="L66" s="3440">
        <f>IF(L65="",0,HLOOKUP(L65,O65:R66,2,0))</f>
        <v>0</v>
      </c>
      <c r="M66" s="3441"/>
      <c r="N66" s="3442"/>
      <c r="O66" s="308">
        <v>1</v>
      </c>
      <c r="P66" s="316">
        <v>0.9</v>
      </c>
      <c r="Q66" s="316" t="s">
        <v>679</v>
      </c>
      <c r="R66" s="309" t="s">
        <v>679</v>
      </c>
      <c r="S66" s="3461"/>
      <c r="T66" s="3447"/>
      <c r="U66" s="3462"/>
      <c r="V66" s="3446"/>
      <c r="W66" s="3447"/>
      <c r="X66" s="2200"/>
      <c r="Y66" s="416" t="b">
        <f>+$Y$65</f>
        <v>0</v>
      </c>
    </row>
    <row r="67" spans="1:25">
      <c r="A67" s="3547"/>
      <c r="B67" s="3469"/>
      <c r="C67" s="3470"/>
      <c r="D67" s="3471"/>
      <c r="E67" s="3469"/>
      <c r="F67" s="3470"/>
      <c r="G67" s="3470"/>
      <c r="H67" s="3470"/>
      <c r="I67" s="3471"/>
      <c r="J67" s="3236"/>
      <c r="K67" s="3443" t="s">
        <v>738</v>
      </c>
      <c r="L67" s="3448"/>
      <c r="M67" s="3449"/>
      <c r="N67" s="3450"/>
      <c r="O67" s="1421" t="s">
        <v>741</v>
      </c>
      <c r="P67" s="483" t="s">
        <v>712</v>
      </c>
      <c r="Q67" s="483" t="s">
        <v>743</v>
      </c>
      <c r="R67" s="415" t="s">
        <v>679</v>
      </c>
      <c r="S67" s="3461"/>
      <c r="T67" s="3447"/>
      <c r="U67" s="3462"/>
      <c r="V67" s="3446"/>
      <c r="W67" s="3447"/>
      <c r="X67" s="2200"/>
      <c r="Y67" s="416" t="b">
        <f>+$Y$65</f>
        <v>0</v>
      </c>
    </row>
    <row r="68" spans="1:25">
      <c r="A68" s="3547"/>
      <c r="B68" s="3469"/>
      <c r="C68" s="3470"/>
      <c r="D68" s="3471"/>
      <c r="E68" s="3472"/>
      <c r="F68" s="3473"/>
      <c r="G68" s="3473"/>
      <c r="H68" s="3473"/>
      <c r="I68" s="3474"/>
      <c r="J68" s="3237"/>
      <c r="K68" s="3444"/>
      <c r="L68" s="3440">
        <f>IF(L67="",0,HLOOKUP(L67,O67:R68,2,0))</f>
        <v>0</v>
      </c>
      <c r="M68" s="3441"/>
      <c r="N68" s="3442"/>
      <c r="O68" s="308">
        <v>1.3</v>
      </c>
      <c r="P68" s="316">
        <v>1</v>
      </c>
      <c r="Q68" s="316">
        <v>0.7</v>
      </c>
      <c r="R68" s="309" t="s">
        <v>679</v>
      </c>
      <c r="S68" s="3463"/>
      <c r="T68" s="3439"/>
      <c r="U68" s="3459"/>
      <c r="V68" s="3460"/>
      <c r="W68" s="3439"/>
      <c r="X68" s="2200"/>
      <c r="Y68" s="416" t="b">
        <f>+$Y$65</f>
        <v>0</v>
      </c>
    </row>
    <row r="69" spans="1:25">
      <c r="A69" s="3547"/>
      <c r="B69" s="3469"/>
      <c r="C69" s="3470"/>
      <c r="D69" s="3471"/>
      <c r="E69" s="3466" t="s">
        <v>1519</v>
      </c>
      <c r="F69" s="3495"/>
      <c r="G69" s="3496"/>
      <c r="H69" s="3483" t="s">
        <v>281</v>
      </c>
      <c r="I69" s="3333"/>
      <c r="J69" s="3235">
        <v>314120</v>
      </c>
      <c r="K69" s="3443" t="s">
        <v>272</v>
      </c>
      <c r="L69" s="3448"/>
      <c r="M69" s="3449"/>
      <c r="N69" s="3450"/>
      <c r="O69" s="1421" t="s">
        <v>282</v>
      </c>
      <c r="P69" s="483" t="s">
        <v>283</v>
      </c>
      <c r="Q69" s="483" t="s">
        <v>284</v>
      </c>
      <c r="R69" s="415" t="s">
        <v>679</v>
      </c>
      <c r="S69" s="3399">
        <f>ROUNDDOWN(L70*L72,2)</f>
        <v>0</v>
      </c>
      <c r="T69" s="3438">
        <f>INT(J69*S69)</f>
        <v>0</v>
      </c>
      <c r="U69" s="3458"/>
      <c r="V69" s="3445" t="s">
        <v>750</v>
      </c>
      <c r="W69" s="3438">
        <f>INT(T69*U69)</f>
        <v>0</v>
      </c>
      <c r="X69" s="2200"/>
      <c r="Y69" s="416" t="b">
        <f>COUNTA($L69,$L71,$U69)&lt;&gt;0</f>
        <v>0</v>
      </c>
    </row>
    <row r="70" spans="1:25">
      <c r="A70" s="3547"/>
      <c r="B70" s="3469"/>
      <c r="C70" s="3470"/>
      <c r="D70" s="3471"/>
      <c r="E70" s="3497"/>
      <c r="F70" s="3498"/>
      <c r="G70" s="3499"/>
      <c r="H70" s="3484"/>
      <c r="I70" s="3485"/>
      <c r="J70" s="3236"/>
      <c r="K70" s="3444"/>
      <c r="L70" s="3440">
        <f>IF(L69="",0,HLOOKUP(L69,O69:R70,2,0))</f>
        <v>0</v>
      </c>
      <c r="M70" s="3441"/>
      <c r="N70" s="3442"/>
      <c r="O70" s="308">
        <v>1.5</v>
      </c>
      <c r="P70" s="316">
        <v>1</v>
      </c>
      <c r="Q70" s="316">
        <v>0.8</v>
      </c>
      <c r="R70" s="309" t="s">
        <v>679</v>
      </c>
      <c r="S70" s="3461"/>
      <c r="T70" s="3447"/>
      <c r="U70" s="3462"/>
      <c r="V70" s="3446"/>
      <c r="W70" s="3447"/>
      <c r="X70" s="2200"/>
      <c r="Y70" s="416" t="b">
        <f>+$Y$69</f>
        <v>0</v>
      </c>
    </row>
    <row r="71" spans="1:25">
      <c r="A71" s="3547"/>
      <c r="B71" s="3469"/>
      <c r="C71" s="3470"/>
      <c r="D71" s="3471"/>
      <c r="E71" s="3497"/>
      <c r="F71" s="3498"/>
      <c r="G71" s="3499"/>
      <c r="H71" s="3484"/>
      <c r="I71" s="3485"/>
      <c r="J71" s="3236"/>
      <c r="K71" s="3443" t="s">
        <v>738</v>
      </c>
      <c r="L71" s="3448"/>
      <c r="M71" s="3449"/>
      <c r="N71" s="3450"/>
      <c r="O71" s="1421" t="s">
        <v>741</v>
      </c>
      <c r="P71" s="483" t="s">
        <v>712</v>
      </c>
      <c r="Q71" s="483" t="s">
        <v>743</v>
      </c>
      <c r="R71" s="415" t="s">
        <v>679</v>
      </c>
      <c r="S71" s="3461"/>
      <c r="T71" s="3447"/>
      <c r="U71" s="3462"/>
      <c r="V71" s="3446"/>
      <c r="W71" s="3447"/>
      <c r="X71" s="2200"/>
      <c r="Y71" s="416" t="b">
        <f>+$Y$69</f>
        <v>0</v>
      </c>
    </row>
    <row r="72" spans="1:25">
      <c r="A72" s="3547"/>
      <c r="B72" s="3469"/>
      <c r="C72" s="3470"/>
      <c r="D72" s="3471"/>
      <c r="E72" s="3497"/>
      <c r="F72" s="3498"/>
      <c r="G72" s="3499"/>
      <c r="H72" s="3417"/>
      <c r="I72" s="3347"/>
      <c r="J72" s="3237"/>
      <c r="K72" s="3444"/>
      <c r="L72" s="3440">
        <f>IF(L71="",0,HLOOKUP(L71,O71:R72,2,0))</f>
        <v>0</v>
      </c>
      <c r="M72" s="3441"/>
      <c r="N72" s="3442"/>
      <c r="O72" s="308">
        <v>1.5</v>
      </c>
      <c r="P72" s="316">
        <v>1</v>
      </c>
      <c r="Q72" s="316">
        <v>0.9</v>
      </c>
      <c r="R72" s="309" t="s">
        <v>679</v>
      </c>
      <c r="S72" s="3463"/>
      <c r="T72" s="3439"/>
      <c r="U72" s="3459"/>
      <c r="V72" s="3460"/>
      <c r="W72" s="3439"/>
      <c r="X72" s="2200"/>
      <c r="Y72" s="416" t="b">
        <f>+$Y$69</f>
        <v>0</v>
      </c>
    </row>
    <row r="73" spans="1:25">
      <c r="A73" s="3547"/>
      <c r="B73" s="3469"/>
      <c r="C73" s="3470"/>
      <c r="D73" s="3471"/>
      <c r="E73" s="3497"/>
      <c r="F73" s="3498"/>
      <c r="G73" s="3499"/>
      <c r="H73" s="3483" t="s">
        <v>285</v>
      </c>
      <c r="I73" s="3333"/>
      <c r="J73" s="3235">
        <v>51620</v>
      </c>
      <c r="K73" s="3443" t="s">
        <v>272</v>
      </c>
      <c r="L73" s="3448"/>
      <c r="M73" s="3449"/>
      <c r="N73" s="3450"/>
      <c r="O73" s="1421" t="s">
        <v>282</v>
      </c>
      <c r="P73" s="483" t="s">
        <v>283</v>
      </c>
      <c r="Q73" s="483" t="s">
        <v>284</v>
      </c>
      <c r="R73" s="415" t="s">
        <v>679</v>
      </c>
      <c r="S73" s="3399">
        <f>ROUNDDOWN(L74*L76,2)</f>
        <v>0</v>
      </c>
      <c r="T73" s="3438">
        <f>INT(J73*S73)</f>
        <v>0</v>
      </c>
      <c r="U73" s="3458"/>
      <c r="V73" s="3445" t="s">
        <v>750</v>
      </c>
      <c r="W73" s="3438">
        <f>INT(T73*U73)</f>
        <v>0</v>
      </c>
      <c r="X73" s="2200"/>
      <c r="Y73" s="416" t="b">
        <f>COUNTA($L73,$L75,$U73)&lt;&gt;0</f>
        <v>0</v>
      </c>
    </row>
    <row r="74" spans="1:25" ht="11.25" customHeight="1">
      <c r="A74" s="3547"/>
      <c r="B74" s="3469"/>
      <c r="C74" s="3470"/>
      <c r="D74" s="3471"/>
      <c r="E74" s="3497"/>
      <c r="F74" s="3498"/>
      <c r="G74" s="3499"/>
      <c r="H74" s="3484"/>
      <c r="I74" s="3485"/>
      <c r="J74" s="3236"/>
      <c r="K74" s="3444"/>
      <c r="L74" s="3440">
        <f>IF(L73="",0,HLOOKUP(L73,O73:R74,2,0))</f>
        <v>0</v>
      </c>
      <c r="M74" s="3441"/>
      <c r="N74" s="3442"/>
      <c r="O74" s="308">
        <v>1.5</v>
      </c>
      <c r="P74" s="316">
        <v>1</v>
      </c>
      <c r="Q74" s="316">
        <v>0.8</v>
      </c>
      <c r="R74" s="309" t="s">
        <v>679</v>
      </c>
      <c r="S74" s="3461"/>
      <c r="T74" s="3447"/>
      <c r="U74" s="3462"/>
      <c r="V74" s="3446"/>
      <c r="W74" s="3447"/>
      <c r="X74" s="2200"/>
      <c r="Y74" s="416" t="b">
        <f>+$Y$73</f>
        <v>0</v>
      </c>
    </row>
    <row r="75" spans="1:25" ht="11.25" customHeight="1">
      <c r="A75" s="3547"/>
      <c r="B75" s="3469"/>
      <c r="C75" s="3470"/>
      <c r="D75" s="3471"/>
      <c r="E75" s="3497"/>
      <c r="F75" s="3498"/>
      <c r="G75" s="3499"/>
      <c r="H75" s="3484"/>
      <c r="I75" s="3485"/>
      <c r="J75" s="3236"/>
      <c r="K75" s="3443" t="s">
        <v>738</v>
      </c>
      <c r="L75" s="3448"/>
      <c r="M75" s="3449"/>
      <c r="N75" s="3450"/>
      <c r="O75" s="1421" t="s">
        <v>741</v>
      </c>
      <c r="P75" s="483" t="s">
        <v>712</v>
      </c>
      <c r="Q75" s="483" t="s">
        <v>743</v>
      </c>
      <c r="R75" s="415" t="s">
        <v>679</v>
      </c>
      <c r="S75" s="3461"/>
      <c r="T75" s="3447"/>
      <c r="U75" s="3462"/>
      <c r="V75" s="3446"/>
      <c r="W75" s="3447"/>
      <c r="X75" s="2200"/>
      <c r="Y75" s="416" t="b">
        <f>+$Y$73</f>
        <v>0</v>
      </c>
    </row>
    <row r="76" spans="1:25" ht="11.25" customHeight="1">
      <c r="A76" s="3547"/>
      <c r="B76" s="3469"/>
      <c r="C76" s="3470"/>
      <c r="D76" s="3471"/>
      <c r="E76" s="3500"/>
      <c r="F76" s="3501"/>
      <c r="G76" s="3502"/>
      <c r="H76" s="3417"/>
      <c r="I76" s="3347"/>
      <c r="J76" s="3237"/>
      <c r="K76" s="3444"/>
      <c r="L76" s="3440">
        <f>IF(L75="",0,HLOOKUP(L75,O75:R76,2,0))</f>
        <v>0</v>
      </c>
      <c r="M76" s="3441"/>
      <c r="N76" s="3442"/>
      <c r="O76" s="308">
        <v>1.5</v>
      </c>
      <c r="P76" s="316">
        <v>1</v>
      </c>
      <c r="Q76" s="316">
        <v>0.9</v>
      </c>
      <c r="R76" s="309" t="s">
        <v>679</v>
      </c>
      <c r="S76" s="3463"/>
      <c r="T76" s="3439"/>
      <c r="U76" s="3459"/>
      <c r="V76" s="3460"/>
      <c r="W76" s="3439"/>
      <c r="X76" s="2200"/>
      <c r="Y76" s="416" t="b">
        <f>+$Y$73</f>
        <v>0</v>
      </c>
    </row>
    <row r="77" spans="1:25">
      <c r="A77" s="3547"/>
      <c r="B77" s="3469"/>
      <c r="C77" s="3470"/>
      <c r="D77" s="3471"/>
      <c r="E77" s="3466" t="s">
        <v>1227</v>
      </c>
      <c r="F77" s="3467"/>
      <c r="G77" s="3467"/>
      <c r="H77" s="3467"/>
      <c r="I77" s="3468"/>
      <c r="J77" s="3235">
        <v>362840</v>
      </c>
      <c r="K77" s="3443" t="s">
        <v>286</v>
      </c>
      <c r="L77" s="3448"/>
      <c r="M77" s="3449"/>
      <c r="N77" s="3450"/>
      <c r="O77" s="1421" t="s">
        <v>287</v>
      </c>
      <c r="P77" s="483" t="s">
        <v>288</v>
      </c>
      <c r="Q77" s="483" t="s">
        <v>679</v>
      </c>
      <c r="R77" s="415" t="s">
        <v>679</v>
      </c>
      <c r="S77" s="3399">
        <f>ROUNDDOWN(L78*L81*L83,2)</f>
        <v>0</v>
      </c>
      <c r="T77" s="3438">
        <f>INT(J77*S77)</f>
        <v>0</v>
      </c>
      <c r="U77" s="3458"/>
      <c r="V77" s="3445" t="s">
        <v>750</v>
      </c>
      <c r="W77" s="3438">
        <f>INT(T77*U77)</f>
        <v>0</v>
      </c>
      <c r="X77" s="2200"/>
      <c r="Y77" s="416" t="b">
        <f>COUNTA($L77,$L79,$N79,$L82,$U77)&lt;&gt;0</f>
        <v>0</v>
      </c>
    </row>
    <row r="78" spans="1:25">
      <c r="A78" s="3547"/>
      <c r="B78" s="3469"/>
      <c r="C78" s="3470"/>
      <c r="D78" s="3471"/>
      <c r="E78" s="3469"/>
      <c r="F78" s="3470"/>
      <c r="G78" s="3470"/>
      <c r="H78" s="3470"/>
      <c r="I78" s="3471"/>
      <c r="J78" s="3236"/>
      <c r="K78" s="3444"/>
      <c r="L78" s="3440">
        <f>IF(L77="",0,HLOOKUP(L77,O77:R78,2,0))</f>
        <v>0</v>
      </c>
      <c r="M78" s="3441"/>
      <c r="N78" s="3442"/>
      <c r="O78" s="308">
        <v>1.3</v>
      </c>
      <c r="P78" s="316">
        <v>1</v>
      </c>
      <c r="Q78" s="316" t="s">
        <v>679</v>
      </c>
      <c r="R78" s="309" t="s">
        <v>679</v>
      </c>
      <c r="S78" s="3461"/>
      <c r="T78" s="3447"/>
      <c r="U78" s="3462"/>
      <c r="V78" s="3446"/>
      <c r="W78" s="3447"/>
      <c r="X78" s="2200"/>
      <c r="Y78" s="416" t="b">
        <f>+$Y$77</f>
        <v>0</v>
      </c>
    </row>
    <row r="79" spans="1:25">
      <c r="A79" s="3547"/>
      <c r="B79" s="3469"/>
      <c r="C79" s="3470"/>
      <c r="D79" s="3471"/>
      <c r="E79" s="3469"/>
      <c r="F79" s="3470"/>
      <c r="G79" s="3470"/>
      <c r="H79" s="3470"/>
      <c r="I79" s="3471"/>
      <c r="J79" s="3236"/>
      <c r="K79" s="3475" t="s">
        <v>289</v>
      </c>
      <c r="L79" s="2081"/>
      <c r="M79" s="417" t="s">
        <v>290</v>
      </c>
      <c r="N79" s="2082"/>
      <c r="O79" s="1421" t="s">
        <v>5458</v>
      </c>
      <c r="P79" s="483" t="s">
        <v>292</v>
      </c>
      <c r="Q79" s="483" t="s">
        <v>293</v>
      </c>
      <c r="R79" s="485"/>
      <c r="S79" s="3461"/>
      <c r="T79" s="3447"/>
      <c r="U79" s="3462"/>
      <c r="V79" s="3446"/>
      <c r="W79" s="3447"/>
      <c r="X79" s="2200"/>
      <c r="Y79" s="416" t="b">
        <f t="shared" ref="Y79:Y83" si="5">+$Y$77</f>
        <v>0</v>
      </c>
    </row>
    <row r="80" spans="1:25">
      <c r="A80" s="3547"/>
      <c r="B80" s="3469"/>
      <c r="C80" s="3470"/>
      <c r="D80" s="3471"/>
      <c r="E80" s="3469"/>
      <c r="F80" s="3470"/>
      <c r="G80" s="3470"/>
      <c r="H80" s="3470"/>
      <c r="I80" s="3471"/>
      <c r="J80" s="3236"/>
      <c r="K80" s="3476"/>
      <c r="L80" s="3477">
        <f>L79*N79</f>
        <v>0</v>
      </c>
      <c r="M80" s="3478"/>
      <c r="N80" s="3479"/>
      <c r="O80" s="1432">
        <f>240*160</f>
        <v>38400</v>
      </c>
      <c r="P80" s="1433">
        <f>180*140</f>
        <v>25200</v>
      </c>
      <c r="Q80" s="1433">
        <f>160*120</f>
        <v>19200</v>
      </c>
      <c r="R80" s="486" t="s">
        <v>679</v>
      </c>
      <c r="S80" s="3461"/>
      <c r="T80" s="3447"/>
      <c r="U80" s="3462"/>
      <c r="V80" s="3446"/>
      <c r="W80" s="3447"/>
      <c r="X80" s="2200"/>
      <c r="Y80" s="416" t="b">
        <f t="shared" si="5"/>
        <v>0</v>
      </c>
    </row>
    <row r="81" spans="1:25">
      <c r="A81" s="3547"/>
      <c r="B81" s="3469"/>
      <c r="C81" s="3470"/>
      <c r="D81" s="3471"/>
      <c r="E81" s="3469"/>
      <c r="F81" s="3470"/>
      <c r="G81" s="3470"/>
      <c r="H81" s="3470"/>
      <c r="I81" s="3471"/>
      <c r="J81" s="3236"/>
      <c r="K81" s="3476"/>
      <c r="L81" s="3440">
        <f>IF(L80=0,0,ROUNDDOWN(IF(L80&gt;P80,P81+(O81-P81)/(O80-P80)*(L80-P80),P81-(P81-Q81)/(P80-Q80)*(P80-L80)),2))</f>
        <v>0</v>
      </c>
      <c r="M81" s="3441"/>
      <c r="N81" s="3442"/>
      <c r="O81" s="1422">
        <v>1.25</v>
      </c>
      <c r="P81" s="316">
        <v>1</v>
      </c>
      <c r="Q81" s="316">
        <v>0.9</v>
      </c>
      <c r="R81" s="309" t="s">
        <v>679</v>
      </c>
      <c r="S81" s="3461"/>
      <c r="T81" s="3447"/>
      <c r="U81" s="3462"/>
      <c r="V81" s="3446"/>
      <c r="W81" s="3447"/>
      <c r="X81" s="2200"/>
      <c r="Y81" s="416" t="b">
        <f t="shared" si="5"/>
        <v>0</v>
      </c>
    </row>
    <row r="82" spans="1:25">
      <c r="A82" s="3547"/>
      <c r="B82" s="3469"/>
      <c r="C82" s="3470"/>
      <c r="D82" s="3471"/>
      <c r="E82" s="3469"/>
      <c r="F82" s="3470"/>
      <c r="G82" s="3470"/>
      <c r="H82" s="3470"/>
      <c r="I82" s="3471"/>
      <c r="J82" s="3236"/>
      <c r="K82" s="3443" t="s">
        <v>738</v>
      </c>
      <c r="L82" s="3448"/>
      <c r="M82" s="3449"/>
      <c r="N82" s="3450"/>
      <c r="O82" s="1421" t="s">
        <v>741</v>
      </c>
      <c r="P82" s="483" t="s">
        <v>712</v>
      </c>
      <c r="Q82" s="483" t="s">
        <v>743</v>
      </c>
      <c r="R82" s="415" t="s">
        <v>679</v>
      </c>
      <c r="S82" s="3461"/>
      <c r="T82" s="3447"/>
      <c r="U82" s="3462"/>
      <c r="V82" s="3446"/>
      <c r="W82" s="3447"/>
      <c r="X82" s="2200"/>
      <c r="Y82" s="416" t="b">
        <f t="shared" si="5"/>
        <v>0</v>
      </c>
    </row>
    <row r="83" spans="1:25">
      <c r="A83" s="3547"/>
      <c r="B83" s="3469"/>
      <c r="C83" s="3470"/>
      <c r="D83" s="3471"/>
      <c r="E83" s="3472"/>
      <c r="F83" s="3473"/>
      <c r="G83" s="3473"/>
      <c r="H83" s="3473"/>
      <c r="I83" s="3474"/>
      <c r="J83" s="3237"/>
      <c r="K83" s="3444"/>
      <c r="L83" s="3440">
        <f>IF(L82="",0,HLOOKUP(L82,O82:R83,2,0))</f>
        <v>0</v>
      </c>
      <c r="M83" s="3441"/>
      <c r="N83" s="3442"/>
      <c r="O83" s="308">
        <v>1.2</v>
      </c>
      <c r="P83" s="316">
        <v>1</v>
      </c>
      <c r="Q83" s="316">
        <v>0.9</v>
      </c>
      <c r="R83" s="309" t="s">
        <v>679</v>
      </c>
      <c r="S83" s="3463"/>
      <c r="T83" s="3439"/>
      <c r="U83" s="3459"/>
      <c r="V83" s="3460"/>
      <c r="W83" s="3439"/>
      <c r="X83" s="2200"/>
      <c r="Y83" s="416" t="b">
        <f t="shared" si="5"/>
        <v>0</v>
      </c>
    </row>
    <row r="84" spans="1:25">
      <c r="A84" s="3547"/>
      <c r="B84" s="3469"/>
      <c r="C84" s="3470"/>
      <c r="D84" s="3471"/>
      <c r="E84" s="3466" t="s">
        <v>1226</v>
      </c>
      <c r="F84" s="3467"/>
      <c r="G84" s="3467"/>
      <c r="H84" s="3467"/>
      <c r="I84" s="3468"/>
      <c r="J84" s="3235">
        <v>250610</v>
      </c>
      <c r="K84" s="3475" t="s">
        <v>289</v>
      </c>
      <c r="L84" s="2081"/>
      <c r="M84" s="417" t="s">
        <v>290</v>
      </c>
      <c r="N84" s="2082"/>
      <c r="O84" s="1421" t="s">
        <v>291</v>
      </c>
      <c r="P84" s="483" t="s">
        <v>294</v>
      </c>
      <c r="Q84" s="483" t="s">
        <v>5485</v>
      </c>
      <c r="R84" s="485"/>
      <c r="S84" s="3399">
        <f>ROUNDDOWN(L86*L88,2)</f>
        <v>0</v>
      </c>
      <c r="T84" s="3438">
        <f>INT(J84*S84)</f>
        <v>0</v>
      </c>
      <c r="U84" s="3458"/>
      <c r="V84" s="3445" t="s">
        <v>750</v>
      </c>
      <c r="W84" s="3438">
        <f>INT(T84*U84)</f>
        <v>0</v>
      </c>
      <c r="X84" s="2200"/>
      <c r="Y84" s="416" t="b">
        <f>COUNTA($L84,$L87,$N84,$U84)&lt;&gt;0</f>
        <v>0</v>
      </c>
    </row>
    <row r="85" spans="1:25">
      <c r="A85" s="3547"/>
      <c r="B85" s="3469"/>
      <c r="C85" s="3470"/>
      <c r="D85" s="3471"/>
      <c r="E85" s="3469"/>
      <c r="F85" s="3470"/>
      <c r="G85" s="3470"/>
      <c r="H85" s="3470"/>
      <c r="I85" s="3471"/>
      <c r="J85" s="3236"/>
      <c r="K85" s="3476"/>
      <c r="L85" s="3477">
        <f>L84*N84</f>
        <v>0</v>
      </c>
      <c r="M85" s="3478"/>
      <c r="N85" s="3479"/>
      <c r="O85" s="1432">
        <f>200*160</f>
        <v>32000</v>
      </c>
      <c r="P85" s="1433">
        <f>160*160</f>
        <v>25600</v>
      </c>
      <c r="Q85" s="1433" t="s">
        <v>679</v>
      </c>
      <c r="R85" s="486" t="s">
        <v>679</v>
      </c>
      <c r="S85" s="3461"/>
      <c r="T85" s="3447"/>
      <c r="U85" s="3462"/>
      <c r="V85" s="3446"/>
      <c r="W85" s="3447"/>
      <c r="X85" s="2200"/>
      <c r="Y85" s="416" t="b">
        <f>+$Y$84</f>
        <v>0</v>
      </c>
    </row>
    <row r="86" spans="1:25">
      <c r="A86" s="3547"/>
      <c r="B86" s="3469"/>
      <c r="C86" s="3470"/>
      <c r="D86" s="3471"/>
      <c r="E86" s="3469"/>
      <c r="F86" s="3470"/>
      <c r="G86" s="3470"/>
      <c r="H86" s="3470"/>
      <c r="I86" s="3471"/>
      <c r="J86" s="3236"/>
      <c r="K86" s="3476"/>
      <c r="L86" s="3440">
        <f>MAX(IF(L85=0,0,ROUNDDOWN(P86+(O86-P86)/(O85-P85)*(L85-P85),2)),P86)</f>
        <v>1</v>
      </c>
      <c r="M86" s="3441"/>
      <c r="N86" s="3442"/>
      <c r="O86" s="1422">
        <v>1.3</v>
      </c>
      <c r="P86" s="316">
        <v>1</v>
      </c>
      <c r="Q86" s="1423" t="s">
        <v>679</v>
      </c>
      <c r="R86" s="309" t="s">
        <v>679</v>
      </c>
      <c r="S86" s="3461"/>
      <c r="T86" s="3447"/>
      <c r="U86" s="3462"/>
      <c r="V86" s="3446"/>
      <c r="W86" s="3447"/>
      <c r="X86" s="2200"/>
      <c r="Y86" s="416" t="b">
        <f t="shared" ref="Y86:Y88" si="6">+$Y$84</f>
        <v>0</v>
      </c>
    </row>
    <row r="87" spans="1:25">
      <c r="A87" s="3547"/>
      <c r="B87" s="3469"/>
      <c r="C87" s="3470"/>
      <c r="D87" s="3471"/>
      <c r="E87" s="3469"/>
      <c r="F87" s="3470"/>
      <c r="G87" s="3470"/>
      <c r="H87" s="3470"/>
      <c r="I87" s="3471"/>
      <c r="J87" s="3236"/>
      <c r="K87" s="3443" t="s">
        <v>738</v>
      </c>
      <c r="L87" s="3448"/>
      <c r="M87" s="3449"/>
      <c r="N87" s="3450"/>
      <c r="O87" s="1421" t="s">
        <v>741</v>
      </c>
      <c r="P87" s="483" t="s">
        <v>712</v>
      </c>
      <c r="Q87" s="483" t="s">
        <v>743</v>
      </c>
      <c r="R87" s="415" t="s">
        <v>679</v>
      </c>
      <c r="S87" s="3461"/>
      <c r="T87" s="3447"/>
      <c r="U87" s="3462"/>
      <c r="V87" s="3446"/>
      <c r="W87" s="3447"/>
      <c r="X87" s="2200"/>
      <c r="Y87" s="416" t="b">
        <f t="shared" si="6"/>
        <v>0</v>
      </c>
    </row>
    <row r="88" spans="1:25">
      <c r="A88" s="3547"/>
      <c r="B88" s="3469"/>
      <c r="C88" s="3470"/>
      <c r="D88" s="3471"/>
      <c r="E88" s="3472"/>
      <c r="F88" s="3473"/>
      <c r="G88" s="3473"/>
      <c r="H88" s="3473"/>
      <c r="I88" s="3474"/>
      <c r="J88" s="3237"/>
      <c r="K88" s="3444"/>
      <c r="L88" s="3440">
        <f>IF(L87="",0,HLOOKUP(L87,O87:R88,2,0))</f>
        <v>0</v>
      </c>
      <c r="M88" s="3441"/>
      <c r="N88" s="3442"/>
      <c r="O88" s="308">
        <v>1.2</v>
      </c>
      <c r="P88" s="316">
        <v>1</v>
      </c>
      <c r="Q88" s="316">
        <v>0.9</v>
      </c>
      <c r="R88" s="309" t="s">
        <v>679</v>
      </c>
      <c r="S88" s="3463"/>
      <c r="T88" s="3439"/>
      <c r="U88" s="3459"/>
      <c r="V88" s="3460"/>
      <c r="W88" s="3439"/>
      <c r="X88" s="2200"/>
      <c r="Y88" s="416" t="b">
        <f t="shared" si="6"/>
        <v>0</v>
      </c>
    </row>
    <row r="89" spans="1:25">
      <c r="A89" s="3547"/>
      <c r="B89" s="3469"/>
      <c r="C89" s="3470"/>
      <c r="D89" s="3471"/>
      <c r="E89" s="3466" t="s">
        <v>295</v>
      </c>
      <c r="F89" s="3467"/>
      <c r="G89" s="3467"/>
      <c r="H89" s="3467"/>
      <c r="I89" s="3468"/>
      <c r="J89" s="3235">
        <v>54850</v>
      </c>
      <c r="K89" s="3443" t="s">
        <v>738</v>
      </c>
      <c r="L89" s="3448"/>
      <c r="M89" s="3449"/>
      <c r="N89" s="3450"/>
      <c r="O89" s="1421" t="s">
        <v>741</v>
      </c>
      <c r="P89" s="483" t="s">
        <v>712</v>
      </c>
      <c r="Q89" s="483" t="s">
        <v>743</v>
      </c>
      <c r="R89" s="415" t="s">
        <v>679</v>
      </c>
      <c r="S89" s="3399">
        <f>L90</f>
        <v>0</v>
      </c>
      <c r="T89" s="3438">
        <f>INT(J89*S89)</f>
        <v>0</v>
      </c>
      <c r="U89" s="3458"/>
      <c r="V89" s="3445" t="s">
        <v>750</v>
      </c>
      <c r="W89" s="3438">
        <f>INT(T89*U89)</f>
        <v>0</v>
      </c>
      <c r="X89" s="2200"/>
      <c r="Y89" s="416" t="b">
        <f>COUNTA($L89,$U89)&lt;&gt;0</f>
        <v>0</v>
      </c>
    </row>
    <row r="90" spans="1:25">
      <c r="A90" s="3547"/>
      <c r="B90" s="3469"/>
      <c r="C90" s="3470"/>
      <c r="D90" s="3471"/>
      <c r="E90" s="3472"/>
      <c r="F90" s="3473"/>
      <c r="G90" s="3473"/>
      <c r="H90" s="3473"/>
      <c r="I90" s="3474"/>
      <c r="J90" s="3237"/>
      <c r="K90" s="3444"/>
      <c r="L90" s="3440">
        <f>IF(L89="",0,HLOOKUP(L89,O89:R90,2,0))</f>
        <v>0</v>
      </c>
      <c r="M90" s="3441"/>
      <c r="N90" s="3442"/>
      <c r="O90" s="308">
        <v>1.2</v>
      </c>
      <c r="P90" s="316">
        <v>1</v>
      </c>
      <c r="Q90" s="316">
        <v>0.9</v>
      </c>
      <c r="R90" s="309" t="s">
        <v>679</v>
      </c>
      <c r="S90" s="3463"/>
      <c r="T90" s="3439"/>
      <c r="U90" s="3459"/>
      <c r="V90" s="3460"/>
      <c r="W90" s="3439"/>
      <c r="X90" s="2200"/>
      <c r="Y90" s="416" t="b">
        <f>+$Y89</f>
        <v>0</v>
      </c>
    </row>
    <row r="91" spans="1:25">
      <c r="A91" s="3547"/>
      <c r="B91" s="3469"/>
      <c r="C91" s="3470"/>
      <c r="D91" s="3471"/>
      <c r="E91" s="3466" t="s">
        <v>1225</v>
      </c>
      <c r="F91" s="3467"/>
      <c r="G91" s="3467"/>
      <c r="H91" s="3467"/>
      <c r="I91" s="3468"/>
      <c r="J91" s="3235">
        <v>192580</v>
      </c>
      <c r="K91" s="3475" t="s">
        <v>289</v>
      </c>
      <c r="L91" s="2081"/>
      <c r="M91" s="417" t="s">
        <v>290</v>
      </c>
      <c r="N91" s="2082"/>
      <c r="O91" s="1421" t="s">
        <v>296</v>
      </c>
      <c r="P91" s="483" t="s">
        <v>297</v>
      </c>
      <c r="Q91" s="483" t="s">
        <v>298</v>
      </c>
      <c r="R91" s="485"/>
      <c r="S91" s="3399">
        <f>ROUNDDOWN(L93*L95,2)</f>
        <v>0</v>
      </c>
      <c r="T91" s="3438">
        <f>INT(J91*S91)</f>
        <v>0</v>
      </c>
      <c r="U91" s="3458"/>
      <c r="V91" s="3445" t="s">
        <v>750</v>
      </c>
      <c r="W91" s="3438">
        <f>INT(T91*U91)</f>
        <v>0</v>
      </c>
      <c r="X91" s="2200"/>
      <c r="Y91" s="416" t="b">
        <f>COUNTA($L91,$L94,$N91,$U91)&lt;&gt;0</f>
        <v>0</v>
      </c>
    </row>
    <row r="92" spans="1:25">
      <c r="A92" s="3547"/>
      <c r="B92" s="3469"/>
      <c r="C92" s="3470"/>
      <c r="D92" s="3471"/>
      <c r="E92" s="3469"/>
      <c r="F92" s="3470"/>
      <c r="G92" s="3470"/>
      <c r="H92" s="3470"/>
      <c r="I92" s="3471"/>
      <c r="J92" s="3236"/>
      <c r="K92" s="3476"/>
      <c r="L92" s="3477">
        <f>L91*N91</f>
        <v>0</v>
      </c>
      <c r="M92" s="3478"/>
      <c r="N92" s="3479"/>
      <c r="O92" s="1432">
        <f>160*80</f>
        <v>12800</v>
      </c>
      <c r="P92" s="1433">
        <f>120*80</f>
        <v>9600</v>
      </c>
      <c r="Q92" s="1433">
        <f>80*80</f>
        <v>6400</v>
      </c>
      <c r="R92" s="486" t="s">
        <v>679</v>
      </c>
      <c r="S92" s="3461"/>
      <c r="T92" s="3447"/>
      <c r="U92" s="3462"/>
      <c r="V92" s="3446"/>
      <c r="W92" s="3447"/>
      <c r="X92" s="2200"/>
      <c r="Y92" s="416" t="b">
        <f>+$Y$91</f>
        <v>0</v>
      </c>
    </row>
    <row r="93" spans="1:25">
      <c r="A93" s="3547"/>
      <c r="B93" s="3469"/>
      <c r="C93" s="3470"/>
      <c r="D93" s="3471"/>
      <c r="E93" s="3469"/>
      <c r="F93" s="3470"/>
      <c r="G93" s="3470"/>
      <c r="H93" s="3470"/>
      <c r="I93" s="3471"/>
      <c r="J93" s="3236"/>
      <c r="K93" s="3476"/>
      <c r="L93" s="3440">
        <f>IF(L92=0,0,ROUNDDOWN(IF(L92&gt;P92,P93+(O93-P93)/(O92-P92)*(L92-P92),P93-(P93-Q93)/(P92-Q92)*(P92-L92)),2))</f>
        <v>0</v>
      </c>
      <c r="M93" s="3441"/>
      <c r="N93" s="3442"/>
      <c r="O93" s="1422">
        <v>1.1000000000000001</v>
      </c>
      <c r="P93" s="316">
        <v>1</v>
      </c>
      <c r="Q93" s="316">
        <v>0.8</v>
      </c>
      <c r="R93" s="309" t="s">
        <v>679</v>
      </c>
      <c r="S93" s="3461"/>
      <c r="T93" s="3447"/>
      <c r="U93" s="3462"/>
      <c r="V93" s="3446"/>
      <c r="W93" s="3447"/>
      <c r="X93" s="2200"/>
      <c r="Y93" s="416" t="b">
        <f t="shared" ref="Y93:Y95" si="7">+$Y$91</f>
        <v>0</v>
      </c>
    </row>
    <row r="94" spans="1:25">
      <c r="A94" s="3547"/>
      <c r="B94" s="3469"/>
      <c r="C94" s="3470"/>
      <c r="D94" s="3471"/>
      <c r="E94" s="3469"/>
      <c r="F94" s="3470"/>
      <c r="G94" s="3470"/>
      <c r="H94" s="3470"/>
      <c r="I94" s="3471"/>
      <c r="J94" s="3236"/>
      <c r="K94" s="3443" t="s">
        <v>738</v>
      </c>
      <c r="L94" s="3448"/>
      <c r="M94" s="3449"/>
      <c r="N94" s="3450"/>
      <c r="O94" s="1421" t="s">
        <v>741</v>
      </c>
      <c r="P94" s="483" t="s">
        <v>712</v>
      </c>
      <c r="Q94" s="483" t="s">
        <v>743</v>
      </c>
      <c r="R94" s="415" t="s">
        <v>679</v>
      </c>
      <c r="S94" s="3461"/>
      <c r="T94" s="3447"/>
      <c r="U94" s="3462"/>
      <c r="V94" s="3446"/>
      <c r="W94" s="3447"/>
      <c r="X94" s="2200"/>
      <c r="Y94" s="416" t="b">
        <f t="shared" si="7"/>
        <v>0</v>
      </c>
    </row>
    <row r="95" spans="1:25">
      <c r="A95" s="3547"/>
      <c r="B95" s="3469"/>
      <c r="C95" s="3470"/>
      <c r="D95" s="3471"/>
      <c r="E95" s="3472"/>
      <c r="F95" s="3473"/>
      <c r="G95" s="3473"/>
      <c r="H95" s="3473"/>
      <c r="I95" s="3474"/>
      <c r="J95" s="3237"/>
      <c r="K95" s="3444"/>
      <c r="L95" s="3440">
        <f>IF(L94="",0,HLOOKUP(L94,O94:R95,2,0))</f>
        <v>0</v>
      </c>
      <c r="M95" s="3441"/>
      <c r="N95" s="3442"/>
      <c r="O95" s="308">
        <v>1.2</v>
      </c>
      <c r="P95" s="316">
        <v>1</v>
      </c>
      <c r="Q95" s="316">
        <v>0.9</v>
      </c>
      <c r="R95" s="309" t="s">
        <v>679</v>
      </c>
      <c r="S95" s="3463"/>
      <c r="T95" s="3439"/>
      <c r="U95" s="3459"/>
      <c r="V95" s="3460"/>
      <c r="W95" s="3439"/>
      <c r="X95" s="2200"/>
      <c r="Y95" s="416" t="b">
        <f t="shared" si="7"/>
        <v>0</v>
      </c>
    </row>
    <row r="96" spans="1:25">
      <c r="A96" s="3547"/>
      <c r="B96" s="3469"/>
      <c r="C96" s="3470"/>
      <c r="D96" s="3471"/>
      <c r="E96" s="3466" t="s">
        <v>1224</v>
      </c>
      <c r="F96" s="3467"/>
      <c r="G96" s="3467"/>
      <c r="H96" s="3467"/>
      <c r="I96" s="3468"/>
      <c r="J96" s="3235">
        <v>51300</v>
      </c>
      <c r="K96" s="3443" t="s">
        <v>5637</v>
      </c>
      <c r="L96" s="3448"/>
      <c r="M96" s="3449"/>
      <c r="N96" s="3450"/>
      <c r="O96" s="1430">
        <v>150</v>
      </c>
      <c r="P96" s="1431">
        <v>120</v>
      </c>
      <c r="Q96" s="1431">
        <v>105</v>
      </c>
      <c r="R96" s="415" t="s">
        <v>679</v>
      </c>
      <c r="S96" s="3399">
        <f>ROUNDDOWN(L97*L99,2)</f>
        <v>0</v>
      </c>
      <c r="T96" s="3438">
        <f>INT(J96*S96)</f>
        <v>0</v>
      </c>
      <c r="U96" s="3458"/>
      <c r="V96" s="3445" t="s">
        <v>750</v>
      </c>
      <c r="W96" s="3438">
        <f>INT(T96*U96)</f>
        <v>0</v>
      </c>
      <c r="X96" s="2200"/>
      <c r="Y96" s="416" t="b">
        <f>COUNTA($L96,$L98,$U96)&lt;&gt;0</f>
        <v>0</v>
      </c>
    </row>
    <row r="97" spans="1:25">
      <c r="A97" s="3547"/>
      <c r="B97" s="3469"/>
      <c r="C97" s="3470"/>
      <c r="D97" s="3471"/>
      <c r="E97" s="3469"/>
      <c r="F97" s="3470"/>
      <c r="G97" s="3470"/>
      <c r="H97" s="3470"/>
      <c r="I97" s="3471"/>
      <c r="J97" s="3236"/>
      <c r="K97" s="3578"/>
      <c r="L97" s="3440">
        <f>IF(L96="",0,HLOOKUP(L96,O96:R97,2,0))</f>
        <v>0</v>
      </c>
      <c r="M97" s="3441"/>
      <c r="N97" s="3442"/>
      <c r="O97" s="308">
        <v>1.1000000000000001</v>
      </c>
      <c r="P97" s="316">
        <v>1</v>
      </c>
      <c r="Q97" s="316">
        <v>0.95</v>
      </c>
      <c r="R97" s="309" t="s">
        <v>679</v>
      </c>
      <c r="S97" s="3461"/>
      <c r="T97" s="3447"/>
      <c r="U97" s="3462"/>
      <c r="V97" s="3446"/>
      <c r="W97" s="3447"/>
      <c r="X97" s="2200"/>
      <c r="Y97" s="416" t="b">
        <f>+$Y$96</f>
        <v>0</v>
      </c>
    </row>
    <row r="98" spans="1:25">
      <c r="A98" s="3547"/>
      <c r="B98" s="3469"/>
      <c r="C98" s="3470"/>
      <c r="D98" s="3471"/>
      <c r="E98" s="3469"/>
      <c r="F98" s="3470"/>
      <c r="G98" s="3470"/>
      <c r="H98" s="3470"/>
      <c r="I98" s="3471"/>
      <c r="J98" s="3236"/>
      <c r="K98" s="3443" t="s">
        <v>738</v>
      </c>
      <c r="L98" s="3448"/>
      <c r="M98" s="3449"/>
      <c r="N98" s="3450"/>
      <c r="O98" s="1421" t="s">
        <v>741</v>
      </c>
      <c r="P98" s="483" t="s">
        <v>712</v>
      </c>
      <c r="Q98" s="483" t="s">
        <v>743</v>
      </c>
      <c r="R98" s="415" t="s">
        <v>679</v>
      </c>
      <c r="S98" s="3461"/>
      <c r="T98" s="3447"/>
      <c r="U98" s="3462"/>
      <c r="V98" s="3446"/>
      <c r="W98" s="3447"/>
      <c r="X98" s="2200"/>
      <c r="Y98" s="416" t="b">
        <f t="shared" ref="Y98:Y99" si="8">+$Y$96</f>
        <v>0</v>
      </c>
    </row>
    <row r="99" spans="1:25">
      <c r="A99" s="3547"/>
      <c r="B99" s="3469"/>
      <c r="C99" s="3470"/>
      <c r="D99" s="3471"/>
      <c r="E99" s="3472"/>
      <c r="F99" s="3473"/>
      <c r="G99" s="3473"/>
      <c r="H99" s="3473"/>
      <c r="I99" s="3474"/>
      <c r="J99" s="3237"/>
      <c r="K99" s="3444"/>
      <c r="L99" s="3440">
        <f>IF(L98="",0,HLOOKUP(L98,O98:R99,2,0))</f>
        <v>0</v>
      </c>
      <c r="M99" s="3441"/>
      <c r="N99" s="3442"/>
      <c r="O99" s="308">
        <v>1.4</v>
      </c>
      <c r="P99" s="316">
        <v>1</v>
      </c>
      <c r="Q99" s="316">
        <v>0.7</v>
      </c>
      <c r="R99" s="309" t="s">
        <v>679</v>
      </c>
      <c r="S99" s="3463"/>
      <c r="T99" s="3439"/>
      <c r="U99" s="3459"/>
      <c r="V99" s="3460"/>
      <c r="W99" s="3439"/>
      <c r="X99" s="2200"/>
      <c r="Y99" s="416" t="b">
        <f t="shared" si="8"/>
        <v>0</v>
      </c>
    </row>
    <row r="100" spans="1:25">
      <c r="A100" s="3547"/>
      <c r="B100" s="3469"/>
      <c r="C100" s="3470"/>
      <c r="D100" s="3471"/>
      <c r="E100" s="3466" t="s">
        <v>1223</v>
      </c>
      <c r="F100" s="3467"/>
      <c r="G100" s="3467"/>
      <c r="H100" s="3467"/>
      <c r="I100" s="3468"/>
      <c r="J100" s="3235">
        <v>110100</v>
      </c>
      <c r="K100" s="3443" t="s">
        <v>5637</v>
      </c>
      <c r="L100" s="3579"/>
      <c r="M100" s="3580"/>
      <c r="N100" s="3581"/>
      <c r="O100" s="1430">
        <v>150</v>
      </c>
      <c r="P100" s="1431">
        <v>120</v>
      </c>
      <c r="Q100" s="1431">
        <v>90</v>
      </c>
      <c r="R100" s="415" t="s">
        <v>679</v>
      </c>
      <c r="S100" s="3399">
        <f>ROUNDDOWN(L101*L103,2)</f>
        <v>0</v>
      </c>
      <c r="T100" s="3438">
        <f>INT(J100*S100)</f>
        <v>0</v>
      </c>
      <c r="U100" s="3458"/>
      <c r="V100" s="3445" t="s">
        <v>750</v>
      </c>
      <c r="W100" s="3438">
        <f>INT(T100*U100)</f>
        <v>0</v>
      </c>
      <c r="X100" s="2200"/>
      <c r="Y100" s="416" t="b">
        <f>COUNTA($L100,$L102,$U100)&lt;&gt;0</f>
        <v>0</v>
      </c>
    </row>
    <row r="101" spans="1:25">
      <c r="A101" s="3547"/>
      <c r="B101" s="3469"/>
      <c r="C101" s="3470"/>
      <c r="D101" s="3471"/>
      <c r="E101" s="3469"/>
      <c r="F101" s="3470"/>
      <c r="G101" s="3470"/>
      <c r="H101" s="3470"/>
      <c r="I101" s="3471"/>
      <c r="J101" s="3236"/>
      <c r="K101" s="3578"/>
      <c r="L101" s="3440">
        <f>IF(L100="",0,ROUNDDOWN(IF(L100&gt;P100,P101+(O101-P101)/(O100-P100)*(L100-P100),P101-(P101-Q101)/(P100-Q100)*(P100-L100)),2))</f>
        <v>0</v>
      </c>
      <c r="M101" s="3441"/>
      <c r="N101" s="3442"/>
      <c r="O101" s="308">
        <v>1.1499999999999999</v>
      </c>
      <c r="P101" s="316">
        <v>1</v>
      </c>
      <c r="Q101" s="316">
        <v>0.9</v>
      </c>
      <c r="R101" s="309" t="s">
        <v>679</v>
      </c>
      <c r="S101" s="3461"/>
      <c r="T101" s="3447"/>
      <c r="U101" s="3462"/>
      <c r="V101" s="3446"/>
      <c r="W101" s="3447"/>
      <c r="X101" s="2200"/>
      <c r="Y101" s="416" t="b">
        <f>+$Y$100</f>
        <v>0</v>
      </c>
    </row>
    <row r="102" spans="1:25">
      <c r="A102" s="3547"/>
      <c r="B102" s="3469"/>
      <c r="C102" s="3470"/>
      <c r="D102" s="3471"/>
      <c r="E102" s="3469"/>
      <c r="F102" s="3470"/>
      <c r="G102" s="3470"/>
      <c r="H102" s="3470"/>
      <c r="I102" s="3471"/>
      <c r="J102" s="3236"/>
      <c r="K102" s="3443" t="s">
        <v>738</v>
      </c>
      <c r="L102" s="3448"/>
      <c r="M102" s="3449"/>
      <c r="N102" s="3450"/>
      <c r="O102" s="1421" t="s">
        <v>741</v>
      </c>
      <c r="P102" s="483" t="s">
        <v>712</v>
      </c>
      <c r="Q102" s="483" t="s">
        <v>743</v>
      </c>
      <c r="R102" s="415" t="s">
        <v>679</v>
      </c>
      <c r="S102" s="3461"/>
      <c r="T102" s="3447"/>
      <c r="U102" s="3462"/>
      <c r="V102" s="3446"/>
      <c r="W102" s="3447"/>
      <c r="X102" s="2200"/>
      <c r="Y102" s="416" t="b">
        <f t="shared" ref="Y102:Y103" si="9">+$Y$100</f>
        <v>0</v>
      </c>
    </row>
    <row r="103" spans="1:25">
      <c r="A103" s="3547"/>
      <c r="B103" s="3469"/>
      <c r="C103" s="3470"/>
      <c r="D103" s="3471"/>
      <c r="E103" s="3472"/>
      <c r="F103" s="3473"/>
      <c r="G103" s="3473"/>
      <c r="H103" s="3473"/>
      <c r="I103" s="3474"/>
      <c r="J103" s="3237"/>
      <c r="K103" s="3444"/>
      <c r="L103" s="3440">
        <f>IF(L102="",0,HLOOKUP(L102,O102:R103,2,0))</f>
        <v>0</v>
      </c>
      <c r="M103" s="3441"/>
      <c r="N103" s="3442"/>
      <c r="O103" s="308">
        <v>1.5</v>
      </c>
      <c r="P103" s="316">
        <v>1</v>
      </c>
      <c r="Q103" s="316">
        <v>0.5</v>
      </c>
      <c r="R103" s="309" t="s">
        <v>679</v>
      </c>
      <c r="S103" s="3463"/>
      <c r="T103" s="3439"/>
      <c r="U103" s="3459"/>
      <c r="V103" s="3460"/>
      <c r="W103" s="3439"/>
      <c r="X103" s="2200"/>
      <c r="Y103" s="416" t="b">
        <f t="shared" si="9"/>
        <v>0</v>
      </c>
    </row>
    <row r="104" spans="1:25">
      <c r="A104" s="3547"/>
      <c r="B104" s="3469"/>
      <c r="C104" s="3470"/>
      <c r="D104" s="3471"/>
      <c r="E104" s="3466" t="s">
        <v>1222</v>
      </c>
      <c r="F104" s="3467"/>
      <c r="G104" s="3467"/>
      <c r="H104" s="3467"/>
      <c r="I104" s="3468"/>
      <c r="J104" s="3235">
        <v>319200</v>
      </c>
      <c r="K104" s="3443" t="s">
        <v>5637</v>
      </c>
      <c r="L104" s="3579"/>
      <c r="M104" s="3580"/>
      <c r="N104" s="3581"/>
      <c r="O104" s="1430">
        <v>300</v>
      </c>
      <c r="P104" s="1431">
        <v>255</v>
      </c>
      <c r="Q104" s="1431">
        <v>180</v>
      </c>
      <c r="R104" s="415" t="s">
        <v>679</v>
      </c>
      <c r="S104" s="3399">
        <f>ROUNDDOWN(L105*L107,2)</f>
        <v>0</v>
      </c>
      <c r="T104" s="3438">
        <f>INT(J104*S104)</f>
        <v>0</v>
      </c>
      <c r="U104" s="3458"/>
      <c r="V104" s="3445" t="s">
        <v>750</v>
      </c>
      <c r="W104" s="3438">
        <f>INT(T104*U104)</f>
        <v>0</v>
      </c>
      <c r="X104" s="2200"/>
      <c r="Y104" s="416" t="b">
        <f>COUNTA($L104,$L106,$U104)&lt;&gt;0</f>
        <v>0</v>
      </c>
    </row>
    <row r="105" spans="1:25">
      <c r="A105" s="3547"/>
      <c r="B105" s="3469"/>
      <c r="C105" s="3470"/>
      <c r="D105" s="3471"/>
      <c r="E105" s="3469"/>
      <c r="F105" s="3470"/>
      <c r="G105" s="3470"/>
      <c r="H105" s="3470"/>
      <c r="I105" s="3471"/>
      <c r="J105" s="3236"/>
      <c r="K105" s="3578"/>
      <c r="L105" s="3440">
        <f>IF(L104="",0,ROUNDDOWN(IF(L104&gt;P104,P105+(O105-P105)/(O104-P104)*(L104-P104),P105-(P105-Q105)/(P104-Q104)*(P104-L104)),2))</f>
        <v>0</v>
      </c>
      <c r="M105" s="3441"/>
      <c r="N105" s="3442"/>
      <c r="O105" s="308">
        <v>1.1499999999999999</v>
      </c>
      <c r="P105" s="316">
        <v>1</v>
      </c>
      <c r="Q105" s="316">
        <v>0.8</v>
      </c>
      <c r="R105" s="309" t="s">
        <v>679</v>
      </c>
      <c r="S105" s="3461"/>
      <c r="T105" s="3447"/>
      <c r="U105" s="3462"/>
      <c r="V105" s="3446"/>
      <c r="W105" s="3447"/>
      <c r="X105" s="2200"/>
      <c r="Y105" s="416" t="b">
        <f>+$Y$104</f>
        <v>0</v>
      </c>
    </row>
    <row r="106" spans="1:25">
      <c r="A106" s="3547"/>
      <c r="B106" s="3469"/>
      <c r="C106" s="3470"/>
      <c r="D106" s="3471"/>
      <c r="E106" s="3469"/>
      <c r="F106" s="3470"/>
      <c r="G106" s="3470"/>
      <c r="H106" s="3470"/>
      <c r="I106" s="3471"/>
      <c r="J106" s="3236"/>
      <c r="K106" s="3443" t="s">
        <v>738</v>
      </c>
      <c r="L106" s="3448"/>
      <c r="M106" s="3449"/>
      <c r="N106" s="3450"/>
      <c r="O106" s="1421" t="s">
        <v>741</v>
      </c>
      <c r="P106" s="483" t="s">
        <v>712</v>
      </c>
      <c r="Q106" s="483" t="s">
        <v>743</v>
      </c>
      <c r="R106" s="415" t="s">
        <v>679</v>
      </c>
      <c r="S106" s="3461"/>
      <c r="T106" s="3447"/>
      <c r="U106" s="3462"/>
      <c r="V106" s="3446"/>
      <c r="W106" s="3447"/>
      <c r="X106" s="2200"/>
      <c r="Y106" s="416" t="b">
        <f t="shared" ref="Y106:Y107" si="10">+$Y$104</f>
        <v>0</v>
      </c>
    </row>
    <row r="107" spans="1:25">
      <c r="A107" s="3547"/>
      <c r="B107" s="3469"/>
      <c r="C107" s="3470"/>
      <c r="D107" s="3471"/>
      <c r="E107" s="3472"/>
      <c r="F107" s="3473"/>
      <c r="G107" s="3473"/>
      <c r="H107" s="3473"/>
      <c r="I107" s="3474"/>
      <c r="J107" s="3237"/>
      <c r="K107" s="3444"/>
      <c r="L107" s="3440">
        <f>IF(L106="",0,HLOOKUP(L106,O106:R107,2,0))</f>
        <v>0</v>
      </c>
      <c r="M107" s="3441"/>
      <c r="N107" s="3442"/>
      <c r="O107" s="308">
        <v>1.5</v>
      </c>
      <c r="P107" s="316">
        <v>1</v>
      </c>
      <c r="Q107" s="316">
        <v>0.5</v>
      </c>
      <c r="R107" s="309" t="s">
        <v>679</v>
      </c>
      <c r="S107" s="3463"/>
      <c r="T107" s="3439"/>
      <c r="U107" s="3459"/>
      <c r="V107" s="3460"/>
      <c r="W107" s="3439"/>
      <c r="X107" s="2200"/>
      <c r="Y107" s="416" t="b">
        <f t="shared" si="10"/>
        <v>0</v>
      </c>
    </row>
    <row r="108" spans="1:25">
      <c r="A108" s="3547"/>
      <c r="B108" s="3469"/>
      <c r="C108" s="3470"/>
      <c r="D108" s="3471"/>
      <c r="E108" s="3466" t="s">
        <v>1221</v>
      </c>
      <c r="F108" s="3467"/>
      <c r="G108" s="3467"/>
      <c r="H108" s="3467"/>
      <c r="I108" s="3468"/>
      <c r="J108" s="3235">
        <v>33290</v>
      </c>
      <c r="K108" s="3443" t="s">
        <v>738</v>
      </c>
      <c r="L108" s="3448"/>
      <c r="M108" s="3449"/>
      <c r="N108" s="3450"/>
      <c r="O108" s="1421" t="s">
        <v>741</v>
      </c>
      <c r="P108" s="483" t="s">
        <v>712</v>
      </c>
      <c r="Q108" s="483" t="s">
        <v>743</v>
      </c>
      <c r="R108" s="415" t="s">
        <v>679</v>
      </c>
      <c r="S108" s="3399">
        <f>L109</f>
        <v>0</v>
      </c>
      <c r="T108" s="3438">
        <f>INT(J108*S108)</f>
        <v>0</v>
      </c>
      <c r="U108" s="3458"/>
      <c r="V108" s="3445" t="s">
        <v>750</v>
      </c>
      <c r="W108" s="3438">
        <f>INT(T108*U108)</f>
        <v>0</v>
      </c>
      <c r="X108" s="2200"/>
      <c r="Y108" s="416" t="b">
        <f>COUNTA($L108,$U108)&lt;&gt;0</f>
        <v>0</v>
      </c>
    </row>
    <row r="109" spans="1:25">
      <c r="A109" s="3547"/>
      <c r="B109" s="3472"/>
      <c r="C109" s="3473"/>
      <c r="D109" s="3474"/>
      <c r="E109" s="3472"/>
      <c r="F109" s="3473"/>
      <c r="G109" s="3473"/>
      <c r="H109" s="3473"/>
      <c r="I109" s="3474"/>
      <c r="J109" s="3237"/>
      <c r="K109" s="3444"/>
      <c r="L109" s="3440">
        <f>IF(L108="",0,HLOOKUP(L108,O108:R109,2,0))</f>
        <v>0</v>
      </c>
      <c r="M109" s="3441"/>
      <c r="N109" s="3442"/>
      <c r="O109" s="308">
        <v>1.1000000000000001</v>
      </c>
      <c r="P109" s="316">
        <v>1</v>
      </c>
      <c r="Q109" s="316">
        <v>0.9</v>
      </c>
      <c r="R109" s="309" t="s">
        <v>679</v>
      </c>
      <c r="S109" s="3463"/>
      <c r="T109" s="3439"/>
      <c r="U109" s="3459"/>
      <c r="V109" s="3460"/>
      <c r="W109" s="3439"/>
      <c r="X109" s="2200"/>
      <c r="Y109" s="416" t="b">
        <f>+$Y$108</f>
        <v>0</v>
      </c>
    </row>
    <row r="110" spans="1:25">
      <c r="A110" s="3547"/>
      <c r="B110" s="3466" t="s">
        <v>1245</v>
      </c>
      <c r="C110" s="3467"/>
      <c r="D110" s="3468"/>
      <c r="E110" s="3466" t="s">
        <v>1220</v>
      </c>
      <c r="F110" s="3467"/>
      <c r="G110" s="3467"/>
      <c r="H110" s="3467"/>
      <c r="I110" s="3468"/>
      <c r="J110" s="3235">
        <v>8900</v>
      </c>
      <c r="K110" s="3443" t="s">
        <v>738</v>
      </c>
      <c r="L110" s="3448"/>
      <c r="M110" s="3449"/>
      <c r="N110" s="3450"/>
      <c r="O110" s="1421" t="s">
        <v>741</v>
      </c>
      <c r="P110" s="483" t="s">
        <v>712</v>
      </c>
      <c r="Q110" s="483" t="s">
        <v>743</v>
      </c>
      <c r="R110" s="415" t="s">
        <v>679</v>
      </c>
      <c r="S110" s="3399">
        <f>L111</f>
        <v>0</v>
      </c>
      <c r="T110" s="3438">
        <f>INT(J110*S110)</f>
        <v>0</v>
      </c>
      <c r="U110" s="3310"/>
      <c r="V110" s="3464" t="s">
        <v>299</v>
      </c>
      <c r="W110" s="3438">
        <f>INT(T110*U110)</f>
        <v>0</v>
      </c>
      <c r="X110" s="2200"/>
      <c r="Y110" s="416" t="b">
        <f>COUNTA($L110,$U110)&lt;&gt;0</f>
        <v>0</v>
      </c>
    </row>
    <row r="111" spans="1:25">
      <c r="A111" s="3547"/>
      <c r="B111" s="3469"/>
      <c r="C111" s="3470"/>
      <c r="D111" s="3471"/>
      <c r="E111" s="3472"/>
      <c r="F111" s="3473"/>
      <c r="G111" s="3473"/>
      <c r="H111" s="3473"/>
      <c r="I111" s="3474"/>
      <c r="J111" s="3237"/>
      <c r="K111" s="3444"/>
      <c r="L111" s="3440">
        <f>IF(L110="",0,HLOOKUP(L110,O110:R111,2,0))</f>
        <v>0</v>
      </c>
      <c r="M111" s="3441"/>
      <c r="N111" s="3442"/>
      <c r="O111" s="308">
        <v>1.2</v>
      </c>
      <c r="P111" s="316">
        <v>1</v>
      </c>
      <c r="Q111" s="316">
        <v>0.8</v>
      </c>
      <c r="R111" s="309" t="s">
        <v>679</v>
      </c>
      <c r="S111" s="3463"/>
      <c r="T111" s="3439"/>
      <c r="U111" s="3311"/>
      <c r="V111" s="3465"/>
      <c r="W111" s="3439"/>
      <c r="X111" s="2200"/>
      <c r="Y111" s="416" t="b">
        <f>+$Y$110</f>
        <v>0</v>
      </c>
    </row>
    <row r="112" spans="1:25">
      <c r="A112" s="3547"/>
      <c r="B112" s="3469"/>
      <c r="C112" s="3470"/>
      <c r="D112" s="3471"/>
      <c r="E112" s="3466" t="s">
        <v>1219</v>
      </c>
      <c r="F112" s="3467"/>
      <c r="G112" s="3467"/>
      <c r="H112" s="3467"/>
      <c r="I112" s="3468"/>
      <c r="J112" s="3235">
        <v>15420</v>
      </c>
      <c r="K112" s="3443" t="s">
        <v>738</v>
      </c>
      <c r="L112" s="3448"/>
      <c r="M112" s="3449"/>
      <c r="N112" s="3450"/>
      <c r="O112" s="1421" t="s">
        <v>741</v>
      </c>
      <c r="P112" s="483" t="s">
        <v>712</v>
      </c>
      <c r="Q112" s="483" t="s">
        <v>743</v>
      </c>
      <c r="R112" s="415" t="s">
        <v>679</v>
      </c>
      <c r="S112" s="3399">
        <f>ROUNDDOWN(L113,2)</f>
        <v>0</v>
      </c>
      <c r="T112" s="3438">
        <f>INT(J112*S112)</f>
        <v>0</v>
      </c>
      <c r="U112" s="3310"/>
      <c r="V112" s="3455" t="s">
        <v>299</v>
      </c>
      <c r="W112" s="3438">
        <f>INT(T112*U112)</f>
        <v>0</v>
      </c>
      <c r="X112" s="2200"/>
      <c r="Y112" s="416" t="b">
        <f>COUNTA($L112,$U112)&lt;&gt;0</f>
        <v>0</v>
      </c>
    </row>
    <row r="113" spans="1:25">
      <c r="A113" s="3547"/>
      <c r="B113" s="3469"/>
      <c r="C113" s="3470"/>
      <c r="D113" s="3471"/>
      <c r="E113" s="3469"/>
      <c r="F113" s="3470"/>
      <c r="G113" s="3470"/>
      <c r="H113" s="3470"/>
      <c r="I113" s="3471"/>
      <c r="J113" s="3236"/>
      <c r="K113" s="3444"/>
      <c r="L113" s="3440">
        <f>IF(L112="",0,HLOOKUP(L112,O112:R113,2,0))</f>
        <v>0</v>
      </c>
      <c r="M113" s="3441"/>
      <c r="N113" s="3442"/>
      <c r="O113" s="308">
        <v>1.2</v>
      </c>
      <c r="P113" s="316">
        <v>1</v>
      </c>
      <c r="Q113" s="316">
        <v>0.8</v>
      </c>
      <c r="R113" s="309" t="s">
        <v>679</v>
      </c>
      <c r="S113" s="3461"/>
      <c r="T113" s="3447"/>
      <c r="U113" s="3421"/>
      <c r="V113" s="3456"/>
      <c r="W113" s="3447"/>
      <c r="X113" s="2200"/>
      <c r="Y113" s="416" t="b">
        <f>+$Y$112</f>
        <v>0</v>
      </c>
    </row>
    <row r="114" spans="1:25" ht="12">
      <c r="A114" s="3547"/>
      <c r="B114" s="3486" t="s">
        <v>1246</v>
      </c>
      <c r="C114" s="3487"/>
      <c r="D114" s="3488"/>
      <c r="E114" s="3466" t="s">
        <v>1218</v>
      </c>
      <c r="F114" s="3467"/>
      <c r="G114" s="3467"/>
      <c r="H114" s="3467"/>
      <c r="I114" s="1875"/>
      <c r="J114" s="3235">
        <v>12080</v>
      </c>
      <c r="K114" s="3443" t="s">
        <v>738</v>
      </c>
      <c r="L114" s="3448"/>
      <c r="M114" s="3449"/>
      <c r="N114" s="3450"/>
      <c r="O114" s="1421" t="s">
        <v>741</v>
      </c>
      <c r="P114" s="483" t="s">
        <v>712</v>
      </c>
      <c r="Q114" s="483" t="s">
        <v>743</v>
      </c>
      <c r="R114" s="415" t="s">
        <v>679</v>
      </c>
      <c r="S114" s="3399">
        <f>L115</f>
        <v>0</v>
      </c>
      <c r="T114" s="3438">
        <f>INT(J114*S114)</f>
        <v>0</v>
      </c>
      <c r="U114" s="3458"/>
      <c r="V114" s="3445" t="s">
        <v>300</v>
      </c>
      <c r="W114" s="3438">
        <f>INT(T114*U114)</f>
        <v>0</v>
      </c>
      <c r="X114" s="2200"/>
      <c r="Y114" s="416" t="b">
        <f>COUNTA($L114,$U114)&lt;&gt;0</f>
        <v>0</v>
      </c>
    </row>
    <row r="115" spans="1:25" ht="12">
      <c r="A115" s="3547"/>
      <c r="B115" s="3489"/>
      <c r="C115" s="3490"/>
      <c r="D115" s="3491"/>
      <c r="E115" s="3472"/>
      <c r="F115" s="3473"/>
      <c r="G115" s="3473"/>
      <c r="H115" s="3473"/>
      <c r="I115" s="1876"/>
      <c r="J115" s="3237"/>
      <c r="K115" s="3444"/>
      <c r="L115" s="3440">
        <f>IF(L114="",0,HLOOKUP(L114,O114:R115,2,0))</f>
        <v>0</v>
      </c>
      <c r="M115" s="3441"/>
      <c r="N115" s="3442"/>
      <c r="O115" s="308">
        <v>1.1000000000000001</v>
      </c>
      <c r="P115" s="316">
        <v>1</v>
      </c>
      <c r="Q115" s="316">
        <v>0.9</v>
      </c>
      <c r="R115" s="309" t="s">
        <v>679</v>
      </c>
      <c r="S115" s="3463"/>
      <c r="T115" s="3439"/>
      <c r="U115" s="3459"/>
      <c r="V115" s="3460"/>
      <c r="W115" s="3439"/>
      <c r="X115" s="2200"/>
      <c r="Y115" s="416" t="b">
        <f>+$Y$114</f>
        <v>0</v>
      </c>
    </row>
    <row r="116" spans="1:25" ht="11.25" customHeight="1">
      <c r="A116" s="3547"/>
      <c r="B116" s="3489"/>
      <c r="C116" s="3490"/>
      <c r="D116" s="3491"/>
      <c r="E116" s="3623" t="s">
        <v>5668</v>
      </c>
      <c r="F116" s="3487"/>
      <c r="G116" s="3487"/>
      <c r="H116" s="3487"/>
      <c r="I116" s="3488"/>
      <c r="J116" s="3235">
        <v>590</v>
      </c>
      <c r="K116" s="3443" t="s">
        <v>301</v>
      </c>
      <c r="L116" s="3448"/>
      <c r="M116" s="3449"/>
      <c r="N116" s="3450"/>
      <c r="O116" s="1421" t="s">
        <v>5417</v>
      </c>
      <c r="P116" s="483" t="s">
        <v>5418</v>
      </c>
      <c r="Q116" s="415" t="s">
        <v>5419</v>
      </c>
      <c r="R116" s="876"/>
      <c r="S116" s="3399">
        <f>ROUNDDOWN(L117*L119,2)</f>
        <v>0</v>
      </c>
      <c r="T116" s="3438">
        <f>INT(J116*S116)</f>
        <v>0</v>
      </c>
      <c r="U116" s="3310"/>
      <c r="V116" s="3455" t="s">
        <v>1213</v>
      </c>
      <c r="W116" s="3438">
        <f>INT(T116*U116)</f>
        <v>0</v>
      </c>
      <c r="X116" s="2200"/>
      <c r="Y116" s="416" t="b">
        <f>COUNTA($L116,$L118,$U116)&lt;&gt;0</f>
        <v>0</v>
      </c>
    </row>
    <row r="117" spans="1:25" ht="11.25" customHeight="1">
      <c r="A117" s="3547"/>
      <c r="B117" s="3489"/>
      <c r="C117" s="3490"/>
      <c r="D117" s="3491"/>
      <c r="E117" s="3489"/>
      <c r="F117" s="3490"/>
      <c r="G117" s="3490"/>
      <c r="H117" s="3490"/>
      <c r="I117" s="3491"/>
      <c r="J117" s="3236"/>
      <c r="K117" s="3444"/>
      <c r="L117" s="3440">
        <f>IF(L116="",0,HLOOKUP(L116,O116:R117,2,0))</f>
        <v>0</v>
      </c>
      <c r="M117" s="3441"/>
      <c r="N117" s="3442"/>
      <c r="O117" s="308">
        <v>3</v>
      </c>
      <c r="P117" s="316">
        <v>1.7</v>
      </c>
      <c r="Q117" s="309">
        <v>1</v>
      </c>
      <c r="R117" s="383"/>
      <c r="S117" s="3461"/>
      <c r="T117" s="3447"/>
      <c r="U117" s="3421"/>
      <c r="V117" s="3456"/>
      <c r="W117" s="3447"/>
      <c r="X117" s="2200"/>
      <c r="Y117" s="416" t="b">
        <f>+$Y$116</f>
        <v>0</v>
      </c>
    </row>
    <row r="118" spans="1:25" ht="11.25" customHeight="1">
      <c r="A118" s="3547"/>
      <c r="B118" s="3489"/>
      <c r="C118" s="3490"/>
      <c r="D118" s="3491"/>
      <c r="E118" s="3489"/>
      <c r="F118" s="3490"/>
      <c r="G118" s="3490"/>
      <c r="H118" s="3490"/>
      <c r="I118" s="3491"/>
      <c r="J118" s="3236"/>
      <c r="K118" s="3443" t="s">
        <v>738</v>
      </c>
      <c r="L118" s="3448"/>
      <c r="M118" s="3449"/>
      <c r="N118" s="3450"/>
      <c r="O118" s="1421" t="s">
        <v>741</v>
      </c>
      <c r="P118" s="483" t="s">
        <v>712</v>
      </c>
      <c r="Q118" s="415" t="s">
        <v>743</v>
      </c>
      <c r="R118" s="863"/>
      <c r="S118" s="3461"/>
      <c r="T118" s="3447"/>
      <c r="U118" s="3421"/>
      <c r="V118" s="3456"/>
      <c r="W118" s="3447"/>
      <c r="X118" s="2200"/>
      <c r="Y118" s="416" t="b">
        <f>+$Y$116</f>
        <v>0</v>
      </c>
    </row>
    <row r="119" spans="1:25" ht="11.25" customHeight="1">
      <c r="A119" s="3547"/>
      <c r="B119" s="3489"/>
      <c r="C119" s="3490"/>
      <c r="D119" s="3491"/>
      <c r="E119" s="3492"/>
      <c r="F119" s="3493"/>
      <c r="G119" s="3493"/>
      <c r="H119" s="3493"/>
      <c r="I119" s="3494"/>
      <c r="J119" s="3237"/>
      <c r="K119" s="3444"/>
      <c r="L119" s="3440">
        <f>IF(L118="",0,HLOOKUP(L118,O118:R119,2,0))</f>
        <v>0</v>
      </c>
      <c r="M119" s="3441"/>
      <c r="N119" s="3442"/>
      <c r="O119" s="308">
        <v>1.2</v>
      </c>
      <c r="P119" s="316">
        <v>1</v>
      </c>
      <c r="Q119" s="309">
        <v>0.8</v>
      </c>
      <c r="R119" s="864"/>
      <c r="S119" s="3463"/>
      <c r="T119" s="3439"/>
      <c r="U119" s="3311"/>
      <c r="V119" s="3457"/>
      <c r="W119" s="3439"/>
      <c r="X119" s="2200"/>
      <c r="Y119" s="416" t="b">
        <f>+$Y$116</f>
        <v>0</v>
      </c>
    </row>
    <row r="120" spans="1:25" ht="11.25" customHeight="1">
      <c r="A120" s="3547"/>
      <c r="B120" s="3489"/>
      <c r="C120" s="3490"/>
      <c r="D120" s="3491"/>
      <c r="E120" s="3623" t="s">
        <v>5669</v>
      </c>
      <c r="F120" s="3487"/>
      <c r="G120" s="3487"/>
      <c r="H120" s="3487"/>
      <c r="I120" s="3488"/>
      <c r="J120" s="3235">
        <v>1370</v>
      </c>
      <c r="K120" s="3443" t="s">
        <v>301</v>
      </c>
      <c r="L120" s="3448"/>
      <c r="M120" s="3449"/>
      <c r="N120" s="3450"/>
      <c r="O120" s="1421" t="s">
        <v>5417</v>
      </c>
      <c r="P120" s="483" t="s">
        <v>5418</v>
      </c>
      <c r="Q120" s="415" t="s">
        <v>5419</v>
      </c>
      <c r="R120" s="876"/>
      <c r="S120" s="3399">
        <f>ROUNDDOWN(L121*L123,2)</f>
        <v>0</v>
      </c>
      <c r="T120" s="3438">
        <f>INT(J120*S120)</f>
        <v>0</v>
      </c>
      <c r="U120" s="3310"/>
      <c r="V120" s="3455" t="s">
        <v>1213</v>
      </c>
      <c r="W120" s="3438">
        <f>INT(T120*U120)</f>
        <v>0</v>
      </c>
      <c r="X120" s="2200"/>
      <c r="Y120" s="416" t="b">
        <f>COUNTA($L120,$L122,$U120)&lt;&gt;0</f>
        <v>0</v>
      </c>
    </row>
    <row r="121" spans="1:25" ht="11.25" customHeight="1">
      <c r="A121" s="3547"/>
      <c r="B121" s="3489"/>
      <c r="C121" s="3490"/>
      <c r="D121" s="3491"/>
      <c r="E121" s="3489"/>
      <c r="F121" s="3490"/>
      <c r="G121" s="3490"/>
      <c r="H121" s="3490"/>
      <c r="I121" s="3491"/>
      <c r="J121" s="3236"/>
      <c r="K121" s="3444"/>
      <c r="L121" s="3440">
        <f>IF(L120="",0,HLOOKUP(L120,O120:R121,2,0))</f>
        <v>0</v>
      </c>
      <c r="M121" s="3441"/>
      <c r="N121" s="3442"/>
      <c r="O121" s="308">
        <v>2</v>
      </c>
      <c r="P121" s="316">
        <v>1</v>
      </c>
      <c r="Q121" s="309">
        <v>0.5</v>
      </c>
      <c r="R121" s="383"/>
      <c r="S121" s="3461"/>
      <c r="T121" s="3447"/>
      <c r="U121" s="3421"/>
      <c r="V121" s="3456"/>
      <c r="W121" s="3447"/>
      <c r="X121" s="2200"/>
      <c r="Y121" s="416" t="b">
        <f>+$Y$120</f>
        <v>0</v>
      </c>
    </row>
    <row r="122" spans="1:25" ht="11.25" customHeight="1">
      <c r="A122" s="3547"/>
      <c r="B122" s="3489"/>
      <c r="C122" s="3490"/>
      <c r="D122" s="3491"/>
      <c r="E122" s="3489"/>
      <c r="F122" s="3490"/>
      <c r="G122" s="3490"/>
      <c r="H122" s="3490"/>
      <c r="I122" s="3491"/>
      <c r="J122" s="3236"/>
      <c r="K122" s="3443" t="s">
        <v>738</v>
      </c>
      <c r="L122" s="3448"/>
      <c r="M122" s="3449"/>
      <c r="N122" s="3450"/>
      <c r="O122" s="1421" t="s">
        <v>741</v>
      </c>
      <c r="P122" s="483" t="s">
        <v>712</v>
      </c>
      <c r="Q122" s="415" t="s">
        <v>743</v>
      </c>
      <c r="R122" s="863"/>
      <c r="S122" s="3461"/>
      <c r="T122" s="3447"/>
      <c r="U122" s="3421"/>
      <c r="V122" s="3456"/>
      <c r="W122" s="3447"/>
      <c r="X122" s="2200"/>
      <c r="Y122" s="416" t="b">
        <f t="shared" ref="Y122:Y123" si="11">+$Y$120</f>
        <v>0</v>
      </c>
    </row>
    <row r="123" spans="1:25" ht="11.25" customHeight="1">
      <c r="A123" s="3547"/>
      <c r="B123" s="3492"/>
      <c r="C123" s="3493"/>
      <c r="D123" s="3494"/>
      <c r="E123" s="3492"/>
      <c r="F123" s="3493"/>
      <c r="G123" s="3493"/>
      <c r="H123" s="3493"/>
      <c r="I123" s="3494"/>
      <c r="J123" s="3237"/>
      <c r="K123" s="3444"/>
      <c r="L123" s="3440">
        <f>IF(L122="",0,HLOOKUP(L122,O122:R123,2,0))</f>
        <v>0</v>
      </c>
      <c r="M123" s="3441"/>
      <c r="N123" s="3442"/>
      <c r="O123" s="308">
        <v>1.2</v>
      </c>
      <c r="P123" s="316">
        <v>1</v>
      </c>
      <c r="Q123" s="309">
        <v>0.8</v>
      </c>
      <c r="R123" s="864"/>
      <c r="S123" s="3463"/>
      <c r="T123" s="3439"/>
      <c r="U123" s="3311"/>
      <c r="V123" s="3457"/>
      <c r="W123" s="3439"/>
      <c r="X123" s="2200"/>
      <c r="Y123" s="416" t="b">
        <f t="shared" si="11"/>
        <v>0</v>
      </c>
    </row>
    <row r="124" spans="1:25">
      <c r="A124" s="3547"/>
      <c r="B124" s="3466" t="s">
        <v>1247</v>
      </c>
      <c r="C124" s="3467"/>
      <c r="D124" s="3468"/>
      <c r="E124" s="3466" t="s">
        <v>1217</v>
      </c>
      <c r="F124" s="3467"/>
      <c r="G124" s="3467"/>
      <c r="H124" s="3467"/>
      <c r="I124" s="3468"/>
      <c r="J124" s="3235">
        <v>1818000</v>
      </c>
      <c r="K124" s="3443" t="s">
        <v>302</v>
      </c>
      <c r="L124" s="3448"/>
      <c r="M124" s="3449"/>
      <c r="N124" s="3450"/>
      <c r="O124" s="1421" t="s">
        <v>303</v>
      </c>
      <c r="P124" s="483" t="s">
        <v>304</v>
      </c>
      <c r="Q124" s="483" t="s">
        <v>679</v>
      </c>
      <c r="R124" s="415" t="s">
        <v>679</v>
      </c>
      <c r="S124" s="3399">
        <f>ROUNDDOWN(L125*L127*L129,2)</f>
        <v>0</v>
      </c>
      <c r="T124" s="3438">
        <f>INT(J124*S124)</f>
        <v>0</v>
      </c>
      <c r="U124" s="3458"/>
      <c r="V124" s="3445" t="s">
        <v>305</v>
      </c>
      <c r="W124" s="3438">
        <f>INT(T124*U124)</f>
        <v>0</v>
      </c>
      <c r="X124" s="2200"/>
      <c r="Y124" s="416" t="b">
        <f>COUNTA($L124,$L126,$L128,$U124)&lt;&gt;0</f>
        <v>0</v>
      </c>
    </row>
    <row r="125" spans="1:25">
      <c r="A125" s="3547"/>
      <c r="B125" s="3469"/>
      <c r="C125" s="3470"/>
      <c r="D125" s="3471"/>
      <c r="E125" s="3469"/>
      <c r="F125" s="3470"/>
      <c r="G125" s="3470"/>
      <c r="H125" s="3470"/>
      <c r="I125" s="3471"/>
      <c r="J125" s="3236"/>
      <c r="K125" s="3444"/>
      <c r="L125" s="3440">
        <f>IF(L124="",0,HLOOKUP(L124,O124:R125,2,0))</f>
        <v>0</v>
      </c>
      <c r="M125" s="3441"/>
      <c r="N125" s="3442"/>
      <c r="O125" s="308">
        <v>1.1000000000000001</v>
      </c>
      <c r="P125" s="316">
        <v>1</v>
      </c>
      <c r="Q125" s="316" t="s">
        <v>679</v>
      </c>
      <c r="R125" s="309" t="s">
        <v>679</v>
      </c>
      <c r="S125" s="3461"/>
      <c r="T125" s="3447"/>
      <c r="U125" s="3462"/>
      <c r="V125" s="3446"/>
      <c r="W125" s="3447"/>
      <c r="X125" s="2200"/>
      <c r="Y125" s="416" t="b">
        <f>+$Y$124</f>
        <v>0</v>
      </c>
    </row>
    <row r="126" spans="1:25">
      <c r="A126" s="3547"/>
      <c r="B126" s="3469"/>
      <c r="C126" s="3470"/>
      <c r="D126" s="3471"/>
      <c r="E126" s="3469"/>
      <c r="F126" s="3470"/>
      <c r="G126" s="3470"/>
      <c r="H126" s="3470"/>
      <c r="I126" s="3471"/>
      <c r="J126" s="3236"/>
      <c r="K126" s="3443" t="s">
        <v>306</v>
      </c>
      <c r="L126" s="3448"/>
      <c r="M126" s="3449"/>
      <c r="N126" s="3450"/>
      <c r="O126" s="1421" t="s">
        <v>307</v>
      </c>
      <c r="P126" s="483" t="s">
        <v>308</v>
      </c>
      <c r="Q126" s="483" t="s">
        <v>679</v>
      </c>
      <c r="R126" s="415" t="s">
        <v>679</v>
      </c>
      <c r="S126" s="3461"/>
      <c r="T126" s="3447"/>
      <c r="U126" s="3462"/>
      <c r="V126" s="3446"/>
      <c r="W126" s="3447"/>
      <c r="X126" s="2200"/>
      <c r="Y126" s="416" t="b">
        <f t="shared" ref="Y126:Y129" si="12">+$Y$124</f>
        <v>0</v>
      </c>
    </row>
    <row r="127" spans="1:25">
      <c r="A127" s="3547"/>
      <c r="B127" s="3469"/>
      <c r="C127" s="3470"/>
      <c r="D127" s="3471"/>
      <c r="E127" s="3469"/>
      <c r="F127" s="3470"/>
      <c r="G127" s="3470"/>
      <c r="H127" s="3470"/>
      <c r="I127" s="3471"/>
      <c r="J127" s="3236"/>
      <c r="K127" s="3444"/>
      <c r="L127" s="3440">
        <f>IF(L126="",0,HLOOKUP(L126,O126:R127,2,0))</f>
        <v>0</v>
      </c>
      <c r="M127" s="3441"/>
      <c r="N127" s="3442"/>
      <c r="O127" s="308">
        <v>1.1000000000000001</v>
      </c>
      <c r="P127" s="316">
        <v>1</v>
      </c>
      <c r="Q127" s="316" t="s">
        <v>679</v>
      </c>
      <c r="R127" s="309" t="s">
        <v>679</v>
      </c>
      <c r="S127" s="3461"/>
      <c r="T127" s="3447"/>
      <c r="U127" s="3462"/>
      <c r="V127" s="3446"/>
      <c r="W127" s="3447"/>
      <c r="X127" s="2200"/>
      <c r="Y127" s="416" t="b">
        <f t="shared" si="12"/>
        <v>0</v>
      </c>
    </row>
    <row r="128" spans="1:25">
      <c r="A128" s="3547"/>
      <c r="B128" s="3469"/>
      <c r="C128" s="3470"/>
      <c r="D128" s="3471"/>
      <c r="E128" s="3469"/>
      <c r="F128" s="3470"/>
      <c r="G128" s="3470"/>
      <c r="H128" s="3470"/>
      <c r="I128" s="3471"/>
      <c r="J128" s="3236"/>
      <c r="K128" s="3443" t="s">
        <v>738</v>
      </c>
      <c r="L128" s="3448"/>
      <c r="M128" s="3449"/>
      <c r="N128" s="3450"/>
      <c r="O128" s="1421" t="s">
        <v>741</v>
      </c>
      <c r="P128" s="483" t="s">
        <v>712</v>
      </c>
      <c r="Q128" s="483" t="s">
        <v>743</v>
      </c>
      <c r="R128" s="415" t="s">
        <v>679</v>
      </c>
      <c r="S128" s="3461"/>
      <c r="T128" s="3447"/>
      <c r="U128" s="3462"/>
      <c r="V128" s="3446"/>
      <c r="W128" s="3447"/>
      <c r="X128" s="2200"/>
      <c r="Y128" s="416" t="b">
        <f t="shared" si="12"/>
        <v>0</v>
      </c>
    </row>
    <row r="129" spans="1:25" ht="11.5" thickBot="1">
      <c r="A129" s="3548"/>
      <c r="B129" s="3469"/>
      <c r="C129" s="3470"/>
      <c r="D129" s="3471"/>
      <c r="E129" s="3469"/>
      <c r="F129" s="3470"/>
      <c r="G129" s="3470"/>
      <c r="H129" s="3470"/>
      <c r="I129" s="3471"/>
      <c r="J129" s="3236"/>
      <c r="K129" s="3451"/>
      <c r="L129" s="3452">
        <f>IF(L128="",0,HLOOKUP(L128,O128:R129,2,0))</f>
        <v>0</v>
      </c>
      <c r="M129" s="3453"/>
      <c r="N129" s="3454"/>
      <c r="O129" s="364">
        <v>1.2</v>
      </c>
      <c r="P129" s="365">
        <v>1</v>
      </c>
      <c r="Q129" s="365">
        <v>0.7</v>
      </c>
      <c r="R129" s="366" t="s">
        <v>679</v>
      </c>
      <c r="S129" s="3461"/>
      <c r="T129" s="3447"/>
      <c r="U129" s="3462"/>
      <c r="V129" s="3446"/>
      <c r="W129" s="3447"/>
      <c r="X129" s="2200"/>
      <c r="Y129" s="416" t="b">
        <f t="shared" si="12"/>
        <v>0</v>
      </c>
    </row>
    <row r="130" spans="1:25" ht="12.5" thickTop="1">
      <c r="A130" s="1877"/>
      <c r="B130" s="1878"/>
      <c r="C130" s="1878"/>
      <c r="D130" s="1878"/>
      <c r="E130" s="1879"/>
      <c r="F130" s="1879"/>
      <c r="G130" s="1879"/>
      <c r="H130" s="1879"/>
      <c r="I130" s="1879"/>
      <c r="J130" s="1879"/>
      <c r="K130" s="1879"/>
      <c r="L130" s="1879"/>
      <c r="M130" s="1879"/>
      <c r="N130" s="1879"/>
      <c r="O130" s="1879"/>
      <c r="P130" s="1879"/>
      <c r="Q130" s="1879"/>
      <c r="R130" s="1879"/>
      <c r="S130" s="1880" t="s">
        <v>684</v>
      </c>
      <c r="T130" s="1881"/>
      <c r="U130" s="1879"/>
      <c r="V130" s="1882"/>
      <c r="W130" s="418">
        <f>SUM(W3:W129)</f>
        <v>0</v>
      </c>
      <c r="X130" s="2200"/>
      <c r="Y130" s="419" t="b">
        <v>1</v>
      </c>
    </row>
  </sheetData>
  <autoFilter ref="Y1:Y130" xr:uid="{00000000-0001-0000-0C00-000000000000}"/>
  <customSheetViews>
    <customSheetView guid="{6CFAA980-29D1-42A9-8342-BF14629EBE3B}" showGridLines="0" fitToPage="1" showAutoFilter="1">
      <pane ySplit="4" topLeftCell="A5" activePane="bottomLeft" state="frozen"/>
      <selection pane="bottomLeft" activeCell="W39" sqref="W39:W44"/>
      <pageMargins left="0.70866141732283472" right="0.19685039370078741" top="0.59055118110236227" bottom="0.43307086614173229" header="0.43307086614173229" footer="0.23622047244094491"/>
      <pageSetup paperSize="9" scale="57" orientation="portrait" r:id="rId1"/>
      <headerFooter alignWithMargins="0">
        <oddHeader>&amp;L&amp;"HG創英角ｺﾞｼｯｸUB,標準"&amp;11様式第２号 別紙２その２　建築設備計算書</oddHeader>
        <oddFooter>&amp;R&amp;D　&amp;T</oddFooter>
      </headerFooter>
      <autoFilter ref="X1:X130" xr:uid="{AC23BE7F-737B-414C-98D2-1F9689588389}"/>
    </customSheetView>
  </customSheetViews>
  <mergeCells count="479">
    <mergeCell ref="W116:W119"/>
    <mergeCell ref="L117:N117"/>
    <mergeCell ref="K118:K119"/>
    <mergeCell ref="L118:N118"/>
    <mergeCell ref="L119:N119"/>
    <mergeCell ref="E116:I119"/>
    <mergeCell ref="E120:I123"/>
    <mergeCell ref="J116:J119"/>
    <mergeCell ref="K116:K117"/>
    <mergeCell ref="L116:N116"/>
    <mergeCell ref="S116:S119"/>
    <mergeCell ref="T116:T119"/>
    <mergeCell ref="U116:U119"/>
    <mergeCell ref="V116:V119"/>
    <mergeCell ref="W29:W30"/>
    <mergeCell ref="S29:S30"/>
    <mergeCell ref="V29:V30"/>
    <mergeCell ref="K19:K20"/>
    <mergeCell ref="A1:W1"/>
    <mergeCell ref="A5:A16"/>
    <mergeCell ref="B5:B10"/>
    <mergeCell ref="B11:B16"/>
    <mergeCell ref="A3:I4"/>
    <mergeCell ref="K5:K6"/>
    <mergeCell ref="K11:K12"/>
    <mergeCell ref="K15:K16"/>
    <mergeCell ref="K9:K10"/>
    <mergeCell ref="L9:N9"/>
    <mergeCell ref="L10:N10"/>
    <mergeCell ref="J5:J10"/>
    <mergeCell ref="K7:K8"/>
    <mergeCell ref="T27:T28"/>
    <mergeCell ref="U27:U28"/>
    <mergeCell ref="V27:V28"/>
    <mergeCell ref="U29:U30"/>
    <mergeCell ref="T29:T30"/>
    <mergeCell ref="U23:U26"/>
    <mergeCell ref="T23:T26"/>
    <mergeCell ref="K31:K32"/>
    <mergeCell ref="E31:I32"/>
    <mergeCell ref="J23:J24"/>
    <mergeCell ref="K25:R26"/>
    <mergeCell ref="L11:N11"/>
    <mergeCell ref="L15:N15"/>
    <mergeCell ref="L16:N16"/>
    <mergeCell ref="L13:N13"/>
    <mergeCell ref="L12:N12"/>
    <mergeCell ref="L14:N14"/>
    <mergeCell ref="J11:J16"/>
    <mergeCell ref="E17:I18"/>
    <mergeCell ref="K29:K30"/>
    <mergeCell ref="E21:I22"/>
    <mergeCell ref="K23:K24"/>
    <mergeCell ref="J31:J32"/>
    <mergeCell ref="K27:K28"/>
    <mergeCell ref="J29:J30"/>
    <mergeCell ref="J27:J28"/>
    <mergeCell ref="K21:K22"/>
    <mergeCell ref="K13:K14"/>
    <mergeCell ref="J21:J22"/>
    <mergeCell ref="J17:J18"/>
    <mergeCell ref="J19:J20"/>
    <mergeCell ref="S23:S26"/>
    <mergeCell ref="E100:I103"/>
    <mergeCell ref="E104:I107"/>
    <mergeCell ref="E108:I109"/>
    <mergeCell ref="E96:I99"/>
    <mergeCell ref="E77:I83"/>
    <mergeCell ref="E84:I88"/>
    <mergeCell ref="E35:I36"/>
    <mergeCell ref="L27:N27"/>
    <mergeCell ref="K71:K72"/>
    <mergeCell ref="J49:J50"/>
    <mergeCell ref="K49:K50"/>
    <mergeCell ref="K51:K52"/>
    <mergeCell ref="K61:K62"/>
    <mergeCell ref="K65:K66"/>
    <mergeCell ref="E33:I34"/>
    <mergeCell ref="J33:J34"/>
    <mergeCell ref="H69:I72"/>
    <mergeCell ref="J65:J68"/>
    <mergeCell ref="H53:I54"/>
    <mergeCell ref="L68:N68"/>
    <mergeCell ref="L109:N109"/>
    <mergeCell ref="K108:K109"/>
    <mergeCell ref="J96:J99"/>
    <mergeCell ref="T31:T32"/>
    <mergeCell ref="L31:N31"/>
    <mergeCell ref="W17:W18"/>
    <mergeCell ref="T33:T34"/>
    <mergeCell ref="W27:W28"/>
    <mergeCell ref="V21:V22"/>
    <mergeCell ref="U21:U22"/>
    <mergeCell ref="T21:T22"/>
    <mergeCell ref="V31:V32"/>
    <mergeCell ref="W21:W22"/>
    <mergeCell ref="U31:U32"/>
    <mergeCell ref="L28:N28"/>
    <mergeCell ref="L24:N24"/>
    <mergeCell ref="L29:N29"/>
    <mergeCell ref="L30:N30"/>
    <mergeCell ref="L23:N23"/>
    <mergeCell ref="S27:S28"/>
    <mergeCell ref="W31:W32"/>
    <mergeCell ref="W33:W34"/>
    <mergeCell ref="V33:V34"/>
    <mergeCell ref="L32:N32"/>
    <mergeCell ref="V23:V26"/>
    <mergeCell ref="S33:S34"/>
    <mergeCell ref="U33:U34"/>
    <mergeCell ref="W23:W26"/>
    <mergeCell ref="L61:N61"/>
    <mergeCell ref="V65:V68"/>
    <mergeCell ref="S61:S64"/>
    <mergeCell ref="T61:T64"/>
    <mergeCell ref="U61:U64"/>
    <mergeCell ref="V61:V64"/>
    <mergeCell ref="S59:S60"/>
    <mergeCell ref="T59:T60"/>
    <mergeCell ref="U59:U60"/>
    <mergeCell ref="V59:V60"/>
    <mergeCell ref="L65:N65"/>
    <mergeCell ref="W49:W50"/>
    <mergeCell ref="L56:N56"/>
    <mergeCell ref="L52:N52"/>
    <mergeCell ref="L51:N51"/>
    <mergeCell ref="L55:N55"/>
    <mergeCell ref="V49:V50"/>
    <mergeCell ref="V51:V52"/>
    <mergeCell ref="W51:W52"/>
    <mergeCell ref="T53:T54"/>
    <mergeCell ref="U53:U54"/>
    <mergeCell ref="W59:W60"/>
    <mergeCell ref="W53:W54"/>
    <mergeCell ref="K112:K113"/>
    <mergeCell ref="K114:K115"/>
    <mergeCell ref="L114:N114"/>
    <mergeCell ref="L115:N115"/>
    <mergeCell ref="V112:V113"/>
    <mergeCell ref="W112:W113"/>
    <mergeCell ref="L46:N46"/>
    <mergeCell ref="S49:S50"/>
    <mergeCell ref="T49:T50"/>
    <mergeCell ref="U49:U50"/>
    <mergeCell ref="S45:S48"/>
    <mergeCell ref="S100:S103"/>
    <mergeCell ref="T100:T103"/>
    <mergeCell ref="U100:U103"/>
    <mergeCell ref="S96:S99"/>
    <mergeCell ref="L71:N71"/>
    <mergeCell ref="T69:T72"/>
    <mergeCell ref="V73:V76"/>
    <mergeCell ref="L70:N70"/>
    <mergeCell ref="L72:N72"/>
    <mergeCell ref="L74:N74"/>
    <mergeCell ref="L75:N75"/>
    <mergeCell ref="L106:N106"/>
    <mergeCell ref="L66:N66"/>
    <mergeCell ref="W100:W103"/>
    <mergeCell ref="T104:T107"/>
    <mergeCell ref="U104:U107"/>
    <mergeCell ref="V104:V107"/>
    <mergeCell ref="W104:W107"/>
    <mergeCell ref="J104:J107"/>
    <mergeCell ref="L104:N104"/>
    <mergeCell ref="S104:S107"/>
    <mergeCell ref="L105:N105"/>
    <mergeCell ref="K104:K105"/>
    <mergeCell ref="L107:N107"/>
    <mergeCell ref="K106:K107"/>
    <mergeCell ref="V100:V103"/>
    <mergeCell ref="K96:K97"/>
    <mergeCell ref="L96:N96"/>
    <mergeCell ref="K98:K99"/>
    <mergeCell ref="L98:N98"/>
    <mergeCell ref="L99:N99"/>
    <mergeCell ref="L97:N97"/>
    <mergeCell ref="J100:J103"/>
    <mergeCell ref="K100:K101"/>
    <mergeCell ref="L100:N100"/>
    <mergeCell ref="L101:N101"/>
    <mergeCell ref="K102:K103"/>
    <mergeCell ref="L102:N102"/>
    <mergeCell ref="L103:N103"/>
    <mergeCell ref="W73:W76"/>
    <mergeCell ref="W61:W64"/>
    <mergeCell ref="W65:W68"/>
    <mergeCell ref="U69:U72"/>
    <mergeCell ref="V69:V72"/>
    <mergeCell ref="W69:W72"/>
    <mergeCell ref="V96:V99"/>
    <mergeCell ref="U96:U99"/>
    <mergeCell ref="W96:W99"/>
    <mergeCell ref="W77:W83"/>
    <mergeCell ref="U84:U88"/>
    <mergeCell ref="U77:U83"/>
    <mergeCell ref="V77:V83"/>
    <mergeCell ref="W91:W95"/>
    <mergeCell ref="W84:W88"/>
    <mergeCell ref="W89:W90"/>
    <mergeCell ref="U91:U95"/>
    <mergeCell ref="V91:V95"/>
    <mergeCell ref="V84:V88"/>
    <mergeCell ref="W55:W56"/>
    <mergeCell ref="S51:S52"/>
    <mergeCell ref="T51:T52"/>
    <mergeCell ref="U51:U52"/>
    <mergeCell ref="S53:S54"/>
    <mergeCell ref="S55:S56"/>
    <mergeCell ref="T55:T56"/>
    <mergeCell ref="U55:U56"/>
    <mergeCell ref="V53:V54"/>
    <mergeCell ref="W45:W48"/>
    <mergeCell ref="K47:K48"/>
    <mergeCell ref="L47:N47"/>
    <mergeCell ref="L48:N48"/>
    <mergeCell ref="T39:T44"/>
    <mergeCell ref="K39:K40"/>
    <mergeCell ref="L40:N40"/>
    <mergeCell ref="K43:K44"/>
    <mergeCell ref="U39:U44"/>
    <mergeCell ref="L42:N42"/>
    <mergeCell ref="V39:V44"/>
    <mergeCell ref="L44:N44"/>
    <mergeCell ref="L43:N43"/>
    <mergeCell ref="L45:N45"/>
    <mergeCell ref="V37:V38"/>
    <mergeCell ref="W37:W38"/>
    <mergeCell ref="L36:N36"/>
    <mergeCell ref="J35:J36"/>
    <mergeCell ref="L35:N35"/>
    <mergeCell ref="U35:U36"/>
    <mergeCell ref="S35:S36"/>
    <mergeCell ref="T35:T36"/>
    <mergeCell ref="T37:T38"/>
    <mergeCell ref="L38:N38"/>
    <mergeCell ref="S31:S32"/>
    <mergeCell ref="W35:W36"/>
    <mergeCell ref="V35:V36"/>
    <mergeCell ref="U37:U38"/>
    <mergeCell ref="S37:S38"/>
    <mergeCell ref="W3:W4"/>
    <mergeCell ref="J3:J4"/>
    <mergeCell ref="K3:K4"/>
    <mergeCell ref="L3:N4"/>
    <mergeCell ref="S3:S4"/>
    <mergeCell ref="T3:T4"/>
    <mergeCell ref="U3:V4"/>
    <mergeCell ref="L17:N17"/>
    <mergeCell ref="L18:N18"/>
    <mergeCell ref="K17:K18"/>
    <mergeCell ref="L5:N5"/>
    <mergeCell ref="L6:N6"/>
    <mergeCell ref="W5:W10"/>
    <mergeCell ref="T5:T10"/>
    <mergeCell ref="W11:W16"/>
    <mergeCell ref="S11:S16"/>
    <mergeCell ref="T11:T16"/>
    <mergeCell ref="U11:U16"/>
    <mergeCell ref="V11:V16"/>
    <mergeCell ref="U5:U10"/>
    <mergeCell ref="V5:V10"/>
    <mergeCell ref="L21:N21"/>
    <mergeCell ref="L22:N22"/>
    <mergeCell ref="V17:V18"/>
    <mergeCell ref="S21:S22"/>
    <mergeCell ref="S17:S18"/>
    <mergeCell ref="T17:T18"/>
    <mergeCell ref="U17:U18"/>
    <mergeCell ref="S5:S10"/>
    <mergeCell ref="L7:N7"/>
    <mergeCell ref="L8:N8"/>
    <mergeCell ref="L19:N19"/>
    <mergeCell ref="S19:S20"/>
    <mergeCell ref="T19:T20"/>
    <mergeCell ref="U19:U20"/>
    <mergeCell ref="V19:V20"/>
    <mergeCell ref="L33:N33"/>
    <mergeCell ref="L34:N34"/>
    <mergeCell ref="K35:K36"/>
    <mergeCell ref="L62:N62"/>
    <mergeCell ref="K63:K64"/>
    <mergeCell ref="L63:N63"/>
    <mergeCell ref="J39:J44"/>
    <mergeCell ref="J59:J60"/>
    <mergeCell ref="J61:J64"/>
    <mergeCell ref="J45:J48"/>
    <mergeCell ref="J51:J52"/>
    <mergeCell ref="J53:J54"/>
    <mergeCell ref="K53:K54"/>
    <mergeCell ref="L54:N54"/>
    <mergeCell ref="L53:N53"/>
    <mergeCell ref="J55:J56"/>
    <mergeCell ref="J37:J38"/>
    <mergeCell ref="K37:K38"/>
    <mergeCell ref="L37:N37"/>
    <mergeCell ref="K41:K42"/>
    <mergeCell ref="K55:K56"/>
    <mergeCell ref="K33:K34"/>
    <mergeCell ref="L41:N41"/>
    <mergeCell ref="L39:N39"/>
    <mergeCell ref="B114:D123"/>
    <mergeCell ref="E114:H115"/>
    <mergeCell ref="B124:D129"/>
    <mergeCell ref="E124:I129"/>
    <mergeCell ref="E69:G76"/>
    <mergeCell ref="A17:A34"/>
    <mergeCell ref="B23:D26"/>
    <mergeCell ref="B27:D32"/>
    <mergeCell ref="B17:D22"/>
    <mergeCell ref="B33:D34"/>
    <mergeCell ref="E23:F26"/>
    <mergeCell ref="G23:H26"/>
    <mergeCell ref="I23:I24"/>
    <mergeCell ref="E27:F30"/>
    <mergeCell ref="G27:I28"/>
    <mergeCell ref="G29:I30"/>
    <mergeCell ref="E19:I20"/>
    <mergeCell ref="B37:D48"/>
    <mergeCell ref="A35:A129"/>
    <mergeCell ref="B35:D36"/>
    <mergeCell ref="E37:I38"/>
    <mergeCell ref="E45:I48"/>
    <mergeCell ref="H55:I56"/>
    <mergeCell ref="E59:I60"/>
    <mergeCell ref="E61:I64"/>
    <mergeCell ref="E65:I68"/>
    <mergeCell ref="E39:I44"/>
    <mergeCell ref="B49:D109"/>
    <mergeCell ref="E49:E58"/>
    <mergeCell ref="F49:G52"/>
    <mergeCell ref="H49:I50"/>
    <mergeCell ref="H51:I52"/>
    <mergeCell ref="H73:I76"/>
    <mergeCell ref="E89:I90"/>
    <mergeCell ref="E91:I95"/>
    <mergeCell ref="L49:N49"/>
    <mergeCell ref="L50:N50"/>
    <mergeCell ref="V89:V90"/>
    <mergeCell ref="T96:T99"/>
    <mergeCell ref="L87:N87"/>
    <mergeCell ref="L85:N85"/>
    <mergeCell ref="L86:N86"/>
    <mergeCell ref="T84:T88"/>
    <mergeCell ref="S77:S83"/>
    <mergeCell ref="L64:N64"/>
    <mergeCell ref="L76:N76"/>
    <mergeCell ref="U73:U76"/>
    <mergeCell ref="U65:U68"/>
    <mergeCell ref="S73:S76"/>
    <mergeCell ref="T73:T76"/>
    <mergeCell ref="V55:V56"/>
    <mergeCell ref="J69:J72"/>
    <mergeCell ref="S69:S72"/>
    <mergeCell ref="K69:K70"/>
    <mergeCell ref="L69:N69"/>
    <mergeCell ref="B110:D113"/>
    <mergeCell ref="W39:W44"/>
    <mergeCell ref="T45:T48"/>
    <mergeCell ref="U45:U48"/>
    <mergeCell ref="V45:V48"/>
    <mergeCell ref="S39:S44"/>
    <mergeCell ref="W57:W58"/>
    <mergeCell ref="F57:G58"/>
    <mergeCell ref="H57:I58"/>
    <mergeCell ref="J57:J58"/>
    <mergeCell ref="S57:S58"/>
    <mergeCell ref="K57:K58"/>
    <mergeCell ref="L57:N57"/>
    <mergeCell ref="L58:N58"/>
    <mergeCell ref="F53:G56"/>
    <mergeCell ref="T57:T58"/>
    <mergeCell ref="U57:U58"/>
    <mergeCell ref="V57:V58"/>
    <mergeCell ref="K45:K46"/>
    <mergeCell ref="U89:U90"/>
    <mergeCell ref="J77:J83"/>
    <mergeCell ref="L89:N89"/>
    <mergeCell ref="L90:N90"/>
    <mergeCell ref="K59:K60"/>
    <mergeCell ref="L60:N60"/>
    <mergeCell ref="L59:N59"/>
    <mergeCell ref="L67:N67"/>
    <mergeCell ref="K67:K68"/>
    <mergeCell ref="T65:T68"/>
    <mergeCell ref="K79:K81"/>
    <mergeCell ref="K73:K74"/>
    <mergeCell ref="L73:N73"/>
    <mergeCell ref="K75:K76"/>
    <mergeCell ref="S65:S68"/>
    <mergeCell ref="T77:T83"/>
    <mergeCell ref="L77:N77"/>
    <mergeCell ref="L80:N80"/>
    <mergeCell ref="L81:N81"/>
    <mergeCell ref="L78:N78"/>
    <mergeCell ref="K82:K83"/>
    <mergeCell ref="L83:N83"/>
    <mergeCell ref="L82:N82"/>
    <mergeCell ref="J73:J76"/>
    <mergeCell ref="K77:K78"/>
    <mergeCell ref="J91:J95"/>
    <mergeCell ref="K91:K93"/>
    <mergeCell ref="S91:S95"/>
    <mergeCell ref="T91:T95"/>
    <mergeCell ref="K94:K95"/>
    <mergeCell ref="L94:N94"/>
    <mergeCell ref="L95:N95"/>
    <mergeCell ref="L88:N88"/>
    <mergeCell ref="K87:K88"/>
    <mergeCell ref="L93:N93"/>
    <mergeCell ref="L92:N92"/>
    <mergeCell ref="J89:J90"/>
    <mergeCell ref="K89:K90"/>
    <mergeCell ref="S89:S90"/>
    <mergeCell ref="T89:T90"/>
    <mergeCell ref="J84:J88"/>
    <mergeCell ref="K84:K86"/>
    <mergeCell ref="S84:S88"/>
    <mergeCell ref="U110:U111"/>
    <mergeCell ref="V110:V111"/>
    <mergeCell ref="W110:W111"/>
    <mergeCell ref="E112:I113"/>
    <mergeCell ref="S108:S109"/>
    <mergeCell ref="T108:T109"/>
    <mergeCell ref="U108:U109"/>
    <mergeCell ref="V108:V109"/>
    <mergeCell ref="J108:J109"/>
    <mergeCell ref="L113:N113"/>
    <mergeCell ref="J112:J113"/>
    <mergeCell ref="S112:S113"/>
    <mergeCell ref="T112:T113"/>
    <mergeCell ref="U112:U113"/>
    <mergeCell ref="W108:W109"/>
    <mergeCell ref="E110:I111"/>
    <mergeCell ref="J110:J111"/>
    <mergeCell ref="S110:S111"/>
    <mergeCell ref="T110:T111"/>
    <mergeCell ref="K110:K111"/>
    <mergeCell ref="L110:N110"/>
    <mergeCell ref="L111:N111"/>
    <mergeCell ref="L112:N112"/>
    <mergeCell ref="L108:N108"/>
    <mergeCell ref="T124:T129"/>
    <mergeCell ref="U124:U129"/>
    <mergeCell ref="J114:J115"/>
    <mergeCell ref="S114:S115"/>
    <mergeCell ref="J120:J123"/>
    <mergeCell ref="S120:S123"/>
    <mergeCell ref="K122:K123"/>
    <mergeCell ref="L122:N122"/>
    <mergeCell ref="L123:N123"/>
    <mergeCell ref="T120:T123"/>
    <mergeCell ref="K120:K121"/>
    <mergeCell ref="L120:N120"/>
    <mergeCell ref="L121:N121"/>
    <mergeCell ref="C5:D5"/>
    <mergeCell ref="C11:D11"/>
    <mergeCell ref="W19:W20"/>
    <mergeCell ref="L20:N20"/>
    <mergeCell ref="J124:J129"/>
    <mergeCell ref="K124:K125"/>
    <mergeCell ref="V124:V129"/>
    <mergeCell ref="W124:W129"/>
    <mergeCell ref="L125:N125"/>
    <mergeCell ref="K126:K127"/>
    <mergeCell ref="L126:N126"/>
    <mergeCell ref="L127:N127"/>
    <mergeCell ref="K128:K129"/>
    <mergeCell ref="L128:N128"/>
    <mergeCell ref="L129:N129"/>
    <mergeCell ref="L124:N124"/>
    <mergeCell ref="U120:U123"/>
    <mergeCell ref="V120:V123"/>
    <mergeCell ref="W120:W123"/>
    <mergeCell ref="T114:T115"/>
    <mergeCell ref="U114:U115"/>
    <mergeCell ref="V114:V115"/>
    <mergeCell ref="W114:W115"/>
    <mergeCell ref="S124:S129"/>
  </mergeCells>
  <phoneticPr fontId="17"/>
  <conditionalFormatting sqref="L40:N40">
    <cfRule type="cellIs" dxfId="4" priority="5" operator="greaterThan">
      <formula>$O$40</formula>
    </cfRule>
  </conditionalFormatting>
  <conditionalFormatting sqref="L46:N46">
    <cfRule type="cellIs" dxfId="3" priority="4" operator="greaterThan">
      <formula>$O$46</formula>
    </cfRule>
  </conditionalFormatting>
  <conditionalFormatting sqref="W5:W10">
    <cfRule type="expression" dxfId="2" priority="2">
      <formula>OR($W$11&lt;&gt;0,SUM($U$17:$U$34)&lt;&gt;0)</formula>
    </cfRule>
  </conditionalFormatting>
  <conditionalFormatting sqref="W11:W16">
    <cfRule type="expression" dxfId="1" priority="1">
      <formula>OR($W$5&lt;&gt;0,SUM($U$17:$U$34)&lt;&gt;0)</formula>
    </cfRule>
  </conditionalFormatting>
  <conditionalFormatting sqref="W17:W34">
    <cfRule type="expression" dxfId="0" priority="3">
      <formula>OR($W$5&lt;&gt;0,$W$11&lt;&gt;0)</formula>
    </cfRule>
  </conditionalFormatting>
  <dataValidations disablePrompts="1" count="7">
    <dataValidation type="list" allowBlank="1" showInputMessage="1" showErrorMessage="1" sqref="L77 L82 L67 L63 L65 L23 L57 L55 L53 L51 L49 L37 L35 L17 L87 L94 L98 L96 L106 L108 L110 L27 L114 L19 L112 L124 L126 L128 L29 L7 L9 L13 L15 L31 L73 L41 L43 L47 L33 L21 L102 L89 L71 L69 L75 L59:N59" xr:uid="{00000000-0002-0000-0C00-000000000000}">
      <formula1>$O7:$R7</formula1>
    </dataValidation>
    <dataValidation type="list" allowBlank="1" showInputMessage="1" showErrorMessage="1" sqref="L5:N5 L11:N11" xr:uid="{00000000-0002-0000-0C00-000001000000}">
      <formula1>$O5:$P5</formula1>
    </dataValidation>
    <dataValidation type="list" allowBlank="1" showInputMessage="1" showErrorMessage="1" sqref="L120:N120" xr:uid="{00000000-0002-0000-0C00-000002000000}">
      <formula1>$O$120:$Q$120</formula1>
    </dataValidation>
    <dataValidation type="list" allowBlank="1" showInputMessage="1" showErrorMessage="1" sqref="L122:N122" xr:uid="{00000000-0002-0000-0C00-000003000000}">
      <formula1>$O$122:$Q$122</formula1>
    </dataValidation>
    <dataValidation type="list" allowBlank="1" showInputMessage="1" showErrorMessage="1" sqref="L116:N116" xr:uid="{00000000-0002-0000-0C00-000004000000}">
      <formula1>$O$116:$Q$116</formula1>
    </dataValidation>
    <dataValidation type="list" allowBlank="1" showInputMessage="1" showErrorMessage="1" sqref="L118:N118" xr:uid="{00000000-0002-0000-0C00-000005000000}">
      <formula1>$O$118:$Q$118</formula1>
    </dataValidation>
    <dataValidation imeMode="off" allowBlank="1" showInputMessage="1" showErrorMessage="1" sqref="J5:J129" xr:uid="{53DC1CBB-6F5A-4EE6-B173-D40401021DCB}"/>
  </dataValidations>
  <pageMargins left="0.70866141732283472" right="0.19685039370078741" top="0.59055118110236227" bottom="0.43307086614173229" header="0.43307086614173229" footer="0.23622047244094491"/>
  <pageSetup paperSize="9" scale="57" orientation="portrait" r:id="rId2"/>
  <headerFooter alignWithMargins="0">
    <oddHeader>&amp;L&amp;"HG創英角ｺﾞｼｯｸUB,標準"&amp;11様式第２号 別紙２その２　建築設備計算書</oddHeader>
    <oddFooter>&amp;R&amp;D　&amp;T</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00B050"/>
  </sheetPr>
  <dimension ref="A1:BZ623"/>
  <sheetViews>
    <sheetView showGridLines="0" zoomScale="80" zoomScaleNormal="80" workbookViewId="0">
      <pane xSplit="3" ySplit="1" topLeftCell="D544" activePane="bottomRight" state="frozen"/>
      <selection activeCell="A2" sqref="A2:F2"/>
      <selection pane="topRight" activeCell="A2" sqref="A2:F2"/>
      <selection pane="bottomLeft" activeCell="A2" sqref="A2:F2"/>
      <selection pane="bottomRight" activeCell="L574" sqref="L574"/>
    </sheetView>
  </sheetViews>
  <sheetFormatPr defaultRowHeight="18" customHeight="1"/>
  <cols>
    <col min="1" max="1" width="1.33203125" customWidth="1"/>
    <col min="2" max="2" width="31" customWidth="1"/>
    <col min="3" max="3" width="19.33203125" customWidth="1"/>
    <col min="4" max="4" width="10.109375" customWidth="1"/>
    <col min="10" max="10" width="9.6640625" bestFit="1" customWidth="1"/>
    <col min="12" max="12" width="9.6640625" bestFit="1" customWidth="1"/>
    <col min="14" max="14" width="10.6640625" bestFit="1" customWidth="1"/>
    <col min="24" max="24" width="10.6640625" bestFit="1" customWidth="1"/>
    <col min="42" max="42" width="10.33203125" bestFit="1" customWidth="1"/>
  </cols>
  <sheetData>
    <row r="1" spans="1:67" ht="18" customHeight="1">
      <c r="A1" s="420" t="s">
        <v>47</v>
      </c>
      <c r="B1" s="1"/>
      <c r="C1">
        <v>2</v>
      </c>
      <c r="D1" s="88">
        <v>3</v>
      </c>
      <c r="E1" s="88">
        <v>4</v>
      </c>
      <c r="F1">
        <v>5</v>
      </c>
      <c r="G1">
        <v>6</v>
      </c>
      <c r="H1" s="88">
        <v>7</v>
      </c>
      <c r="I1" s="88">
        <v>8</v>
      </c>
      <c r="J1">
        <v>9</v>
      </c>
      <c r="K1">
        <v>10</v>
      </c>
      <c r="L1" s="88">
        <v>11</v>
      </c>
      <c r="M1" s="88">
        <v>12</v>
      </c>
      <c r="N1">
        <v>13</v>
      </c>
      <c r="O1">
        <v>14</v>
      </c>
      <c r="P1" s="88">
        <v>15</v>
      </c>
      <c r="Q1" s="88">
        <v>16</v>
      </c>
      <c r="R1">
        <v>17</v>
      </c>
      <c r="S1">
        <v>18</v>
      </c>
      <c r="T1" s="88">
        <v>19</v>
      </c>
      <c r="U1" s="88">
        <v>20</v>
      </c>
      <c r="V1">
        <v>21</v>
      </c>
      <c r="W1">
        <v>22</v>
      </c>
      <c r="X1" s="88">
        <v>23</v>
      </c>
      <c r="Y1" s="88">
        <v>24</v>
      </c>
      <c r="Z1">
        <v>25</v>
      </c>
      <c r="AA1">
        <v>26</v>
      </c>
      <c r="AB1" s="88">
        <v>27</v>
      </c>
      <c r="AC1" s="88">
        <v>28</v>
      </c>
      <c r="AD1">
        <v>29</v>
      </c>
      <c r="AE1">
        <v>30</v>
      </c>
      <c r="AF1" s="88">
        <v>31</v>
      </c>
      <c r="AG1" s="88">
        <v>32</v>
      </c>
      <c r="AH1">
        <v>33</v>
      </c>
      <c r="AI1">
        <v>34</v>
      </c>
      <c r="AJ1" s="88">
        <v>35</v>
      </c>
      <c r="AK1" s="88">
        <v>36</v>
      </c>
      <c r="AL1">
        <v>37</v>
      </c>
      <c r="AM1">
        <v>38</v>
      </c>
      <c r="AN1" s="88">
        <v>39</v>
      </c>
      <c r="AO1" s="88">
        <v>40</v>
      </c>
      <c r="AP1">
        <v>41</v>
      </c>
      <c r="AQ1">
        <v>42</v>
      </c>
      <c r="AR1" s="88">
        <v>43</v>
      </c>
      <c r="AS1" s="88">
        <v>44</v>
      </c>
      <c r="AT1">
        <v>45</v>
      </c>
      <c r="AU1">
        <v>46</v>
      </c>
      <c r="AV1" s="88">
        <v>47</v>
      </c>
      <c r="AW1" s="88">
        <v>48</v>
      </c>
      <c r="AX1">
        <v>49</v>
      </c>
      <c r="AY1">
        <v>50</v>
      </c>
      <c r="BA1" s="88"/>
      <c r="BC1" s="88"/>
      <c r="BE1" s="88"/>
      <c r="BG1" s="88"/>
      <c r="BI1" s="88"/>
      <c r="BK1" s="88"/>
      <c r="BM1" s="88"/>
      <c r="BO1" s="88"/>
    </row>
    <row r="2" spans="1:67" ht="18" customHeight="1">
      <c r="A2" s="420"/>
      <c r="B2" s="421" t="s">
        <v>309</v>
      </c>
      <c r="C2" s="878" t="s">
        <v>5472</v>
      </c>
      <c r="D2" s="88"/>
    </row>
    <row r="3" spans="1:67" ht="18" customHeight="1">
      <c r="B3" s="303" t="s">
        <v>310</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row>
    <row r="4" spans="1:67" ht="18" customHeight="1">
      <c r="B4" s="1941" t="s">
        <v>311</v>
      </c>
      <c r="C4" s="1883" t="s">
        <v>687</v>
      </c>
      <c r="D4" s="1884" t="s">
        <v>312</v>
      </c>
      <c r="E4" s="1885"/>
      <c r="F4" s="1885"/>
      <c r="G4" s="1885"/>
      <c r="H4" s="1885"/>
      <c r="I4" s="1885"/>
      <c r="J4" s="1885"/>
      <c r="K4" s="1886"/>
      <c r="L4" s="1887" t="s">
        <v>313</v>
      </c>
      <c r="M4" s="1888"/>
      <c r="N4" s="1889"/>
      <c r="O4" s="1889"/>
      <c r="P4" s="1889"/>
      <c r="Q4" s="1889"/>
      <c r="R4" s="1889"/>
      <c r="S4" s="1890"/>
      <c r="T4" s="1891"/>
      <c r="U4" s="1892" t="s">
        <v>314</v>
      </c>
      <c r="V4" s="1885"/>
      <c r="W4" s="1885"/>
      <c r="X4" s="1885"/>
      <c r="Y4" s="1885"/>
      <c r="Z4" s="1893"/>
      <c r="AA4" s="1884" t="s">
        <v>315</v>
      </c>
      <c r="AB4" s="1884"/>
      <c r="AC4" s="1885"/>
      <c r="AD4" s="1885"/>
      <c r="AE4" s="1885"/>
      <c r="AF4" s="1885"/>
      <c r="AG4" s="1885"/>
      <c r="AH4" s="1886"/>
      <c r="AI4" s="1893"/>
      <c r="AJ4" s="1888" t="s">
        <v>316</v>
      </c>
      <c r="AK4" s="1889"/>
      <c r="AL4" s="1889"/>
      <c r="AM4" s="1889"/>
      <c r="AN4" s="1889"/>
      <c r="AO4" s="1891"/>
      <c r="AP4" s="423"/>
      <c r="AQ4" s="423"/>
      <c r="AR4" s="423"/>
      <c r="AS4" s="423"/>
      <c r="AT4" s="423"/>
      <c r="AU4" s="423"/>
      <c r="AV4" s="423"/>
      <c r="AW4" s="423"/>
      <c r="AX4" s="423"/>
      <c r="AY4" s="423"/>
      <c r="AZ4" s="423"/>
      <c r="BA4" s="424"/>
    </row>
    <row r="5" spans="1:67" ht="18" customHeight="1">
      <c r="B5" s="1942"/>
      <c r="C5" s="1894" t="s">
        <v>317</v>
      </c>
      <c r="D5" s="1895" t="s">
        <v>318</v>
      </c>
      <c r="E5" s="1896"/>
      <c r="F5" s="1896" t="s">
        <v>319</v>
      </c>
      <c r="G5" s="1896"/>
      <c r="H5" s="1896" t="s">
        <v>320</v>
      </c>
      <c r="I5" s="1896"/>
      <c r="J5" s="1896" t="s">
        <v>320</v>
      </c>
      <c r="K5" s="1897"/>
      <c r="L5" s="1898" t="s">
        <v>318</v>
      </c>
      <c r="M5" s="1899"/>
      <c r="N5" s="1900"/>
      <c r="O5" s="1900" t="s">
        <v>319</v>
      </c>
      <c r="P5" s="1900"/>
      <c r="Q5" s="1900"/>
      <c r="R5" s="1900" t="s">
        <v>320</v>
      </c>
      <c r="S5" s="1901"/>
      <c r="T5" s="1902"/>
      <c r="U5" s="1903" t="s">
        <v>318</v>
      </c>
      <c r="V5" s="1896"/>
      <c r="W5" s="1896" t="s">
        <v>319</v>
      </c>
      <c r="X5" s="1896"/>
      <c r="Y5" s="1896" t="s">
        <v>320</v>
      </c>
      <c r="Z5" s="1904"/>
      <c r="AA5" s="1895" t="s">
        <v>318</v>
      </c>
      <c r="AB5" s="1895"/>
      <c r="AC5" s="1896"/>
      <c r="AD5" s="1896" t="s">
        <v>319</v>
      </c>
      <c r="AE5" s="1896"/>
      <c r="AF5" s="1896"/>
      <c r="AG5" s="1896" t="s">
        <v>320</v>
      </c>
      <c r="AH5" s="1897"/>
      <c r="AI5" s="1904"/>
      <c r="AJ5" s="1899" t="s">
        <v>318</v>
      </c>
      <c r="AK5" s="1900"/>
      <c r="AL5" s="1900" t="s">
        <v>319</v>
      </c>
      <c r="AM5" s="1900"/>
      <c r="AN5" s="1905" t="s">
        <v>1109</v>
      </c>
      <c r="AO5" s="1902"/>
      <c r="AP5" s="425"/>
      <c r="AQ5" s="425"/>
      <c r="AR5" s="425"/>
      <c r="AS5" s="425"/>
      <c r="AT5" s="425"/>
      <c r="AU5" s="425"/>
      <c r="AV5" s="425"/>
      <c r="AW5" s="425"/>
      <c r="AX5" s="425"/>
      <c r="AY5" s="425"/>
      <c r="AZ5" s="425"/>
      <c r="BA5" s="426"/>
    </row>
    <row r="6" spans="1:67" ht="18" customHeight="1">
      <c r="B6" s="1943" t="str">
        <f>+$C$572</f>
        <v>戸建形式住宅</v>
      </c>
      <c r="C6" s="588" t="s">
        <v>23</v>
      </c>
      <c r="D6" s="560" t="s">
        <v>5652</v>
      </c>
      <c r="E6" s="560" t="s">
        <v>5652</v>
      </c>
      <c r="F6" s="560" t="s">
        <v>5652</v>
      </c>
      <c r="G6" s="560" t="s">
        <v>5652</v>
      </c>
      <c r="H6" s="560" t="s">
        <v>5652</v>
      </c>
      <c r="I6" s="560" t="s">
        <v>5652</v>
      </c>
      <c r="J6" s="560" t="s">
        <v>5652</v>
      </c>
      <c r="K6" s="1045" t="s">
        <v>5652</v>
      </c>
      <c r="L6" s="606" t="s">
        <v>5652</v>
      </c>
      <c r="M6" s="560" t="s">
        <v>5652</v>
      </c>
      <c r="N6" s="560" t="s">
        <v>5652</v>
      </c>
      <c r="O6" s="560" t="s">
        <v>5652</v>
      </c>
      <c r="P6" s="560" t="s">
        <v>5652</v>
      </c>
      <c r="Q6" s="560" t="s">
        <v>5652</v>
      </c>
      <c r="R6" s="560" t="s">
        <v>5652</v>
      </c>
      <c r="S6" s="560" t="s">
        <v>5652</v>
      </c>
      <c r="T6" s="1049" t="s">
        <v>5652</v>
      </c>
      <c r="U6" s="606" t="s">
        <v>5652</v>
      </c>
      <c r="V6" s="560" t="s">
        <v>5652</v>
      </c>
      <c r="W6" s="560" t="s">
        <v>5652</v>
      </c>
      <c r="X6" s="560" t="s">
        <v>5652</v>
      </c>
      <c r="Y6" s="560" t="s">
        <v>5652</v>
      </c>
      <c r="Z6" s="1049" t="s">
        <v>5652</v>
      </c>
      <c r="AA6" s="560" t="s">
        <v>5652</v>
      </c>
      <c r="AB6" s="560" t="s">
        <v>5652</v>
      </c>
      <c r="AC6" s="560" t="s">
        <v>5652</v>
      </c>
      <c r="AD6" s="560" t="s">
        <v>5652</v>
      </c>
      <c r="AE6" s="560" t="s">
        <v>5652</v>
      </c>
      <c r="AF6" s="560" t="s">
        <v>5652</v>
      </c>
      <c r="AG6" s="560" t="s">
        <v>5652</v>
      </c>
      <c r="AH6" s="560" t="s">
        <v>5652</v>
      </c>
      <c r="AI6" s="1045" t="s">
        <v>5652</v>
      </c>
      <c r="AJ6" s="1046" t="s">
        <v>5652</v>
      </c>
      <c r="AK6" s="1047" t="s">
        <v>5652</v>
      </c>
      <c r="AL6" s="1047" t="s">
        <v>5652</v>
      </c>
      <c r="AM6" s="1047" t="s">
        <v>5652</v>
      </c>
      <c r="AN6" s="1047" t="s">
        <v>5652</v>
      </c>
      <c r="AO6" s="1048" t="s">
        <v>5652</v>
      </c>
      <c r="AP6" s="425"/>
      <c r="AQ6" s="425"/>
      <c r="AR6" s="425"/>
      <c r="AS6" s="425"/>
      <c r="AT6" s="425"/>
      <c r="AU6" s="425"/>
      <c r="AV6" s="425"/>
      <c r="AW6" s="425"/>
      <c r="AX6" s="425" t="s">
        <v>331</v>
      </c>
      <c r="AY6" s="425"/>
      <c r="AZ6" s="425"/>
      <c r="BA6" s="426"/>
    </row>
    <row r="7" spans="1:67" ht="18" customHeight="1">
      <c r="B7" s="1944" t="str">
        <f>+$C$573</f>
        <v>集合形式住宅</v>
      </c>
      <c r="C7" s="430">
        <v>52140</v>
      </c>
      <c r="D7" s="560" t="s">
        <v>5652</v>
      </c>
      <c r="E7" s="560" t="s">
        <v>5652</v>
      </c>
      <c r="F7" s="560" t="s">
        <v>5652</v>
      </c>
      <c r="G7" s="560" t="s">
        <v>5652</v>
      </c>
      <c r="H7" s="560" t="s">
        <v>5652</v>
      </c>
      <c r="I7" s="560" t="s">
        <v>5652</v>
      </c>
      <c r="J7" s="560" t="s">
        <v>5652</v>
      </c>
      <c r="K7" s="1045" t="s">
        <v>5652</v>
      </c>
      <c r="L7" s="434" t="s">
        <v>326</v>
      </c>
      <c r="M7" s="1197">
        <v>5</v>
      </c>
      <c r="N7" s="432">
        <v>1.25</v>
      </c>
      <c r="O7" s="435" t="s">
        <v>327</v>
      </c>
      <c r="P7" s="435">
        <v>25</v>
      </c>
      <c r="Q7" s="432">
        <v>1</v>
      </c>
      <c r="R7" s="435" t="s">
        <v>328</v>
      </c>
      <c r="S7" s="1198">
        <v>50</v>
      </c>
      <c r="T7" s="433">
        <v>0.9</v>
      </c>
      <c r="U7" s="1050" t="s">
        <v>5726</v>
      </c>
      <c r="V7" s="432">
        <v>1.5</v>
      </c>
      <c r="W7" s="559" t="s">
        <v>5727</v>
      </c>
      <c r="X7" s="432">
        <v>1</v>
      </c>
      <c r="Y7" s="559" t="s">
        <v>5728</v>
      </c>
      <c r="Z7" s="433">
        <v>0.7</v>
      </c>
      <c r="AA7" s="560" t="s">
        <v>5652</v>
      </c>
      <c r="AB7" s="560" t="s">
        <v>5652</v>
      </c>
      <c r="AC7" s="560" t="s">
        <v>5652</v>
      </c>
      <c r="AD7" s="560" t="s">
        <v>5652</v>
      </c>
      <c r="AE7" s="560" t="s">
        <v>5652</v>
      </c>
      <c r="AF7" s="560" t="s">
        <v>5652</v>
      </c>
      <c r="AG7" s="560" t="s">
        <v>5652</v>
      </c>
      <c r="AH7" s="560" t="s">
        <v>5652</v>
      </c>
      <c r="AI7" s="1045" t="s">
        <v>5652</v>
      </c>
      <c r="AJ7" s="1046" t="s">
        <v>5652</v>
      </c>
      <c r="AK7" s="1047" t="s">
        <v>5652</v>
      </c>
      <c r="AL7" s="1047" t="s">
        <v>5652</v>
      </c>
      <c r="AM7" s="1047" t="s">
        <v>5652</v>
      </c>
      <c r="AN7" s="1047" t="s">
        <v>5652</v>
      </c>
      <c r="AO7" s="1048" t="s">
        <v>5652</v>
      </c>
      <c r="AP7" s="425"/>
      <c r="AQ7" s="425"/>
      <c r="AR7" s="425"/>
      <c r="AS7" s="425"/>
      <c r="AT7" s="425"/>
      <c r="AU7" s="425"/>
      <c r="AV7" s="425"/>
      <c r="AW7" s="425"/>
      <c r="AX7" s="880" t="s">
        <v>1284</v>
      </c>
      <c r="AY7" s="881"/>
      <c r="AZ7" s="882"/>
      <c r="BA7" s="426"/>
    </row>
    <row r="8" spans="1:67" ht="18" customHeight="1">
      <c r="B8" s="1944" t="str">
        <f>+$C$574</f>
        <v>事務所・店舗</v>
      </c>
      <c r="C8" s="430">
        <v>2530</v>
      </c>
      <c r="D8" s="1050" t="s">
        <v>5653</v>
      </c>
      <c r="E8" s="559" t="s">
        <v>5653</v>
      </c>
      <c r="F8" s="432" t="s">
        <v>321</v>
      </c>
      <c r="G8" s="432">
        <v>1</v>
      </c>
      <c r="H8" s="432" t="s">
        <v>5476</v>
      </c>
      <c r="I8" s="432">
        <v>0.85</v>
      </c>
      <c r="J8" s="432" t="s">
        <v>322</v>
      </c>
      <c r="K8" s="436">
        <v>0.75</v>
      </c>
      <c r="L8" s="1050" t="s">
        <v>5652</v>
      </c>
      <c r="M8" s="559" t="s">
        <v>5652</v>
      </c>
      <c r="N8" s="559" t="s">
        <v>5652</v>
      </c>
      <c r="O8" s="559" t="s">
        <v>5652</v>
      </c>
      <c r="P8" s="559" t="s">
        <v>5652</v>
      </c>
      <c r="Q8" s="559" t="s">
        <v>5652</v>
      </c>
      <c r="R8" s="559" t="s">
        <v>5652</v>
      </c>
      <c r="S8" s="559" t="s">
        <v>5652</v>
      </c>
      <c r="T8" s="1053" t="s">
        <v>5652</v>
      </c>
      <c r="U8" s="1050" t="s">
        <v>5726</v>
      </c>
      <c r="V8" s="432">
        <v>1.05</v>
      </c>
      <c r="W8" s="559" t="s">
        <v>5727</v>
      </c>
      <c r="X8" s="432">
        <v>1</v>
      </c>
      <c r="Y8" s="559" t="s">
        <v>5728</v>
      </c>
      <c r="Z8" s="433">
        <v>0.95</v>
      </c>
      <c r="AA8" s="431" t="s">
        <v>323</v>
      </c>
      <c r="AB8" s="431">
        <v>6.5</v>
      </c>
      <c r="AC8" s="432">
        <v>1.3</v>
      </c>
      <c r="AD8" s="432" t="s">
        <v>324</v>
      </c>
      <c r="AE8" s="432">
        <v>5</v>
      </c>
      <c r="AF8" s="432">
        <v>1</v>
      </c>
      <c r="AG8" s="432" t="s">
        <v>325</v>
      </c>
      <c r="AH8" s="436">
        <v>3</v>
      </c>
      <c r="AI8" s="433">
        <v>0.6</v>
      </c>
      <c r="AJ8" s="1201">
        <v>1000</v>
      </c>
      <c r="AK8" s="432">
        <v>1.05</v>
      </c>
      <c r="AL8" s="1202">
        <v>3000</v>
      </c>
      <c r="AM8" s="432">
        <v>1</v>
      </c>
      <c r="AN8" s="1202">
        <v>10000</v>
      </c>
      <c r="AO8" s="433">
        <v>0.93</v>
      </c>
      <c r="AP8" s="425"/>
      <c r="AQ8" s="425"/>
      <c r="AR8" s="425"/>
      <c r="AS8" s="425"/>
      <c r="AT8" s="425"/>
      <c r="AU8" s="425"/>
      <c r="AV8" s="425"/>
      <c r="AW8" s="425"/>
      <c r="AX8" s="888" t="s">
        <v>333</v>
      </c>
      <c r="AY8" s="889"/>
      <c r="AZ8" s="890"/>
      <c r="BA8" s="426"/>
    </row>
    <row r="9" spans="1:67" ht="18" customHeight="1">
      <c r="B9" s="1944" t="str">
        <f>+$C$575</f>
        <v>病院・ホテル</v>
      </c>
      <c r="C9" s="430">
        <v>2530</v>
      </c>
      <c r="D9" s="1050" t="s">
        <v>5653</v>
      </c>
      <c r="E9" s="559" t="s">
        <v>5653</v>
      </c>
      <c r="F9" s="432" t="s">
        <v>321</v>
      </c>
      <c r="G9" s="432">
        <v>1</v>
      </c>
      <c r="H9" s="432" t="s">
        <v>5476</v>
      </c>
      <c r="I9" s="432">
        <v>0.85</v>
      </c>
      <c r="J9" s="432" t="s">
        <v>322</v>
      </c>
      <c r="K9" s="436">
        <v>0.75</v>
      </c>
      <c r="L9" s="1050" t="s">
        <v>5652</v>
      </c>
      <c r="M9" s="559" t="s">
        <v>5652</v>
      </c>
      <c r="N9" s="559" t="s">
        <v>5652</v>
      </c>
      <c r="O9" s="559" t="s">
        <v>5652</v>
      </c>
      <c r="P9" s="559" t="s">
        <v>5652</v>
      </c>
      <c r="Q9" s="559" t="s">
        <v>5652</v>
      </c>
      <c r="R9" s="559" t="s">
        <v>5652</v>
      </c>
      <c r="S9" s="559" t="s">
        <v>5652</v>
      </c>
      <c r="T9" s="1053" t="s">
        <v>5652</v>
      </c>
      <c r="U9" s="1050" t="s">
        <v>5726</v>
      </c>
      <c r="V9" s="432">
        <v>1.05</v>
      </c>
      <c r="W9" s="559" t="s">
        <v>5727</v>
      </c>
      <c r="X9" s="432">
        <v>1</v>
      </c>
      <c r="Y9" s="559" t="s">
        <v>5728</v>
      </c>
      <c r="Z9" s="433">
        <v>0.95</v>
      </c>
      <c r="AA9" s="431" t="s">
        <v>323</v>
      </c>
      <c r="AB9" s="431">
        <v>6.5</v>
      </c>
      <c r="AC9" s="432">
        <v>1.3</v>
      </c>
      <c r="AD9" s="432" t="s">
        <v>324</v>
      </c>
      <c r="AE9" s="432">
        <v>5</v>
      </c>
      <c r="AF9" s="432">
        <v>1</v>
      </c>
      <c r="AG9" s="432" t="s">
        <v>325</v>
      </c>
      <c r="AH9" s="436">
        <v>3</v>
      </c>
      <c r="AI9" s="433">
        <v>0.6</v>
      </c>
      <c r="AJ9" s="1201">
        <v>1000</v>
      </c>
      <c r="AK9" s="432">
        <v>1.05</v>
      </c>
      <c r="AL9" s="1202">
        <v>3000</v>
      </c>
      <c r="AM9" s="432">
        <v>1</v>
      </c>
      <c r="AN9" s="1202">
        <v>10000</v>
      </c>
      <c r="AO9" s="433">
        <v>0.93</v>
      </c>
      <c r="AP9" s="425"/>
      <c r="AQ9" s="425"/>
      <c r="AR9" s="425"/>
      <c r="AS9" s="425"/>
      <c r="AT9" s="425"/>
      <c r="AU9" s="425"/>
      <c r="AV9" s="425"/>
      <c r="AW9" s="425"/>
      <c r="AX9" s="438" t="s">
        <v>334</v>
      </c>
      <c r="AY9" s="439"/>
      <c r="AZ9" s="440"/>
      <c r="BA9" s="426"/>
    </row>
    <row r="10" spans="1:67" ht="18" customHeight="1">
      <c r="B10" s="1944" t="str">
        <f>+$C$576</f>
        <v>工場・倉庫</v>
      </c>
      <c r="C10" s="1060">
        <v>2420</v>
      </c>
      <c r="D10" s="1051" t="s">
        <v>5653</v>
      </c>
      <c r="E10" s="1052" t="s">
        <v>5653</v>
      </c>
      <c r="F10" s="446" t="s">
        <v>321</v>
      </c>
      <c r="G10" s="446">
        <v>1</v>
      </c>
      <c r="H10" s="446" t="s">
        <v>5476</v>
      </c>
      <c r="I10" s="446">
        <v>0.85</v>
      </c>
      <c r="J10" s="446" t="s">
        <v>322</v>
      </c>
      <c r="K10" s="479">
        <v>0.75</v>
      </c>
      <c r="L10" s="1051" t="s">
        <v>5652</v>
      </c>
      <c r="M10" s="1052" t="s">
        <v>5652</v>
      </c>
      <c r="N10" s="1052" t="s">
        <v>5652</v>
      </c>
      <c r="O10" s="1052" t="s">
        <v>5652</v>
      </c>
      <c r="P10" s="1052" t="s">
        <v>5652</v>
      </c>
      <c r="Q10" s="1052" t="s">
        <v>5652</v>
      </c>
      <c r="R10" s="1052" t="s">
        <v>5652</v>
      </c>
      <c r="S10" s="1052" t="s">
        <v>5652</v>
      </c>
      <c r="T10" s="1054" t="s">
        <v>5652</v>
      </c>
      <c r="U10" s="1050" t="s">
        <v>5726</v>
      </c>
      <c r="V10" s="446">
        <v>1.4</v>
      </c>
      <c r="W10" s="559" t="s">
        <v>5727</v>
      </c>
      <c r="X10" s="446">
        <v>1</v>
      </c>
      <c r="Y10" s="559" t="s">
        <v>5728</v>
      </c>
      <c r="Z10" s="447">
        <v>0.8</v>
      </c>
      <c r="AA10" s="441" t="s">
        <v>323</v>
      </c>
      <c r="AB10" s="441">
        <v>6.5</v>
      </c>
      <c r="AC10" s="442">
        <v>1.3</v>
      </c>
      <c r="AD10" s="442" t="s">
        <v>324</v>
      </c>
      <c r="AE10" s="442">
        <v>5</v>
      </c>
      <c r="AF10" s="442">
        <v>1</v>
      </c>
      <c r="AG10" s="442" t="s">
        <v>325</v>
      </c>
      <c r="AH10" s="444">
        <v>3</v>
      </c>
      <c r="AI10" s="443">
        <v>0.6</v>
      </c>
      <c r="AJ10" s="1201">
        <v>1000</v>
      </c>
      <c r="AK10" s="432">
        <v>1.05</v>
      </c>
      <c r="AL10" s="1202">
        <v>3000</v>
      </c>
      <c r="AM10" s="432">
        <v>1</v>
      </c>
      <c r="AN10" s="1202">
        <v>10000</v>
      </c>
      <c r="AO10" s="433">
        <v>0.93</v>
      </c>
      <c r="AP10" s="425"/>
      <c r="AQ10" s="425"/>
      <c r="AR10" s="425"/>
      <c r="AS10" s="425"/>
      <c r="AT10" s="425"/>
      <c r="AU10" s="425"/>
      <c r="AV10" s="425"/>
      <c r="AW10" s="425"/>
      <c r="AX10" s="425"/>
      <c r="AY10" s="425"/>
      <c r="AZ10" s="425"/>
      <c r="BA10" s="426"/>
    </row>
    <row r="11" spans="1:67" ht="18" customHeight="1">
      <c r="B11" s="1941" t="s">
        <v>311</v>
      </c>
      <c r="C11" s="1906" t="s">
        <v>5324</v>
      </c>
      <c r="D11" s="3669" t="s">
        <v>5326</v>
      </c>
      <c r="E11" s="3670"/>
      <c r="F11" s="3670"/>
      <c r="G11" s="3670"/>
      <c r="H11" s="3670"/>
      <c r="I11" s="3671"/>
      <c r="J11" s="811"/>
      <c r="K11" s="812"/>
      <c r="L11" s="812"/>
      <c r="S11" s="633"/>
      <c r="T11" s="422"/>
      <c r="U11" s="543"/>
      <c r="V11" s="543"/>
      <c r="W11" s="543"/>
      <c r="X11" s="543"/>
      <c r="Y11" s="544"/>
      <c r="Z11" s="544"/>
      <c r="AA11" s="544"/>
      <c r="AB11" s="544"/>
      <c r="AC11" s="544"/>
      <c r="AD11" s="544"/>
      <c r="AE11" s="545"/>
      <c r="AF11" s="545"/>
      <c r="AG11" s="545"/>
      <c r="AH11" s="545"/>
      <c r="AI11" s="545"/>
      <c r="AJ11" s="545"/>
      <c r="AK11" s="423"/>
      <c r="AL11" s="423"/>
      <c r="AM11" s="423"/>
      <c r="AN11" s="423"/>
      <c r="AO11" s="423"/>
      <c r="AP11" s="423"/>
      <c r="AQ11" s="423"/>
      <c r="AR11" s="423"/>
      <c r="AS11" s="423"/>
      <c r="AT11" s="423"/>
      <c r="AU11" s="423"/>
      <c r="AV11" s="423"/>
      <c r="AW11" s="423"/>
      <c r="AX11" s="423"/>
      <c r="AY11" s="424"/>
    </row>
    <row r="12" spans="1:67" ht="18" customHeight="1">
      <c r="B12" s="1942"/>
      <c r="C12" s="1907" t="s">
        <v>5325</v>
      </c>
      <c r="D12" s="1908" t="s">
        <v>318</v>
      </c>
      <c r="E12" s="1899"/>
      <c r="F12" s="1901" t="s">
        <v>318</v>
      </c>
      <c r="G12" s="1899"/>
      <c r="H12" s="3639" t="s">
        <v>122</v>
      </c>
      <c r="I12" s="3640"/>
      <c r="J12" s="811"/>
      <c r="K12" s="812"/>
      <c r="L12" s="812"/>
      <c r="S12" s="546"/>
      <c r="T12" s="547"/>
      <c r="U12" s="547"/>
      <c r="V12" s="547"/>
      <c r="W12" s="547"/>
      <c r="X12" s="547"/>
      <c r="Y12" s="473"/>
      <c r="Z12" s="473"/>
      <c r="AA12" s="473"/>
      <c r="AB12" s="473"/>
      <c r="AC12" s="473"/>
      <c r="AD12" s="473"/>
      <c r="AE12" s="547"/>
      <c r="AF12" s="547"/>
      <c r="AG12" s="547"/>
      <c r="AH12" s="547"/>
      <c r="AI12" s="547"/>
      <c r="AJ12" s="547"/>
      <c r="AK12" s="425"/>
      <c r="AL12" s="425"/>
      <c r="AM12" s="425"/>
      <c r="AN12" s="425"/>
      <c r="AO12" s="425"/>
      <c r="AP12" s="425"/>
      <c r="AQ12" s="425"/>
      <c r="AR12" s="425"/>
      <c r="AS12" s="425"/>
      <c r="AT12" s="425"/>
      <c r="AU12" s="425"/>
      <c r="AV12" s="425"/>
      <c r="AW12" s="425"/>
      <c r="AX12" s="425"/>
      <c r="AY12" s="426"/>
    </row>
    <row r="13" spans="1:67" ht="18" customHeight="1">
      <c r="B13" s="1945" t="str">
        <f>+$B$6</f>
        <v>戸建形式住宅</v>
      </c>
      <c r="C13" s="588" t="s">
        <v>23</v>
      </c>
      <c r="D13" s="560" t="s">
        <v>5652</v>
      </c>
      <c r="E13" s="560" t="s">
        <v>5652</v>
      </c>
      <c r="F13" s="560" t="s">
        <v>5652</v>
      </c>
      <c r="G13" s="560" t="s">
        <v>5652</v>
      </c>
      <c r="H13" s="560" t="s">
        <v>5652</v>
      </c>
      <c r="I13" s="560" t="s">
        <v>5652</v>
      </c>
      <c r="J13" s="450"/>
      <c r="K13" s="808"/>
      <c r="L13" s="451"/>
      <c r="S13" s="565"/>
      <c r="T13" s="451"/>
      <c r="U13" s="451"/>
      <c r="V13" s="451"/>
      <c r="W13" s="451"/>
      <c r="X13" s="451"/>
      <c r="Y13" s="451"/>
      <c r="Z13" s="451"/>
      <c r="AA13" s="451"/>
      <c r="AB13" s="451"/>
      <c r="AC13" s="451"/>
      <c r="AD13" s="451"/>
      <c r="AE13" s="548"/>
      <c r="AF13" s="549"/>
      <c r="AG13" s="548"/>
      <c r="AH13" s="549"/>
      <c r="AI13" s="548"/>
      <c r="AJ13" s="549"/>
      <c r="AK13" s="425"/>
      <c r="AL13" s="425"/>
      <c r="AM13" s="425"/>
      <c r="AN13" s="425"/>
      <c r="AO13" s="425"/>
      <c r="AP13" s="425"/>
      <c r="AQ13" s="425"/>
      <c r="AR13" s="425"/>
      <c r="AS13" s="425"/>
      <c r="AT13" s="425"/>
      <c r="AU13" s="425"/>
      <c r="AV13" s="425"/>
      <c r="AW13" s="425"/>
      <c r="AX13" s="425"/>
      <c r="AY13" s="426"/>
    </row>
    <row r="14" spans="1:67" ht="18" customHeight="1">
      <c r="B14" s="1946" t="str">
        <f>+$B$7</f>
        <v>集合形式住宅</v>
      </c>
      <c r="C14" s="430">
        <v>4330</v>
      </c>
      <c r="D14" s="437" t="s">
        <v>1051</v>
      </c>
      <c r="E14" s="432" t="s">
        <v>1051</v>
      </c>
      <c r="F14" s="432" t="s">
        <v>1051</v>
      </c>
      <c r="G14" s="432" t="s">
        <v>1051</v>
      </c>
      <c r="H14" s="432" t="s">
        <v>1051</v>
      </c>
      <c r="I14" s="433" t="s">
        <v>1051</v>
      </c>
      <c r="J14" s="450"/>
      <c r="K14" s="808"/>
      <c r="L14" s="451"/>
      <c r="S14" s="450"/>
      <c r="T14" s="451"/>
      <c r="U14" s="451"/>
      <c r="V14" s="451"/>
      <c r="W14" s="451"/>
      <c r="X14" s="451"/>
      <c r="Y14" s="451"/>
      <c r="Z14" s="451"/>
      <c r="AA14" s="451"/>
      <c r="AB14" s="451"/>
      <c r="AC14" s="451"/>
      <c r="AD14" s="451"/>
      <c r="AE14" s="548"/>
      <c r="AF14" s="549"/>
      <c r="AG14" s="548"/>
      <c r="AH14" s="549"/>
      <c r="AI14" s="548"/>
      <c r="AJ14" s="549"/>
      <c r="AK14" s="425"/>
      <c r="AL14" s="425"/>
      <c r="AM14" s="425"/>
      <c r="AN14" s="425"/>
      <c r="AO14" s="425"/>
      <c r="AP14" s="425"/>
      <c r="AQ14" s="425"/>
      <c r="AR14" s="425"/>
      <c r="AS14" s="425"/>
      <c r="AT14" s="425"/>
      <c r="AU14" s="425"/>
      <c r="AV14" s="425"/>
      <c r="AW14" s="425"/>
      <c r="AX14" s="425"/>
      <c r="AY14" s="426"/>
    </row>
    <row r="15" spans="1:67" ht="18" customHeight="1">
      <c r="B15" s="1946" t="str">
        <f>+$B$8</f>
        <v>事務所・店舗</v>
      </c>
      <c r="C15" s="430">
        <v>6080</v>
      </c>
      <c r="D15" s="437" t="s">
        <v>1051</v>
      </c>
      <c r="E15" s="432" t="s">
        <v>1051</v>
      </c>
      <c r="F15" s="432" t="s">
        <v>1051</v>
      </c>
      <c r="G15" s="432" t="s">
        <v>1051</v>
      </c>
      <c r="H15" s="432" t="s">
        <v>1051</v>
      </c>
      <c r="I15" s="433" t="s">
        <v>1051</v>
      </c>
      <c r="J15" s="450"/>
      <c r="K15" s="808"/>
      <c r="L15" s="451"/>
      <c r="S15" s="450"/>
      <c r="T15" s="451"/>
      <c r="U15" s="451"/>
      <c r="V15" s="451"/>
      <c r="W15" s="451"/>
      <c r="X15" s="451"/>
      <c r="Y15" s="451"/>
      <c r="Z15" s="451"/>
      <c r="AA15" s="451"/>
      <c r="AB15" s="451"/>
      <c r="AC15" s="451"/>
      <c r="AD15" s="451"/>
      <c r="AE15" s="548"/>
      <c r="AF15" s="549"/>
      <c r="AG15" s="548"/>
      <c r="AH15" s="549"/>
      <c r="AI15" s="548"/>
      <c r="AJ15" s="549"/>
      <c r="AK15" s="425"/>
      <c r="AL15" s="425"/>
      <c r="AM15" s="425"/>
      <c r="AN15" s="425"/>
      <c r="AO15" s="425"/>
      <c r="AP15" s="425"/>
      <c r="AQ15" s="425"/>
      <c r="AR15" s="425"/>
      <c r="AS15" s="425"/>
      <c r="AT15" s="425"/>
      <c r="AU15" s="425"/>
      <c r="AV15" s="425"/>
      <c r="AW15" s="425"/>
      <c r="AX15" s="425"/>
      <c r="AY15" s="426"/>
    </row>
    <row r="16" spans="1:67" ht="18" customHeight="1">
      <c r="B16" s="1946" t="str">
        <f>+$B$9</f>
        <v>病院・ホテル</v>
      </c>
      <c r="C16" s="430">
        <v>5290</v>
      </c>
      <c r="D16" s="437" t="s">
        <v>1051</v>
      </c>
      <c r="E16" s="432" t="s">
        <v>1051</v>
      </c>
      <c r="F16" s="432" t="s">
        <v>1051</v>
      </c>
      <c r="G16" s="432" t="s">
        <v>1051</v>
      </c>
      <c r="H16" s="432" t="s">
        <v>1051</v>
      </c>
      <c r="I16" s="433" t="s">
        <v>1051</v>
      </c>
      <c r="J16" s="809"/>
      <c r="K16" s="808"/>
      <c r="L16" s="451"/>
      <c r="S16" s="450"/>
      <c r="T16" s="451"/>
      <c r="U16" s="451"/>
      <c r="V16" s="451"/>
      <c r="W16" s="451"/>
      <c r="X16" s="451"/>
      <c r="Y16" s="451"/>
      <c r="Z16" s="451"/>
      <c r="AA16" s="451"/>
      <c r="AB16" s="451"/>
      <c r="AC16" s="451"/>
      <c r="AD16" s="451"/>
      <c r="AE16" s="548"/>
      <c r="AF16" s="549"/>
      <c r="AG16" s="548"/>
      <c r="AH16" s="549"/>
      <c r="AI16" s="548"/>
      <c r="AJ16" s="549"/>
      <c r="AK16" s="425"/>
      <c r="AL16" s="425"/>
      <c r="AM16" s="425"/>
      <c r="AN16" s="425"/>
      <c r="AO16" s="425"/>
      <c r="AP16" s="425"/>
      <c r="AQ16" s="425"/>
      <c r="AR16" s="425"/>
      <c r="AS16" s="425"/>
      <c r="AT16" s="425"/>
      <c r="AU16" s="425"/>
      <c r="AV16" s="425"/>
      <c r="AW16" s="425"/>
      <c r="AX16" s="425"/>
      <c r="AY16" s="426"/>
    </row>
    <row r="17" spans="2:51" ht="18" customHeight="1">
      <c r="B17" s="1947" t="str">
        <f>+$B$10</f>
        <v>工場・倉庫</v>
      </c>
      <c r="C17" s="1203">
        <v>4380</v>
      </c>
      <c r="D17" s="1050" t="s">
        <v>5327</v>
      </c>
      <c r="E17" s="432">
        <v>2</v>
      </c>
      <c r="F17" s="559" t="s">
        <v>324</v>
      </c>
      <c r="G17" s="432">
        <v>1</v>
      </c>
      <c r="H17" s="559" t="s">
        <v>5328</v>
      </c>
      <c r="I17" s="433">
        <v>0.5</v>
      </c>
      <c r="J17" s="738"/>
      <c r="K17" s="810"/>
      <c r="L17" s="739"/>
      <c r="S17" s="550"/>
      <c r="T17" s="478"/>
      <c r="U17" s="478"/>
      <c r="V17" s="478"/>
      <c r="W17" s="478"/>
      <c r="X17" s="478"/>
      <c r="Y17" s="478"/>
      <c r="Z17" s="478"/>
      <c r="AA17" s="478"/>
      <c r="AB17" s="478"/>
      <c r="AC17" s="478"/>
      <c r="AD17" s="478"/>
      <c r="AE17" s="551"/>
      <c r="AF17" s="552"/>
      <c r="AG17" s="551"/>
      <c r="AH17" s="552"/>
      <c r="AI17" s="551"/>
      <c r="AJ17" s="552"/>
      <c r="AK17" s="452"/>
      <c r="AL17" s="425"/>
      <c r="AM17" s="425"/>
      <c r="AN17" s="425"/>
      <c r="AO17" s="425"/>
      <c r="AP17" s="425"/>
      <c r="AQ17" s="425"/>
      <c r="AR17" s="425"/>
      <c r="AS17" s="425"/>
      <c r="AT17" s="425"/>
      <c r="AU17" s="425"/>
      <c r="AV17" s="425"/>
      <c r="AW17" s="425"/>
      <c r="AX17" s="425"/>
      <c r="AY17" s="426"/>
    </row>
    <row r="18" spans="2:51" ht="18" customHeight="1">
      <c r="B18" s="1941" t="s">
        <v>311</v>
      </c>
      <c r="C18" s="1909" t="s">
        <v>130</v>
      </c>
      <c r="D18" s="1887" t="s">
        <v>341</v>
      </c>
      <c r="E18" s="1888"/>
      <c r="F18" s="1889"/>
      <c r="G18" s="1889"/>
      <c r="H18" s="1889"/>
      <c r="I18" s="1889"/>
      <c r="J18" s="1889"/>
      <c r="K18" s="1890"/>
      <c r="L18" s="1891"/>
      <c r="M18" s="553"/>
      <c r="N18" s="545"/>
      <c r="O18" s="545"/>
      <c r="P18" s="545"/>
      <c r="Q18" s="545"/>
      <c r="R18" s="545"/>
      <c r="S18" s="545"/>
      <c r="T18" s="545"/>
      <c r="U18" s="545"/>
      <c r="V18" s="545"/>
      <c r="W18" s="545"/>
      <c r="X18" s="545"/>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4"/>
    </row>
    <row r="19" spans="2:51" ht="18" customHeight="1">
      <c r="B19" s="1942"/>
      <c r="C19" s="1907" t="s">
        <v>342</v>
      </c>
      <c r="D19" s="1898" t="s">
        <v>318</v>
      </c>
      <c r="E19" s="1899"/>
      <c r="F19" s="1900"/>
      <c r="G19" s="1900" t="s">
        <v>319</v>
      </c>
      <c r="H19" s="1900"/>
      <c r="I19" s="1900"/>
      <c r="J19" s="1900" t="s">
        <v>320</v>
      </c>
      <c r="K19" s="1901"/>
      <c r="L19" s="1902"/>
      <c r="M19" s="546"/>
      <c r="N19" s="547"/>
      <c r="O19" s="547"/>
      <c r="P19" s="547"/>
      <c r="Q19" s="547"/>
      <c r="R19" s="547"/>
      <c r="S19" s="547"/>
      <c r="T19" s="547"/>
      <c r="U19" s="547"/>
      <c r="V19" s="547"/>
      <c r="W19" s="547"/>
      <c r="X19" s="547"/>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6"/>
    </row>
    <row r="20" spans="2:51" ht="18" customHeight="1">
      <c r="B20" s="1945" t="str">
        <f>+$B$6</f>
        <v>戸建形式住宅</v>
      </c>
      <c r="C20" s="588" t="s">
        <v>23</v>
      </c>
      <c r="D20" s="560" t="s">
        <v>5652</v>
      </c>
      <c r="E20" s="560" t="s">
        <v>5652</v>
      </c>
      <c r="F20" s="560" t="s">
        <v>5652</v>
      </c>
      <c r="G20" s="560" t="s">
        <v>5652</v>
      </c>
      <c r="H20" s="560" t="s">
        <v>5652</v>
      </c>
      <c r="I20" s="560" t="s">
        <v>5652</v>
      </c>
      <c r="J20" s="560" t="s">
        <v>5652</v>
      </c>
      <c r="K20" s="1045" t="s">
        <v>5652</v>
      </c>
      <c r="L20" s="1045" t="s">
        <v>5652</v>
      </c>
      <c r="M20" s="633"/>
      <c r="N20" s="422"/>
      <c r="O20" s="549"/>
      <c r="P20" s="549"/>
      <c r="Q20" s="549"/>
      <c r="R20" s="549"/>
      <c r="S20" s="548"/>
      <c r="T20" s="549"/>
      <c r="U20" s="548"/>
      <c r="V20" s="549"/>
      <c r="W20" s="548"/>
      <c r="X20" s="549"/>
      <c r="Y20" s="425"/>
      <c r="Z20" s="425"/>
      <c r="AA20" s="425"/>
      <c r="AB20" s="425"/>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6"/>
    </row>
    <row r="21" spans="2:51" ht="18" customHeight="1">
      <c r="B21" s="1946" t="str">
        <f>+$B$7</f>
        <v>集合形式住宅</v>
      </c>
      <c r="C21" s="430">
        <v>1120</v>
      </c>
      <c r="D21" s="437" t="s">
        <v>337</v>
      </c>
      <c r="E21" s="1199">
        <v>0.04</v>
      </c>
      <c r="F21" s="432">
        <v>1.1499999999999999</v>
      </c>
      <c r="G21" s="432" t="s">
        <v>712</v>
      </c>
      <c r="H21" s="1199">
        <v>0.03</v>
      </c>
      <c r="I21" s="432">
        <v>1</v>
      </c>
      <c r="J21" s="432" t="s">
        <v>338</v>
      </c>
      <c r="K21" s="1199">
        <v>0.02</v>
      </c>
      <c r="L21" s="433">
        <v>0.5</v>
      </c>
      <c r="M21" s="612" t="s">
        <v>5620</v>
      </c>
      <c r="N21" s="549"/>
      <c r="O21" s="549"/>
      <c r="P21" s="549"/>
      <c r="Q21" s="549"/>
      <c r="R21" s="549"/>
      <c r="S21" s="548"/>
      <c r="T21" s="549"/>
      <c r="U21" s="548"/>
      <c r="V21" s="549"/>
      <c r="W21" s="548"/>
      <c r="X21" s="549"/>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6"/>
    </row>
    <row r="22" spans="2:51" ht="18" customHeight="1">
      <c r="B22" s="1946" t="str">
        <f>+$B$8</f>
        <v>事務所・店舗</v>
      </c>
      <c r="C22" s="430">
        <v>1290</v>
      </c>
      <c r="D22" s="437" t="s">
        <v>335</v>
      </c>
      <c r="E22" s="1200">
        <f>1/7</f>
        <v>0.14285714285714285</v>
      </c>
      <c r="F22" s="432">
        <v>1.1499999999999999</v>
      </c>
      <c r="G22" s="432" t="s">
        <v>324</v>
      </c>
      <c r="H22" s="1200">
        <f>1/10</f>
        <v>0.1</v>
      </c>
      <c r="I22" s="432">
        <v>1</v>
      </c>
      <c r="J22" s="432" t="s">
        <v>336</v>
      </c>
      <c r="K22" s="1200">
        <f>1/20</f>
        <v>0.05</v>
      </c>
      <c r="L22" s="433">
        <v>0.5</v>
      </c>
      <c r="M22" s="633" t="s">
        <v>5473</v>
      </c>
      <c r="N22" s="549"/>
      <c r="O22" s="549"/>
      <c r="P22" s="549"/>
      <c r="Q22" s="549"/>
      <c r="R22" s="549"/>
      <c r="S22" s="548"/>
      <c r="T22" s="549"/>
      <c r="U22" s="548"/>
      <c r="V22" s="549"/>
      <c r="W22" s="548"/>
      <c r="X22" s="549"/>
      <c r="Y22" s="425"/>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6"/>
    </row>
    <row r="23" spans="2:51" ht="18" customHeight="1">
      <c r="B23" s="1946" t="str">
        <f>+$B$9</f>
        <v>病院・ホテル</v>
      </c>
      <c r="C23" s="430">
        <v>550</v>
      </c>
      <c r="D23" s="437" t="s">
        <v>337</v>
      </c>
      <c r="E23" s="1200">
        <f>ROUNDUP(($C23*F23)/($C$22*F$22)*E$22,3)</f>
        <v>6.0999999999999999E-2</v>
      </c>
      <c r="F23" s="432">
        <v>1.1499999999999999</v>
      </c>
      <c r="G23" s="432" t="s">
        <v>712</v>
      </c>
      <c r="H23" s="1200">
        <f>ROUNDUP(($C23*I23)/($C$22*I$22)*H$22,3)</f>
        <v>4.3000000000000003E-2</v>
      </c>
      <c r="I23" s="432">
        <v>1</v>
      </c>
      <c r="J23" s="432" t="s">
        <v>338</v>
      </c>
      <c r="K23" s="1200">
        <f>ROUNDUP(($C23*L23)/($C$22*L$22)*K$22,3)</f>
        <v>2.2000000000000002E-2</v>
      </c>
      <c r="L23" s="433">
        <v>0.5</v>
      </c>
      <c r="M23" s="612" t="s">
        <v>5619</v>
      </c>
      <c r="N23" s="549"/>
      <c r="O23" s="549"/>
      <c r="P23" s="549"/>
      <c r="Q23" s="549"/>
      <c r="R23" s="549"/>
      <c r="S23" s="548"/>
      <c r="T23" s="549"/>
      <c r="U23" s="548"/>
      <c r="V23" s="549"/>
      <c r="W23" s="548"/>
      <c r="X23" s="549"/>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6"/>
    </row>
    <row r="24" spans="2:51" ht="18" customHeight="1">
      <c r="B24" s="1947" t="str">
        <f>+$B$10</f>
        <v>工場・倉庫</v>
      </c>
      <c r="C24" s="1203">
        <v>460</v>
      </c>
      <c r="D24" s="445" t="s">
        <v>337</v>
      </c>
      <c r="E24" s="1200">
        <f>ROUNDUP(($C24*F24)/($C$22*F$22)*E$22,3)</f>
        <v>5.1000000000000004E-2</v>
      </c>
      <c r="F24" s="446">
        <v>1.1499999999999999</v>
      </c>
      <c r="G24" s="446" t="s">
        <v>712</v>
      </c>
      <c r="H24" s="1200">
        <f>ROUNDUP(($C24*I24)/($C$22*I$22)*H$22,3)</f>
        <v>3.6000000000000004E-2</v>
      </c>
      <c r="I24" s="446">
        <v>1</v>
      </c>
      <c r="J24" s="446" t="s">
        <v>338</v>
      </c>
      <c r="K24" s="1200">
        <f>ROUNDUP(($C24*L24)/($C$22*L$22)*K$22,3)</f>
        <v>1.8000000000000002E-2</v>
      </c>
      <c r="L24" s="447">
        <v>0.5</v>
      </c>
      <c r="M24" s="612" t="s">
        <v>5619</v>
      </c>
      <c r="N24" s="879"/>
      <c r="O24" s="552"/>
      <c r="P24" s="552"/>
      <c r="Q24" s="552"/>
      <c r="R24" s="552"/>
      <c r="S24" s="551"/>
      <c r="T24" s="552"/>
      <c r="U24" s="551"/>
      <c r="V24" s="552"/>
      <c r="W24" s="551"/>
      <c r="X24" s="5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3"/>
    </row>
    <row r="25" spans="2:51" ht="18" customHeight="1">
      <c r="B25" s="1941" t="s">
        <v>311</v>
      </c>
      <c r="C25" s="1910" t="s">
        <v>5331</v>
      </c>
      <c r="D25" s="819"/>
      <c r="E25" s="820"/>
      <c r="F25" s="820"/>
      <c r="G25" s="820"/>
      <c r="H25" s="820"/>
      <c r="I25" s="820"/>
      <c r="J25" s="820"/>
      <c r="K25" s="820"/>
      <c r="L25" s="820"/>
      <c r="M25" s="820"/>
      <c r="N25" s="820"/>
      <c r="O25" s="820"/>
      <c r="P25" s="820"/>
      <c r="Q25" s="820"/>
      <c r="R25" s="821"/>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4"/>
    </row>
    <row r="26" spans="2:51" ht="18" customHeight="1">
      <c r="B26" s="1942"/>
      <c r="C26" s="1907" t="s">
        <v>343</v>
      </c>
      <c r="D26" s="472"/>
      <c r="E26" s="473"/>
      <c r="F26" s="473"/>
      <c r="G26" s="473"/>
      <c r="H26" s="473"/>
      <c r="I26" s="473"/>
      <c r="J26" s="473"/>
      <c r="K26" s="473"/>
      <c r="L26" s="473"/>
      <c r="M26" s="473"/>
      <c r="N26" s="473"/>
      <c r="O26" s="473"/>
      <c r="P26" s="473"/>
      <c r="Q26" s="473"/>
      <c r="R26" s="822"/>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6"/>
    </row>
    <row r="27" spans="2:51" ht="18" customHeight="1">
      <c r="B27" s="1945" t="str">
        <f>+$B$6</f>
        <v>戸建形式住宅</v>
      </c>
      <c r="C27" s="588" t="s">
        <v>23</v>
      </c>
      <c r="D27" s="463"/>
      <c r="E27" s="466"/>
      <c r="F27" s="451"/>
      <c r="G27" s="466"/>
      <c r="H27" s="466"/>
      <c r="I27" s="451"/>
      <c r="J27" s="466"/>
      <c r="K27" s="466"/>
      <c r="L27" s="451"/>
      <c r="M27" s="451"/>
      <c r="N27" s="451"/>
      <c r="O27" s="451"/>
      <c r="P27" s="451"/>
      <c r="Q27" s="451"/>
      <c r="R27" s="81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6"/>
    </row>
    <row r="28" spans="2:51" ht="18" customHeight="1">
      <c r="B28" s="1946" t="str">
        <f>+$B$7</f>
        <v>集合形式住宅</v>
      </c>
      <c r="C28" s="430">
        <v>20690</v>
      </c>
      <c r="D28" s="463"/>
      <c r="E28" s="466"/>
      <c r="F28" s="451"/>
      <c r="G28" s="466"/>
      <c r="H28" s="466"/>
      <c r="I28" s="451"/>
      <c r="J28" s="466"/>
      <c r="K28" s="451"/>
      <c r="L28" s="451"/>
      <c r="M28" s="451"/>
      <c r="N28" s="451"/>
      <c r="O28" s="451"/>
      <c r="P28" s="451"/>
      <c r="Q28" s="451"/>
      <c r="R28" s="81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6"/>
    </row>
    <row r="29" spans="2:51" ht="18" customHeight="1">
      <c r="B29" s="1946" t="str">
        <f>+$B$8</f>
        <v>事務所・店舗</v>
      </c>
      <c r="C29" s="430">
        <v>20690</v>
      </c>
      <c r="D29" s="463"/>
      <c r="E29" s="466"/>
      <c r="F29" s="451"/>
      <c r="G29" s="466"/>
      <c r="H29" s="466"/>
      <c r="I29" s="451"/>
      <c r="J29" s="466"/>
      <c r="K29" s="466"/>
      <c r="L29" s="451"/>
      <c r="M29" s="451"/>
      <c r="N29" s="451"/>
      <c r="O29" s="451"/>
      <c r="P29" s="451"/>
      <c r="Q29" s="451"/>
      <c r="R29" s="81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6"/>
    </row>
    <row r="30" spans="2:51" ht="18" customHeight="1">
      <c r="B30" s="1946" t="str">
        <f>+$B$9</f>
        <v>病院・ホテル</v>
      </c>
      <c r="C30" s="430">
        <v>20690</v>
      </c>
      <c r="D30" s="463"/>
      <c r="E30" s="466"/>
      <c r="F30" s="451"/>
      <c r="G30" s="466"/>
      <c r="H30" s="466"/>
      <c r="I30" s="451"/>
      <c r="J30" s="466"/>
      <c r="K30" s="466"/>
      <c r="L30" s="451"/>
      <c r="M30" s="451"/>
      <c r="N30" s="451"/>
      <c r="O30" s="451"/>
      <c r="P30" s="451"/>
      <c r="Q30" s="451"/>
      <c r="R30" s="81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6"/>
    </row>
    <row r="31" spans="2:51" ht="18" customHeight="1">
      <c r="B31" s="1947" t="str">
        <f>+$B$10</f>
        <v>工場・倉庫</v>
      </c>
      <c r="C31" s="1203">
        <v>20690</v>
      </c>
      <c r="D31" s="816"/>
      <c r="E31" s="817"/>
      <c r="F31" s="739"/>
      <c r="G31" s="817"/>
      <c r="H31" s="817"/>
      <c r="I31" s="739"/>
      <c r="J31" s="817"/>
      <c r="K31" s="817"/>
      <c r="L31" s="739"/>
      <c r="M31" s="739"/>
      <c r="N31" s="739"/>
      <c r="O31" s="739"/>
      <c r="P31" s="739"/>
      <c r="Q31" s="739"/>
      <c r="R31" s="818"/>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6"/>
    </row>
    <row r="32" spans="2:51" ht="18" customHeight="1">
      <c r="B32" s="1941" t="s">
        <v>311</v>
      </c>
      <c r="C32" s="1909" t="s">
        <v>344</v>
      </c>
      <c r="D32" s="1888" t="s">
        <v>345</v>
      </c>
      <c r="E32" s="1889"/>
      <c r="F32" s="1889"/>
      <c r="G32" s="1889"/>
      <c r="H32" s="1889"/>
      <c r="I32" s="1891"/>
      <c r="J32" s="1887" t="s">
        <v>346</v>
      </c>
      <c r="K32" s="1889"/>
      <c r="L32" s="1889"/>
      <c r="M32" s="1889"/>
      <c r="N32" s="1889"/>
      <c r="O32" s="1891"/>
      <c r="P32" s="1284" t="s">
        <v>5618</v>
      </c>
      <c r="Q32" s="455"/>
      <c r="R32" s="456"/>
      <c r="S32" s="455"/>
      <c r="T32" s="456"/>
      <c r="U32" s="455"/>
      <c r="V32" s="455"/>
      <c r="W32" s="455"/>
      <c r="X32" s="455"/>
      <c r="Y32" s="455"/>
      <c r="Z32" s="455"/>
      <c r="AA32" s="455"/>
      <c r="AB32" s="455"/>
      <c r="AC32" s="455"/>
      <c r="AD32" s="455"/>
      <c r="AE32" s="455"/>
      <c r="AF32" s="455"/>
      <c r="AG32" s="455"/>
      <c r="AH32" s="455"/>
      <c r="AI32" s="455"/>
      <c r="AJ32" s="455"/>
      <c r="AK32" s="455"/>
      <c r="AL32" s="455"/>
      <c r="AM32" s="455"/>
      <c r="AN32" s="423"/>
      <c r="AO32" s="423"/>
      <c r="AP32" s="423"/>
      <c r="AQ32" s="423"/>
      <c r="AR32" s="423"/>
      <c r="AS32" s="423"/>
      <c r="AT32" s="423"/>
      <c r="AU32" s="423"/>
      <c r="AV32" s="423"/>
      <c r="AW32" s="423"/>
      <c r="AX32" s="423"/>
      <c r="AY32" s="424"/>
    </row>
    <row r="33" spans="2:51" ht="18" customHeight="1">
      <c r="B33" s="1942"/>
      <c r="C33" s="1907" t="s">
        <v>347</v>
      </c>
      <c r="D33" s="1899" t="s">
        <v>318</v>
      </c>
      <c r="E33" s="1900"/>
      <c r="F33" s="1900" t="s">
        <v>319</v>
      </c>
      <c r="G33" s="1900"/>
      <c r="H33" s="1900" t="s">
        <v>320</v>
      </c>
      <c r="I33" s="1902"/>
      <c r="J33" s="1898" t="s">
        <v>318</v>
      </c>
      <c r="K33" s="1900"/>
      <c r="L33" s="1900" t="s">
        <v>319</v>
      </c>
      <c r="M33" s="1900"/>
      <c r="N33" s="1900" t="s">
        <v>320</v>
      </c>
      <c r="O33" s="1902"/>
      <c r="P33" s="556" t="s">
        <v>1111</v>
      </c>
      <c r="Q33" s="451"/>
      <c r="R33" s="458"/>
      <c r="S33" s="451"/>
      <c r="T33" s="458"/>
      <c r="U33" s="451"/>
      <c r="V33" s="451"/>
      <c r="W33" s="451"/>
      <c r="X33" s="451"/>
      <c r="Y33" s="451"/>
      <c r="Z33" s="451"/>
      <c r="AA33" s="451"/>
      <c r="AB33" s="451"/>
      <c r="AC33" s="451"/>
      <c r="AD33" s="451"/>
      <c r="AE33" s="451"/>
      <c r="AF33" s="451"/>
      <c r="AG33" s="451"/>
      <c r="AH33" s="451"/>
      <c r="AI33" s="451"/>
      <c r="AJ33" s="451"/>
      <c r="AK33" s="451"/>
      <c r="AL33" s="451"/>
      <c r="AM33" s="451"/>
      <c r="AN33" s="425"/>
      <c r="AO33" s="425"/>
      <c r="AP33" s="425"/>
      <c r="AQ33" s="425"/>
      <c r="AR33" s="425"/>
      <c r="AS33" s="425"/>
      <c r="AT33" s="425"/>
      <c r="AU33" s="425"/>
      <c r="AV33" s="425"/>
      <c r="AW33" s="425"/>
      <c r="AX33" s="425"/>
      <c r="AY33" s="426"/>
    </row>
    <row r="34" spans="2:51" ht="18" customHeight="1">
      <c r="B34" s="1945" t="str">
        <f>+$B$6</f>
        <v>戸建形式住宅</v>
      </c>
      <c r="C34" s="588" t="s">
        <v>23</v>
      </c>
      <c r="D34" s="1047" t="s">
        <v>5652</v>
      </c>
      <c r="E34" s="1047" t="s">
        <v>5652</v>
      </c>
      <c r="F34" s="1047" t="s">
        <v>5652</v>
      </c>
      <c r="G34" s="1047" t="s">
        <v>5652</v>
      </c>
      <c r="H34" s="1047" t="s">
        <v>5652</v>
      </c>
      <c r="I34" s="1048" t="s">
        <v>5652</v>
      </c>
      <c r="J34" s="1046" t="s">
        <v>5652</v>
      </c>
      <c r="K34" s="1047" t="s">
        <v>5652</v>
      </c>
      <c r="L34" s="1047" t="s">
        <v>5652</v>
      </c>
      <c r="M34" s="1047" t="s">
        <v>5652</v>
      </c>
      <c r="N34" s="1047" t="s">
        <v>5652</v>
      </c>
      <c r="O34" s="1048" t="s">
        <v>5652</v>
      </c>
      <c r="P34" s="457"/>
      <c r="Q34" s="451"/>
      <c r="R34" s="458"/>
      <c r="S34" s="451"/>
      <c r="T34" s="458"/>
      <c r="U34" s="451"/>
      <c r="V34" s="451"/>
      <c r="W34" s="451"/>
      <c r="X34" s="451"/>
      <c r="Y34" s="451"/>
      <c r="Z34" s="451"/>
      <c r="AA34" s="451"/>
      <c r="AB34" s="451"/>
      <c r="AC34" s="451"/>
      <c r="AD34" s="451"/>
      <c r="AE34" s="451"/>
      <c r="AF34" s="451"/>
      <c r="AG34" s="451"/>
      <c r="AH34" s="451"/>
      <c r="AI34" s="451"/>
      <c r="AJ34" s="451"/>
      <c r="AK34" s="451"/>
      <c r="AL34" s="451"/>
      <c r="AM34" s="451"/>
      <c r="AN34" s="425"/>
      <c r="AO34" s="425"/>
      <c r="AP34" s="425"/>
      <c r="AQ34" s="425"/>
      <c r="AR34" s="425"/>
      <c r="AS34" s="425"/>
      <c r="AT34" s="425"/>
      <c r="AU34" s="425"/>
      <c r="AV34" s="425"/>
      <c r="AW34" s="425"/>
      <c r="AX34" s="425"/>
      <c r="AY34" s="426"/>
    </row>
    <row r="35" spans="2:51" ht="18" customHeight="1">
      <c r="B35" s="1946" t="str">
        <f>+$B$7</f>
        <v>集合形式住宅</v>
      </c>
      <c r="C35" s="1205">
        <f>+C36</f>
        <v>1200</v>
      </c>
      <c r="D35" s="1201">
        <v>500</v>
      </c>
      <c r="E35" s="432">
        <v>1.05</v>
      </c>
      <c r="F35" s="1202">
        <v>1000</v>
      </c>
      <c r="G35" s="432">
        <v>1</v>
      </c>
      <c r="H35" s="1202">
        <v>1500</v>
      </c>
      <c r="I35" s="433">
        <v>0.93</v>
      </c>
      <c r="J35" s="437" t="s">
        <v>348</v>
      </c>
      <c r="K35" s="432">
        <v>5</v>
      </c>
      <c r="L35" s="432" t="s">
        <v>349</v>
      </c>
      <c r="M35" s="432">
        <v>1</v>
      </c>
      <c r="N35" s="432" t="s">
        <v>350</v>
      </c>
      <c r="O35" s="433">
        <v>0.9</v>
      </c>
      <c r="P35" s="457"/>
      <c r="Q35" s="451"/>
      <c r="R35" s="458"/>
      <c r="S35" s="451"/>
      <c r="T35" s="458"/>
      <c r="U35" s="451"/>
      <c r="V35" s="451"/>
      <c r="W35" s="451"/>
      <c r="X35" s="451"/>
      <c r="Y35" s="451"/>
      <c r="Z35" s="451"/>
      <c r="AA35" s="451"/>
      <c r="AB35" s="451"/>
      <c r="AC35" s="451"/>
      <c r="AD35" s="451"/>
      <c r="AE35" s="451"/>
      <c r="AF35" s="451"/>
      <c r="AG35" s="451"/>
      <c r="AH35" s="451"/>
      <c r="AI35" s="451"/>
      <c r="AJ35" s="451"/>
      <c r="AK35" s="451"/>
      <c r="AL35" s="451"/>
      <c r="AM35" s="451"/>
      <c r="AN35" s="425"/>
      <c r="AO35" s="425"/>
      <c r="AP35" s="425"/>
      <c r="AQ35" s="425"/>
      <c r="AR35" s="425"/>
      <c r="AS35" s="425"/>
      <c r="AT35" s="425"/>
      <c r="AU35" s="425"/>
      <c r="AV35" s="425"/>
      <c r="AW35" s="425"/>
      <c r="AX35" s="425"/>
      <c r="AY35" s="426"/>
    </row>
    <row r="36" spans="2:51" ht="18" customHeight="1">
      <c r="B36" s="1946" t="str">
        <f>+$B$8</f>
        <v>事務所・店舗</v>
      </c>
      <c r="C36" s="430">
        <v>1200</v>
      </c>
      <c r="D36" s="1201">
        <v>500</v>
      </c>
      <c r="E36" s="432">
        <v>1.05</v>
      </c>
      <c r="F36" s="1202">
        <v>1000</v>
      </c>
      <c r="G36" s="432">
        <v>1</v>
      </c>
      <c r="H36" s="1202">
        <v>1500</v>
      </c>
      <c r="I36" s="433">
        <v>0.93</v>
      </c>
      <c r="J36" s="437" t="s">
        <v>348</v>
      </c>
      <c r="K36" s="432">
        <v>5</v>
      </c>
      <c r="L36" s="432" t="s">
        <v>349</v>
      </c>
      <c r="M36" s="432">
        <v>1</v>
      </c>
      <c r="N36" s="432" t="s">
        <v>350</v>
      </c>
      <c r="O36" s="433">
        <v>0.9</v>
      </c>
      <c r="P36" s="457"/>
      <c r="Q36" s="451"/>
      <c r="R36" s="458"/>
      <c r="S36" s="451"/>
      <c r="T36" s="458"/>
      <c r="U36" s="451"/>
      <c r="V36" s="451"/>
      <c r="W36" s="451"/>
      <c r="X36" s="451"/>
      <c r="Y36" s="451"/>
      <c r="Z36" s="451"/>
      <c r="AA36" s="451"/>
      <c r="AB36" s="451"/>
      <c r="AC36" s="451"/>
      <c r="AD36" s="451"/>
      <c r="AE36" s="451"/>
      <c r="AF36" s="451"/>
      <c r="AG36" s="451"/>
      <c r="AH36" s="451"/>
      <c r="AI36" s="451"/>
      <c r="AJ36" s="451"/>
      <c r="AK36" s="451"/>
      <c r="AL36" s="451"/>
      <c r="AM36" s="451"/>
      <c r="AN36" s="425"/>
      <c r="AO36" s="425"/>
      <c r="AP36" s="425"/>
      <c r="AQ36" s="425"/>
      <c r="AR36" s="425"/>
      <c r="AS36" s="425"/>
      <c r="AT36" s="425"/>
      <c r="AU36" s="425"/>
      <c r="AV36" s="425"/>
      <c r="AW36" s="425"/>
      <c r="AX36" s="425"/>
      <c r="AY36" s="426"/>
    </row>
    <row r="37" spans="2:51" ht="18" customHeight="1">
      <c r="B37" s="1946" t="str">
        <f>+$B$9</f>
        <v>病院・ホテル</v>
      </c>
      <c r="C37" s="1205">
        <v>1200</v>
      </c>
      <c r="D37" s="1201">
        <v>500</v>
      </c>
      <c r="E37" s="432">
        <v>1.05</v>
      </c>
      <c r="F37" s="1202">
        <v>1000</v>
      </c>
      <c r="G37" s="432">
        <v>1</v>
      </c>
      <c r="H37" s="1202">
        <v>1500</v>
      </c>
      <c r="I37" s="433">
        <v>0.93</v>
      </c>
      <c r="J37" s="437" t="s">
        <v>348</v>
      </c>
      <c r="K37" s="432">
        <v>5</v>
      </c>
      <c r="L37" s="432" t="s">
        <v>349</v>
      </c>
      <c r="M37" s="432">
        <v>1</v>
      </c>
      <c r="N37" s="432" t="s">
        <v>350</v>
      </c>
      <c r="O37" s="433">
        <v>0.9</v>
      </c>
      <c r="P37" s="457"/>
      <c r="Q37" s="451"/>
      <c r="R37" s="458"/>
      <c r="S37" s="451"/>
      <c r="T37" s="458"/>
      <c r="U37" s="451"/>
      <c r="V37" s="451"/>
      <c r="W37" s="451"/>
      <c r="X37" s="451"/>
      <c r="Y37" s="451"/>
      <c r="Z37" s="451"/>
      <c r="AA37" s="451"/>
      <c r="AB37" s="451"/>
      <c r="AC37" s="451"/>
      <c r="AD37" s="451"/>
      <c r="AE37" s="451"/>
      <c r="AF37" s="451"/>
      <c r="AG37" s="451"/>
      <c r="AH37" s="451"/>
      <c r="AI37" s="451"/>
      <c r="AJ37" s="451"/>
      <c r="AK37" s="451"/>
      <c r="AL37" s="451"/>
      <c r="AM37" s="451"/>
      <c r="AN37" s="425"/>
      <c r="AO37" s="425"/>
      <c r="AP37" s="425"/>
      <c r="AQ37" s="425"/>
      <c r="AR37" s="425"/>
      <c r="AS37" s="425"/>
      <c r="AT37" s="425"/>
      <c r="AU37" s="425"/>
      <c r="AV37" s="425"/>
      <c r="AW37" s="425"/>
      <c r="AX37" s="425"/>
      <c r="AY37" s="426"/>
    </row>
    <row r="38" spans="2:51" ht="18" customHeight="1">
      <c r="B38" s="1947" t="str">
        <f>+$B$10</f>
        <v>工場・倉庫</v>
      </c>
      <c r="C38" s="1211">
        <f>+C36</f>
        <v>1200</v>
      </c>
      <c r="D38" s="1281">
        <v>500</v>
      </c>
      <c r="E38" s="446">
        <v>1.05</v>
      </c>
      <c r="F38" s="1264">
        <v>1000</v>
      </c>
      <c r="G38" s="446">
        <v>1</v>
      </c>
      <c r="H38" s="1264">
        <v>1500</v>
      </c>
      <c r="I38" s="447">
        <v>0.93</v>
      </c>
      <c r="J38" s="445" t="s">
        <v>348</v>
      </c>
      <c r="K38" s="446">
        <v>5</v>
      </c>
      <c r="L38" s="446" t="s">
        <v>349</v>
      </c>
      <c r="M38" s="446">
        <v>1</v>
      </c>
      <c r="N38" s="446" t="s">
        <v>350</v>
      </c>
      <c r="O38" s="447">
        <v>0.9</v>
      </c>
      <c r="P38" s="457"/>
      <c r="Q38" s="451"/>
      <c r="R38" s="458"/>
      <c r="S38" s="451"/>
      <c r="T38" s="458"/>
      <c r="U38" s="451"/>
      <c r="V38" s="451"/>
      <c r="W38" s="451"/>
      <c r="X38" s="451"/>
      <c r="Y38" s="451"/>
      <c r="Z38" s="451"/>
      <c r="AA38" s="451"/>
      <c r="AB38" s="451"/>
      <c r="AC38" s="451"/>
      <c r="AD38" s="451"/>
      <c r="AE38" s="451"/>
      <c r="AF38" s="451"/>
      <c r="AG38" s="451"/>
      <c r="AH38" s="451"/>
      <c r="AI38" s="451"/>
      <c r="AJ38" s="451"/>
      <c r="AK38" s="451"/>
      <c r="AL38" s="451"/>
      <c r="AM38" s="451"/>
      <c r="AN38" s="425"/>
      <c r="AO38" s="425"/>
      <c r="AP38" s="425"/>
      <c r="AQ38" s="425"/>
      <c r="AR38" s="425"/>
      <c r="AS38" s="425"/>
      <c r="AT38" s="425"/>
      <c r="AU38" s="425"/>
      <c r="AV38" s="425"/>
      <c r="AW38" s="425"/>
      <c r="AX38" s="425"/>
      <c r="AY38" s="426"/>
    </row>
    <row r="39" spans="2:51" ht="18" customHeight="1">
      <c r="B39" s="1941" t="s">
        <v>311</v>
      </c>
      <c r="C39" s="1909" t="s">
        <v>354</v>
      </c>
      <c r="D39" s="1911" t="s">
        <v>1119</v>
      </c>
      <c r="E39" s="1912"/>
      <c r="F39" s="1912"/>
      <c r="G39" s="1912"/>
      <c r="H39" s="1912"/>
      <c r="I39" s="1912"/>
      <c r="J39" s="1887" t="s">
        <v>831</v>
      </c>
      <c r="K39" s="1889"/>
      <c r="L39" s="1889"/>
      <c r="M39" s="1889"/>
      <c r="N39" s="1889"/>
      <c r="O39" s="1891"/>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4"/>
    </row>
    <row r="40" spans="2:51" ht="18" customHeight="1">
      <c r="B40" s="1942"/>
      <c r="C40" s="1907" t="s">
        <v>832</v>
      </c>
      <c r="D40" s="1898" t="s">
        <v>318</v>
      </c>
      <c r="E40" s="1900"/>
      <c r="F40" s="1900" t="s">
        <v>319</v>
      </c>
      <c r="G40" s="1900"/>
      <c r="H40" s="1900" t="s">
        <v>320</v>
      </c>
      <c r="I40" s="1902"/>
      <c r="J40" s="1898" t="s">
        <v>318</v>
      </c>
      <c r="K40" s="1900"/>
      <c r="L40" s="1900" t="s">
        <v>319</v>
      </c>
      <c r="M40" s="1900"/>
      <c r="N40" s="1900" t="s">
        <v>320</v>
      </c>
      <c r="O40" s="1902"/>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6"/>
    </row>
    <row r="41" spans="2:51" ht="18" customHeight="1">
      <c r="B41" s="1945" t="str">
        <f>+$B$6</f>
        <v>戸建形式住宅</v>
      </c>
      <c r="C41" s="588" t="s">
        <v>23</v>
      </c>
      <c r="D41" s="1047" t="s">
        <v>5652</v>
      </c>
      <c r="E41" s="1047" t="s">
        <v>5652</v>
      </c>
      <c r="F41" s="1047" t="s">
        <v>5652</v>
      </c>
      <c r="G41" s="1047" t="s">
        <v>5652</v>
      </c>
      <c r="H41" s="1047" t="s">
        <v>5652</v>
      </c>
      <c r="I41" s="1048" t="s">
        <v>5652</v>
      </c>
      <c r="J41" s="1046" t="s">
        <v>5652</v>
      </c>
      <c r="K41" s="1047" t="s">
        <v>5652</v>
      </c>
      <c r="L41" s="1047" t="s">
        <v>5652</v>
      </c>
      <c r="M41" s="1047" t="s">
        <v>5652</v>
      </c>
      <c r="N41" s="1047" t="s">
        <v>5652</v>
      </c>
      <c r="O41" s="1048" t="s">
        <v>5652</v>
      </c>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6"/>
    </row>
    <row r="42" spans="2:51" ht="18" customHeight="1">
      <c r="B42" s="1946" t="str">
        <f>+$B$7</f>
        <v>集合形式住宅</v>
      </c>
      <c r="C42" s="430">
        <v>69310</v>
      </c>
      <c r="D42" s="1197">
        <v>15</v>
      </c>
      <c r="E42" s="431">
        <v>1.05</v>
      </c>
      <c r="F42" s="435">
        <v>30</v>
      </c>
      <c r="G42" s="432">
        <v>1</v>
      </c>
      <c r="H42" s="432" t="s">
        <v>1051</v>
      </c>
      <c r="I42" s="432" t="s">
        <v>1051</v>
      </c>
      <c r="J42" s="437" t="s">
        <v>1051</v>
      </c>
      <c r="K42" s="432" t="s">
        <v>1051</v>
      </c>
      <c r="L42" s="432" t="s">
        <v>1117</v>
      </c>
      <c r="M42" s="432">
        <v>1</v>
      </c>
      <c r="N42" s="432" t="s">
        <v>270</v>
      </c>
      <c r="O42" s="433">
        <v>0.2</v>
      </c>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6"/>
    </row>
    <row r="43" spans="2:51" ht="18" customHeight="1">
      <c r="B43" s="1946" t="str">
        <f>+$B$8</f>
        <v>事務所・店舗</v>
      </c>
      <c r="C43" s="430">
        <v>69310</v>
      </c>
      <c r="D43" s="1197">
        <v>15</v>
      </c>
      <c r="E43" s="431">
        <v>1.05</v>
      </c>
      <c r="F43" s="435">
        <v>30</v>
      </c>
      <c r="G43" s="432">
        <v>1</v>
      </c>
      <c r="H43" s="432" t="s">
        <v>1051</v>
      </c>
      <c r="I43" s="432" t="s">
        <v>1051</v>
      </c>
      <c r="J43" s="437" t="s">
        <v>1051</v>
      </c>
      <c r="K43" s="432" t="s">
        <v>1051</v>
      </c>
      <c r="L43" s="432" t="s">
        <v>1117</v>
      </c>
      <c r="M43" s="432">
        <v>1</v>
      </c>
      <c r="N43" s="432" t="s">
        <v>270</v>
      </c>
      <c r="O43" s="433">
        <v>0.2</v>
      </c>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6"/>
    </row>
    <row r="44" spans="2:51" ht="18" customHeight="1">
      <c r="B44" s="1946" t="str">
        <f>+$B$9</f>
        <v>病院・ホテル</v>
      </c>
      <c r="C44" s="430">
        <v>69310</v>
      </c>
      <c r="D44" s="1197">
        <v>15</v>
      </c>
      <c r="E44" s="431">
        <v>1.05</v>
      </c>
      <c r="F44" s="435">
        <v>30</v>
      </c>
      <c r="G44" s="432">
        <v>1</v>
      </c>
      <c r="H44" s="432" t="s">
        <v>1051</v>
      </c>
      <c r="I44" s="432" t="s">
        <v>1051</v>
      </c>
      <c r="J44" s="437" t="s">
        <v>1051</v>
      </c>
      <c r="K44" s="432" t="s">
        <v>1051</v>
      </c>
      <c r="L44" s="432" t="s">
        <v>1117</v>
      </c>
      <c r="M44" s="432">
        <v>1</v>
      </c>
      <c r="N44" s="432" t="s">
        <v>270</v>
      </c>
      <c r="O44" s="433">
        <v>0.2</v>
      </c>
      <c r="P44" s="425"/>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6"/>
    </row>
    <row r="45" spans="2:51" ht="18" customHeight="1">
      <c r="B45" s="1947" t="str">
        <f>+$B$10</f>
        <v>工場・倉庫</v>
      </c>
      <c r="C45" s="1203">
        <v>69310</v>
      </c>
      <c r="D45" s="1282">
        <v>15</v>
      </c>
      <c r="E45" s="441">
        <v>1.05</v>
      </c>
      <c r="F45" s="1257">
        <v>30</v>
      </c>
      <c r="G45" s="442">
        <v>1</v>
      </c>
      <c r="H45" s="442" t="s">
        <v>1051</v>
      </c>
      <c r="I45" s="442" t="s">
        <v>1051</v>
      </c>
      <c r="J45" s="1283" t="s">
        <v>1051</v>
      </c>
      <c r="K45" s="442" t="s">
        <v>1051</v>
      </c>
      <c r="L45" s="442" t="s">
        <v>1117</v>
      </c>
      <c r="M45" s="442">
        <v>1</v>
      </c>
      <c r="N45" s="442" t="s">
        <v>270</v>
      </c>
      <c r="O45" s="443">
        <v>0.2</v>
      </c>
      <c r="P45" s="425"/>
      <c r="Q45" s="425"/>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3"/>
    </row>
    <row r="46" spans="2:51" ht="18" customHeight="1">
      <c r="B46" s="1941" t="s">
        <v>311</v>
      </c>
      <c r="C46" s="1913" t="s">
        <v>1112</v>
      </c>
      <c r="D46" s="1914" t="s">
        <v>1114</v>
      </c>
      <c r="E46" s="1889"/>
      <c r="F46" s="1889"/>
      <c r="G46" s="1889"/>
      <c r="H46" s="1889"/>
      <c r="I46" s="1891"/>
      <c r="J46" s="455"/>
      <c r="K46" s="455"/>
      <c r="L46" s="455"/>
      <c r="M46" s="455"/>
      <c r="N46" s="455"/>
      <c r="O46" s="455"/>
      <c r="P46" s="455"/>
      <c r="Q46" s="455"/>
      <c r="R46" s="455"/>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4"/>
    </row>
    <row r="47" spans="2:51" ht="18" customHeight="1">
      <c r="B47" s="1942"/>
      <c r="C47" s="1907" t="s">
        <v>1113</v>
      </c>
      <c r="D47" s="1898" t="s">
        <v>318</v>
      </c>
      <c r="E47" s="1900"/>
      <c r="F47" s="1900" t="s">
        <v>319</v>
      </c>
      <c r="G47" s="1900"/>
      <c r="H47" s="1900" t="s">
        <v>320</v>
      </c>
      <c r="I47" s="1902"/>
      <c r="J47" s="451"/>
      <c r="K47" s="451"/>
      <c r="L47" s="451"/>
      <c r="M47" s="451"/>
      <c r="N47" s="451"/>
      <c r="O47" s="451"/>
      <c r="P47" s="451"/>
      <c r="Q47" s="451"/>
      <c r="R47" s="451"/>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6"/>
    </row>
    <row r="48" spans="2:51" ht="18" customHeight="1">
      <c r="B48" s="1945" t="str">
        <f>+$B$6</f>
        <v>戸建形式住宅</v>
      </c>
      <c r="C48" s="588" t="s">
        <v>23</v>
      </c>
      <c r="D48" s="1047" t="s">
        <v>5652</v>
      </c>
      <c r="E48" s="1047" t="s">
        <v>5652</v>
      </c>
      <c r="F48" s="1047" t="s">
        <v>5652</v>
      </c>
      <c r="G48" s="1047" t="s">
        <v>5652</v>
      </c>
      <c r="H48" s="1047" t="s">
        <v>5652</v>
      </c>
      <c r="I48" s="1048" t="s">
        <v>5652</v>
      </c>
      <c r="J48" s="451"/>
      <c r="K48" s="451"/>
      <c r="L48" s="451"/>
      <c r="M48" s="451"/>
      <c r="N48" s="451"/>
      <c r="O48" s="451"/>
      <c r="P48" s="451"/>
      <c r="Q48" s="451"/>
      <c r="R48" s="451"/>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6"/>
    </row>
    <row r="49" spans="2:51" ht="18" customHeight="1">
      <c r="B49" s="1946" t="str">
        <f>+$B$7</f>
        <v>集合形式住宅</v>
      </c>
      <c r="C49" s="430">
        <v>50900</v>
      </c>
      <c r="D49" s="1197" t="s">
        <v>1051</v>
      </c>
      <c r="E49" s="1197" t="s">
        <v>1051</v>
      </c>
      <c r="F49" s="432" t="s">
        <v>1117</v>
      </c>
      <c r="G49" s="432">
        <v>1</v>
      </c>
      <c r="H49" s="432" t="s">
        <v>270</v>
      </c>
      <c r="I49" s="433">
        <v>0.3</v>
      </c>
      <c r="J49" s="451"/>
      <c r="K49" s="451"/>
      <c r="L49" s="451"/>
      <c r="M49" s="451"/>
      <c r="N49" s="451"/>
      <c r="O49" s="451"/>
      <c r="P49" s="451"/>
      <c r="Q49" s="451"/>
      <c r="R49" s="451"/>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6"/>
    </row>
    <row r="50" spans="2:51" ht="18" customHeight="1">
      <c r="B50" s="1946" t="str">
        <f>+$B$8</f>
        <v>事務所・店舗</v>
      </c>
      <c r="C50" s="430">
        <v>50900</v>
      </c>
      <c r="D50" s="1197" t="s">
        <v>1051</v>
      </c>
      <c r="E50" s="1197" t="s">
        <v>1051</v>
      </c>
      <c r="F50" s="432" t="s">
        <v>1117</v>
      </c>
      <c r="G50" s="432">
        <v>1</v>
      </c>
      <c r="H50" s="432" t="s">
        <v>270</v>
      </c>
      <c r="I50" s="433">
        <v>0.3</v>
      </c>
      <c r="J50" s="451"/>
      <c r="K50" s="451"/>
      <c r="L50" s="451"/>
      <c r="M50" s="451"/>
      <c r="N50" s="451"/>
      <c r="O50" s="451"/>
      <c r="P50" s="451"/>
      <c r="Q50" s="451"/>
      <c r="R50" s="451"/>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6"/>
    </row>
    <row r="51" spans="2:51" ht="18" customHeight="1">
      <c r="B51" s="1946" t="str">
        <f>+$B$9</f>
        <v>病院・ホテル</v>
      </c>
      <c r="C51" s="430">
        <v>50900</v>
      </c>
      <c r="D51" s="1197" t="s">
        <v>1051</v>
      </c>
      <c r="E51" s="1197" t="s">
        <v>1051</v>
      </c>
      <c r="F51" s="432" t="s">
        <v>1117</v>
      </c>
      <c r="G51" s="432">
        <v>1</v>
      </c>
      <c r="H51" s="432" t="s">
        <v>270</v>
      </c>
      <c r="I51" s="433">
        <v>0.3</v>
      </c>
      <c r="J51" s="451"/>
      <c r="K51" s="451"/>
      <c r="L51" s="451"/>
      <c r="M51" s="451"/>
      <c r="N51" s="451"/>
      <c r="O51" s="451"/>
      <c r="P51" s="451"/>
      <c r="Q51" s="451"/>
      <c r="R51" s="451"/>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6"/>
    </row>
    <row r="52" spans="2:51" ht="18" customHeight="1">
      <c r="B52" s="1947" t="str">
        <f>+$B$10</f>
        <v>工場・倉庫</v>
      </c>
      <c r="C52" s="1060">
        <v>50900</v>
      </c>
      <c r="D52" s="1285" t="s">
        <v>1051</v>
      </c>
      <c r="E52" s="1285" t="s">
        <v>1051</v>
      </c>
      <c r="F52" s="446" t="s">
        <v>1117</v>
      </c>
      <c r="G52" s="446">
        <v>1</v>
      </c>
      <c r="H52" s="446" t="s">
        <v>270</v>
      </c>
      <c r="I52" s="447">
        <v>0.3</v>
      </c>
      <c r="J52" s="478"/>
      <c r="K52" s="478"/>
      <c r="L52" s="478"/>
      <c r="M52" s="478"/>
      <c r="N52" s="478"/>
      <c r="O52" s="478"/>
      <c r="P52" s="478"/>
      <c r="Q52" s="478"/>
      <c r="R52" s="478"/>
      <c r="S52" s="452"/>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6"/>
    </row>
    <row r="53" spans="2:51" ht="18" customHeight="1">
      <c r="B53" s="1941" t="s">
        <v>311</v>
      </c>
      <c r="C53" s="1909" t="s">
        <v>833</v>
      </c>
      <c r="D53" s="1888" t="s">
        <v>834</v>
      </c>
      <c r="E53" s="1888"/>
      <c r="F53" s="1889"/>
      <c r="G53" s="1889"/>
      <c r="H53" s="1889"/>
      <c r="I53" s="1889"/>
      <c r="J53" s="1889"/>
      <c r="K53" s="1890"/>
      <c r="L53" s="1890"/>
      <c r="M53" s="1887" t="s">
        <v>835</v>
      </c>
      <c r="N53" s="1889"/>
      <c r="O53" s="1889"/>
      <c r="P53" s="1889"/>
      <c r="Q53" s="1889"/>
      <c r="R53" s="1891"/>
      <c r="S53" s="459"/>
      <c r="T53" s="455"/>
      <c r="U53" s="455"/>
      <c r="V53" s="455"/>
      <c r="W53" s="455"/>
      <c r="X53" s="455"/>
      <c r="Y53" s="455"/>
      <c r="Z53" s="455"/>
      <c r="AA53" s="455"/>
      <c r="AB53" s="455"/>
      <c r="AC53" s="455"/>
      <c r="AD53" s="455"/>
      <c r="AE53" s="455"/>
      <c r="AF53" s="455"/>
      <c r="AG53" s="455"/>
      <c r="AH53" s="423"/>
      <c r="AI53" s="423"/>
      <c r="AJ53" s="423"/>
      <c r="AK53" s="423"/>
      <c r="AL53" s="423"/>
      <c r="AM53" s="423"/>
      <c r="AN53" s="423"/>
      <c r="AO53" s="423"/>
      <c r="AP53" s="423"/>
      <c r="AQ53" s="423"/>
      <c r="AR53" s="423"/>
      <c r="AS53" s="423"/>
      <c r="AT53" s="423"/>
      <c r="AU53" s="423"/>
      <c r="AV53" s="423"/>
      <c r="AW53" s="423"/>
      <c r="AX53" s="423"/>
      <c r="AY53" s="424"/>
    </row>
    <row r="54" spans="2:51" ht="18" customHeight="1">
      <c r="B54" s="1942"/>
      <c r="C54" s="1907" t="s">
        <v>355</v>
      </c>
      <c r="D54" s="1899" t="s">
        <v>318</v>
      </c>
      <c r="E54" s="1899"/>
      <c r="F54" s="1900"/>
      <c r="G54" s="1900" t="s">
        <v>319</v>
      </c>
      <c r="H54" s="1900"/>
      <c r="I54" s="1900"/>
      <c r="J54" s="1900" t="s">
        <v>320</v>
      </c>
      <c r="K54" s="1901"/>
      <c r="L54" s="1901"/>
      <c r="M54" s="1898" t="s">
        <v>318</v>
      </c>
      <c r="N54" s="1900"/>
      <c r="O54" s="1900" t="s">
        <v>319</v>
      </c>
      <c r="P54" s="1900"/>
      <c r="Q54" s="1900" t="s">
        <v>320</v>
      </c>
      <c r="R54" s="1902"/>
      <c r="S54" s="450"/>
      <c r="T54" s="451"/>
      <c r="U54" s="451"/>
      <c r="V54" s="451"/>
      <c r="W54" s="451"/>
      <c r="X54" s="451"/>
      <c r="Y54" s="451"/>
      <c r="Z54" s="451"/>
      <c r="AA54" s="451"/>
      <c r="AB54" s="451"/>
      <c r="AC54" s="451"/>
      <c r="AD54" s="451"/>
      <c r="AE54" s="451"/>
      <c r="AF54" s="451"/>
      <c r="AG54" s="451"/>
      <c r="AH54" s="425"/>
      <c r="AI54" s="425"/>
      <c r="AJ54" s="425"/>
      <c r="AK54" s="425"/>
      <c r="AL54" s="425"/>
      <c r="AM54" s="425"/>
      <c r="AN54" s="425"/>
      <c r="AO54" s="425"/>
      <c r="AP54" s="425"/>
      <c r="AQ54" s="425"/>
      <c r="AR54" s="425"/>
      <c r="AS54" s="425"/>
      <c r="AT54" s="425"/>
      <c r="AU54" s="425"/>
      <c r="AV54" s="425"/>
      <c r="AW54" s="425"/>
      <c r="AX54" s="425"/>
      <c r="AY54" s="426"/>
    </row>
    <row r="55" spans="2:51" ht="18" customHeight="1">
      <c r="B55" s="1945" t="str">
        <f>+$B$6</f>
        <v>戸建形式住宅</v>
      </c>
      <c r="C55" s="588" t="s">
        <v>23</v>
      </c>
      <c r="D55" s="1047" t="s">
        <v>5652</v>
      </c>
      <c r="E55" s="1047" t="s">
        <v>5652</v>
      </c>
      <c r="F55" s="1047" t="s">
        <v>5652</v>
      </c>
      <c r="G55" s="1047" t="s">
        <v>5652</v>
      </c>
      <c r="H55" s="1047" t="s">
        <v>5652</v>
      </c>
      <c r="I55" s="1055" t="s">
        <v>5652</v>
      </c>
      <c r="J55" s="1055" t="s">
        <v>5652</v>
      </c>
      <c r="K55" s="1055" t="s">
        <v>5652</v>
      </c>
      <c r="L55" s="1056" t="s">
        <v>5652</v>
      </c>
      <c r="M55" s="1047" t="s">
        <v>5652</v>
      </c>
      <c r="N55" s="1047" t="s">
        <v>5652</v>
      </c>
      <c r="O55" s="1047" t="s">
        <v>5652</v>
      </c>
      <c r="P55" s="1047" t="s">
        <v>5652</v>
      </c>
      <c r="Q55" s="1047" t="s">
        <v>5652</v>
      </c>
      <c r="R55" s="1048" t="s">
        <v>5652</v>
      </c>
      <c r="S55" s="450"/>
      <c r="T55" s="451"/>
      <c r="U55" s="451"/>
      <c r="V55" s="451"/>
      <c r="W55" s="451"/>
      <c r="X55" s="451"/>
      <c r="Y55" s="451"/>
      <c r="Z55" s="451"/>
      <c r="AA55" s="451"/>
      <c r="AB55" s="451"/>
      <c r="AC55" s="451"/>
      <c r="AD55" s="451"/>
      <c r="AE55" s="451"/>
      <c r="AF55" s="451"/>
      <c r="AG55" s="451"/>
      <c r="AH55" s="425"/>
      <c r="AI55" s="425"/>
      <c r="AJ55" s="425"/>
      <c r="AK55" s="425"/>
      <c r="AL55" s="425"/>
      <c r="AM55" s="425"/>
      <c r="AN55" s="425"/>
      <c r="AO55" s="425"/>
      <c r="AP55" s="425"/>
      <c r="AQ55" s="425"/>
      <c r="AR55" s="425"/>
      <c r="AS55" s="425"/>
      <c r="AT55" s="425"/>
      <c r="AU55" s="425"/>
      <c r="AV55" s="425"/>
      <c r="AW55" s="425"/>
      <c r="AX55" s="425"/>
      <c r="AY55" s="426"/>
    </row>
    <row r="56" spans="2:51" ht="18" customHeight="1">
      <c r="B56" s="1946" t="str">
        <f>+$B$7</f>
        <v>集合形式住宅</v>
      </c>
      <c r="C56" s="1205">
        <f>+C58</f>
        <v>470</v>
      </c>
      <c r="D56" s="431" t="s">
        <v>691</v>
      </c>
      <c r="E56" s="1286">
        <v>35</v>
      </c>
      <c r="F56" s="432">
        <v>1.25</v>
      </c>
      <c r="G56" s="432" t="s">
        <v>712</v>
      </c>
      <c r="H56" s="1249">
        <v>70</v>
      </c>
      <c r="I56" s="432">
        <v>1</v>
      </c>
      <c r="J56" s="432" t="s">
        <v>325</v>
      </c>
      <c r="K56" s="1287">
        <v>120</v>
      </c>
      <c r="L56" s="436">
        <v>0.6</v>
      </c>
      <c r="M56" s="437" t="s">
        <v>351</v>
      </c>
      <c r="N56" s="432">
        <v>1.2</v>
      </c>
      <c r="O56" s="432" t="s">
        <v>352</v>
      </c>
      <c r="P56" s="432">
        <v>1</v>
      </c>
      <c r="Q56" s="432" t="s">
        <v>353</v>
      </c>
      <c r="R56" s="433">
        <v>0.8</v>
      </c>
      <c r="S56" s="565" t="s">
        <v>5617</v>
      </c>
      <c r="T56" s="451"/>
      <c r="U56" s="451"/>
      <c r="V56" s="451"/>
      <c r="W56" s="451"/>
      <c r="X56" s="451"/>
      <c r="Y56" s="451"/>
      <c r="Z56" s="451"/>
      <c r="AA56" s="451"/>
      <c r="AB56" s="451"/>
      <c r="AC56" s="451"/>
      <c r="AD56" s="451"/>
      <c r="AE56" s="451"/>
      <c r="AF56" s="451"/>
      <c r="AG56" s="451"/>
      <c r="AH56" s="425"/>
      <c r="AI56" s="425"/>
      <c r="AJ56" s="425"/>
      <c r="AK56" s="425"/>
      <c r="AL56" s="425"/>
      <c r="AM56" s="425"/>
      <c r="AN56" s="425"/>
      <c r="AO56" s="425"/>
      <c r="AP56" s="425"/>
      <c r="AQ56" s="425"/>
      <c r="AR56" s="425"/>
      <c r="AS56" s="425"/>
      <c r="AT56" s="425"/>
      <c r="AU56" s="425"/>
      <c r="AV56" s="425"/>
      <c r="AW56" s="425"/>
      <c r="AX56" s="425"/>
      <c r="AY56" s="426"/>
    </row>
    <row r="57" spans="2:51" ht="18" customHeight="1">
      <c r="B57" s="1946" t="str">
        <f>+$B$8</f>
        <v>事務所・店舗</v>
      </c>
      <c r="C57" s="430">
        <v>470</v>
      </c>
      <c r="D57" s="431" t="s">
        <v>691</v>
      </c>
      <c r="E57" s="1286">
        <v>35</v>
      </c>
      <c r="F57" s="432">
        <v>1.25</v>
      </c>
      <c r="G57" s="432" t="s">
        <v>712</v>
      </c>
      <c r="H57" s="1249">
        <v>70</v>
      </c>
      <c r="I57" s="432">
        <v>1</v>
      </c>
      <c r="J57" s="432" t="s">
        <v>325</v>
      </c>
      <c r="K57" s="1287">
        <v>120</v>
      </c>
      <c r="L57" s="436">
        <v>0.6</v>
      </c>
      <c r="M57" s="437" t="s">
        <v>351</v>
      </c>
      <c r="N57" s="432">
        <v>1.2</v>
      </c>
      <c r="O57" s="432" t="s">
        <v>352</v>
      </c>
      <c r="P57" s="432">
        <v>1</v>
      </c>
      <c r="Q57" s="432" t="s">
        <v>353</v>
      </c>
      <c r="R57" s="433">
        <v>0.8</v>
      </c>
      <c r="S57" s="450"/>
      <c r="T57" s="451"/>
      <c r="U57" s="451"/>
      <c r="V57" s="451"/>
      <c r="W57" s="451"/>
      <c r="X57" s="451"/>
      <c r="Y57" s="451"/>
      <c r="Z57" s="451"/>
      <c r="AA57" s="451"/>
      <c r="AB57" s="451"/>
      <c r="AC57" s="451"/>
      <c r="AD57" s="451"/>
      <c r="AE57" s="451"/>
      <c r="AF57" s="451"/>
      <c r="AG57" s="451"/>
      <c r="AH57" s="425"/>
      <c r="AI57" s="425"/>
      <c r="AJ57" s="425"/>
      <c r="AK57" s="425"/>
      <c r="AL57" s="425"/>
      <c r="AM57" s="425"/>
      <c r="AN57" s="425"/>
      <c r="AO57" s="425"/>
      <c r="AP57" s="425"/>
      <c r="AQ57" s="425"/>
      <c r="AR57" s="425"/>
      <c r="AS57" s="425"/>
      <c r="AT57" s="425"/>
      <c r="AU57" s="425"/>
      <c r="AV57" s="425"/>
      <c r="AW57" s="425"/>
      <c r="AX57" s="425"/>
      <c r="AY57" s="426"/>
    </row>
    <row r="58" spans="2:51" ht="18" customHeight="1">
      <c r="B58" s="1946" t="str">
        <f>+$B$9</f>
        <v>病院・ホテル</v>
      </c>
      <c r="C58" s="430">
        <v>470</v>
      </c>
      <c r="D58" s="431" t="s">
        <v>691</v>
      </c>
      <c r="E58" s="1286">
        <v>35</v>
      </c>
      <c r="F58" s="432">
        <v>1.25</v>
      </c>
      <c r="G58" s="432" t="s">
        <v>712</v>
      </c>
      <c r="H58" s="1249">
        <v>70</v>
      </c>
      <c r="I58" s="432">
        <v>1</v>
      </c>
      <c r="J58" s="432" t="s">
        <v>325</v>
      </c>
      <c r="K58" s="1287">
        <v>120</v>
      </c>
      <c r="L58" s="436">
        <v>0.6</v>
      </c>
      <c r="M58" s="437" t="s">
        <v>351</v>
      </c>
      <c r="N58" s="432">
        <v>1.2</v>
      </c>
      <c r="O58" s="432" t="s">
        <v>352</v>
      </c>
      <c r="P58" s="432">
        <v>1</v>
      </c>
      <c r="Q58" s="432" t="s">
        <v>353</v>
      </c>
      <c r="R58" s="433">
        <v>0.8</v>
      </c>
      <c r="S58" s="450"/>
      <c r="T58" s="451"/>
      <c r="U58" s="451"/>
      <c r="V58" s="451"/>
      <c r="W58" s="451"/>
      <c r="X58" s="451"/>
      <c r="Y58" s="451"/>
      <c r="Z58" s="451"/>
      <c r="AA58" s="451"/>
      <c r="AB58" s="451"/>
      <c r="AC58" s="451"/>
      <c r="AD58" s="451"/>
      <c r="AE58" s="451"/>
      <c r="AF58" s="451"/>
      <c r="AG58" s="451"/>
      <c r="AH58" s="425"/>
      <c r="AI58" s="425"/>
      <c r="AJ58" s="425"/>
      <c r="AK58" s="425"/>
      <c r="AL58" s="425"/>
      <c r="AM58" s="425"/>
      <c r="AN58" s="425"/>
      <c r="AO58" s="425"/>
      <c r="AP58" s="425"/>
      <c r="AQ58" s="425"/>
      <c r="AR58" s="425"/>
      <c r="AS58" s="425"/>
      <c r="AT58" s="425"/>
      <c r="AU58" s="425"/>
      <c r="AV58" s="425"/>
      <c r="AW58" s="425"/>
      <c r="AX58" s="425"/>
      <c r="AY58" s="426"/>
    </row>
    <row r="59" spans="2:51" ht="18" customHeight="1">
      <c r="B59" s="1947" t="str">
        <f>+$B$10</f>
        <v>工場・倉庫</v>
      </c>
      <c r="C59" s="1060">
        <v>470</v>
      </c>
      <c r="D59" s="431" t="s">
        <v>691</v>
      </c>
      <c r="E59" s="1286">
        <v>35</v>
      </c>
      <c r="F59" s="432">
        <v>1.05</v>
      </c>
      <c r="G59" s="432" t="s">
        <v>712</v>
      </c>
      <c r="H59" s="1249">
        <v>70</v>
      </c>
      <c r="I59" s="432">
        <v>1</v>
      </c>
      <c r="J59" s="432" t="s">
        <v>325</v>
      </c>
      <c r="K59" s="1287">
        <v>120</v>
      </c>
      <c r="L59" s="436">
        <v>0.5</v>
      </c>
      <c r="M59" s="1283" t="s">
        <v>351</v>
      </c>
      <c r="N59" s="442">
        <v>1.2</v>
      </c>
      <c r="O59" s="442" t="s">
        <v>352</v>
      </c>
      <c r="P59" s="442">
        <v>1</v>
      </c>
      <c r="Q59" s="442" t="s">
        <v>353</v>
      </c>
      <c r="R59" s="443">
        <v>0.8</v>
      </c>
      <c r="S59" s="450"/>
      <c r="T59" s="451"/>
      <c r="U59" s="451"/>
      <c r="V59" s="451"/>
      <c r="W59" s="451"/>
      <c r="X59" s="451"/>
      <c r="Y59" s="451"/>
      <c r="Z59" s="451"/>
      <c r="AA59" s="451"/>
      <c r="AB59" s="451"/>
      <c r="AC59" s="451"/>
      <c r="AD59" s="451"/>
      <c r="AE59" s="451"/>
      <c r="AF59" s="451"/>
      <c r="AG59" s="451"/>
      <c r="AH59" s="425"/>
      <c r="AI59" s="425"/>
      <c r="AJ59" s="425"/>
      <c r="AK59" s="425"/>
      <c r="AL59" s="425"/>
      <c r="AM59" s="425"/>
      <c r="AN59" s="425"/>
      <c r="AO59" s="425"/>
      <c r="AP59" s="425"/>
      <c r="AQ59" s="425"/>
      <c r="AR59" s="425"/>
      <c r="AS59" s="425"/>
      <c r="AT59" s="425"/>
      <c r="AU59" s="425"/>
      <c r="AV59" s="425"/>
      <c r="AW59" s="425"/>
      <c r="AX59" s="425"/>
      <c r="AY59" s="426"/>
    </row>
    <row r="60" spans="2:51" ht="18" customHeight="1">
      <c r="B60" s="1941" t="s">
        <v>311</v>
      </c>
      <c r="C60" s="1910" t="s">
        <v>5332</v>
      </c>
      <c r="D60" s="825"/>
      <c r="E60" s="820"/>
      <c r="F60" s="820"/>
      <c r="G60" s="820"/>
      <c r="H60" s="820"/>
      <c r="I60" s="820"/>
      <c r="J60" s="820"/>
      <c r="K60" s="820"/>
      <c r="L60" s="820"/>
      <c r="M60" s="826"/>
      <c r="N60" s="820"/>
      <c r="O60" s="820"/>
      <c r="P60" s="820"/>
      <c r="Q60" s="820"/>
      <c r="R60" s="820"/>
      <c r="S60" s="824"/>
      <c r="T60" s="455"/>
      <c r="U60" s="455"/>
      <c r="V60" s="455"/>
      <c r="W60" s="455"/>
      <c r="X60" s="455"/>
      <c r="Y60" s="455"/>
      <c r="Z60" s="455"/>
      <c r="AA60" s="455"/>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4"/>
    </row>
    <row r="61" spans="2:51" ht="18" customHeight="1">
      <c r="B61" s="1942"/>
      <c r="C61" s="1907" t="s">
        <v>1121</v>
      </c>
      <c r="D61" s="472"/>
      <c r="E61" s="473"/>
      <c r="F61" s="473"/>
      <c r="G61" s="473"/>
      <c r="H61" s="473"/>
      <c r="I61" s="473"/>
      <c r="J61" s="473"/>
      <c r="K61" s="473"/>
      <c r="L61" s="473"/>
      <c r="M61" s="473"/>
      <c r="N61" s="473"/>
      <c r="O61" s="473"/>
      <c r="P61" s="473"/>
      <c r="Q61" s="473"/>
      <c r="R61" s="473"/>
      <c r="S61" s="466"/>
      <c r="T61" s="451"/>
      <c r="U61" s="451"/>
      <c r="V61" s="451"/>
      <c r="W61" s="451"/>
      <c r="X61" s="451"/>
      <c r="Y61" s="451"/>
      <c r="Z61" s="451"/>
      <c r="AA61" s="451"/>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5"/>
      <c r="AY61" s="426"/>
    </row>
    <row r="62" spans="2:51" ht="18" customHeight="1">
      <c r="B62" s="1945" t="str">
        <f>+$B$6</f>
        <v>戸建形式住宅</v>
      </c>
      <c r="C62" s="588" t="s">
        <v>23</v>
      </c>
      <c r="D62" s="463"/>
      <c r="E62" s="808"/>
      <c r="F62" s="451"/>
      <c r="G62" s="451"/>
      <c r="H62" s="451"/>
      <c r="I62" s="451"/>
      <c r="J62" s="451"/>
      <c r="K62" s="451"/>
      <c r="L62" s="451"/>
      <c r="M62" s="451"/>
      <c r="N62" s="451"/>
      <c r="O62" s="451"/>
      <c r="P62" s="451"/>
      <c r="Q62" s="451"/>
      <c r="R62" s="451"/>
      <c r="S62" s="466"/>
      <c r="T62" s="451"/>
      <c r="U62" s="451"/>
      <c r="V62" s="451"/>
      <c r="W62" s="451"/>
      <c r="X62" s="451"/>
      <c r="Y62" s="451"/>
      <c r="Z62" s="451"/>
      <c r="AA62" s="451"/>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6"/>
    </row>
    <row r="63" spans="2:51" ht="18" customHeight="1">
      <c r="B63" s="1946" t="str">
        <f>+$B$7</f>
        <v>集合形式住宅</v>
      </c>
      <c r="C63" s="430">
        <v>14220</v>
      </c>
      <c r="D63" s="463"/>
      <c r="E63" s="808"/>
      <c r="F63" s="451"/>
      <c r="G63" s="451"/>
      <c r="H63" s="451"/>
      <c r="I63" s="451"/>
      <c r="J63" s="451"/>
      <c r="K63" s="451"/>
      <c r="L63" s="451"/>
      <c r="M63" s="451"/>
      <c r="N63" s="451"/>
      <c r="O63" s="451"/>
      <c r="P63" s="451"/>
      <c r="Q63" s="451"/>
      <c r="R63" s="451"/>
      <c r="S63" s="466"/>
      <c r="T63" s="451"/>
      <c r="U63" s="451"/>
      <c r="V63" s="451"/>
      <c r="W63" s="451"/>
      <c r="X63" s="451"/>
      <c r="Y63" s="451"/>
      <c r="Z63" s="451"/>
      <c r="AA63" s="451"/>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5"/>
      <c r="AY63" s="426"/>
    </row>
    <row r="64" spans="2:51" ht="18" customHeight="1">
      <c r="B64" s="1946" t="str">
        <f>+$B$8</f>
        <v>事務所・店舗</v>
      </c>
      <c r="C64" s="430">
        <v>14220</v>
      </c>
      <c r="D64" s="463"/>
      <c r="E64" s="808"/>
      <c r="F64" s="451"/>
      <c r="G64" s="451"/>
      <c r="H64" s="451"/>
      <c r="I64" s="451"/>
      <c r="J64" s="451"/>
      <c r="K64" s="451"/>
      <c r="L64" s="451"/>
      <c r="M64" s="451"/>
      <c r="N64" s="451"/>
      <c r="O64" s="451"/>
      <c r="P64" s="451"/>
      <c r="Q64" s="451"/>
      <c r="R64" s="451"/>
      <c r="S64" s="466"/>
      <c r="T64" s="451"/>
      <c r="U64" s="451"/>
      <c r="V64" s="451"/>
      <c r="W64" s="451"/>
      <c r="X64" s="451"/>
      <c r="Y64" s="451"/>
      <c r="Z64" s="451"/>
      <c r="AA64" s="451"/>
      <c r="AB64" s="425"/>
      <c r="AC64" s="425"/>
      <c r="AD64" s="425"/>
      <c r="AE64" s="425"/>
      <c r="AF64" s="425"/>
      <c r="AG64" s="425"/>
      <c r="AH64" s="425"/>
      <c r="AI64" s="425"/>
      <c r="AJ64" s="425"/>
      <c r="AK64" s="425"/>
      <c r="AL64" s="425"/>
      <c r="AM64" s="425"/>
      <c r="AN64" s="425"/>
      <c r="AO64" s="425"/>
      <c r="AP64" s="425"/>
      <c r="AQ64" s="425"/>
      <c r="AR64" s="425"/>
      <c r="AS64" s="425"/>
      <c r="AT64" s="425"/>
      <c r="AU64" s="425"/>
      <c r="AV64" s="425"/>
      <c r="AW64" s="425"/>
      <c r="AX64" s="425"/>
      <c r="AY64" s="426"/>
    </row>
    <row r="65" spans="2:51" ht="18" customHeight="1">
      <c r="B65" s="1946" t="str">
        <f>+$B$9</f>
        <v>病院・ホテル</v>
      </c>
      <c r="C65" s="430">
        <v>14220</v>
      </c>
      <c r="D65" s="463"/>
      <c r="E65" s="808"/>
      <c r="F65" s="451"/>
      <c r="G65" s="451"/>
      <c r="H65" s="451"/>
      <c r="I65" s="451"/>
      <c r="J65" s="451"/>
      <c r="K65" s="451"/>
      <c r="L65" s="451"/>
      <c r="M65" s="451"/>
      <c r="N65" s="451"/>
      <c r="O65" s="451"/>
      <c r="P65" s="451"/>
      <c r="Q65" s="451"/>
      <c r="R65" s="451"/>
      <c r="S65" s="466"/>
      <c r="T65" s="451"/>
      <c r="U65" s="451"/>
      <c r="V65" s="451"/>
      <c r="W65" s="451"/>
      <c r="X65" s="451"/>
      <c r="Y65" s="451"/>
      <c r="Z65" s="451"/>
      <c r="AA65" s="451"/>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5"/>
      <c r="AY65" s="426"/>
    </row>
    <row r="66" spans="2:51" ht="18" customHeight="1">
      <c r="B66" s="1947" t="str">
        <f>+$B$10</f>
        <v>工場・倉庫</v>
      </c>
      <c r="C66" s="430">
        <v>14220</v>
      </c>
      <c r="D66" s="816"/>
      <c r="E66" s="810"/>
      <c r="F66" s="739"/>
      <c r="G66" s="739"/>
      <c r="H66" s="739"/>
      <c r="I66" s="739"/>
      <c r="J66" s="739"/>
      <c r="K66" s="739"/>
      <c r="L66" s="739"/>
      <c r="M66" s="739"/>
      <c r="N66" s="739"/>
      <c r="O66" s="739"/>
      <c r="P66" s="739"/>
      <c r="Q66" s="739"/>
      <c r="R66" s="739"/>
      <c r="S66" s="466"/>
      <c r="T66" s="451"/>
      <c r="U66" s="451"/>
      <c r="V66" s="451"/>
      <c r="W66" s="451"/>
      <c r="X66" s="451"/>
      <c r="Y66" s="451"/>
      <c r="Z66" s="451"/>
      <c r="AA66" s="451"/>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5"/>
      <c r="AY66" s="426"/>
    </row>
    <row r="67" spans="2:51" ht="18" customHeight="1">
      <c r="B67" s="1941" t="s">
        <v>311</v>
      </c>
      <c r="C67" s="1909" t="s">
        <v>356</v>
      </c>
      <c r="D67" s="1888" t="s">
        <v>357</v>
      </c>
      <c r="E67" s="1888"/>
      <c r="F67" s="1889"/>
      <c r="G67" s="1889"/>
      <c r="H67" s="1889"/>
      <c r="I67" s="1889"/>
      <c r="J67" s="1889"/>
      <c r="K67" s="1890"/>
      <c r="L67" s="1890"/>
      <c r="M67" s="1887" t="s">
        <v>358</v>
      </c>
      <c r="N67" s="1889"/>
      <c r="O67" s="1889"/>
      <c r="P67" s="1889"/>
      <c r="Q67" s="1889"/>
      <c r="R67" s="1891"/>
      <c r="S67" s="1887" t="s">
        <v>359</v>
      </c>
      <c r="T67" s="1889"/>
      <c r="U67" s="1889"/>
      <c r="V67" s="1889"/>
      <c r="W67" s="1889"/>
      <c r="X67" s="1891"/>
      <c r="Y67" s="1891"/>
      <c r="Z67" s="1891"/>
      <c r="AA67" s="545" t="s">
        <v>5479</v>
      </c>
      <c r="AB67" s="545"/>
      <c r="AC67" s="545"/>
      <c r="AD67" s="545"/>
      <c r="AE67" s="543"/>
      <c r="AF67" s="423"/>
      <c r="AG67" s="423"/>
      <c r="AH67" s="423"/>
      <c r="AI67" s="423"/>
      <c r="AJ67" s="423"/>
      <c r="AK67" s="423"/>
      <c r="AL67" s="423"/>
      <c r="AM67" s="423"/>
      <c r="AN67" s="423"/>
      <c r="AO67" s="423"/>
      <c r="AP67" s="423"/>
      <c r="AQ67" s="423"/>
      <c r="AR67" s="423"/>
      <c r="AS67" s="423"/>
      <c r="AT67" s="423"/>
      <c r="AU67" s="423"/>
      <c r="AV67" s="423"/>
      <c r="AW67" s="423"/>
      <c r="AX67" s="423"/>
      <c r="AY67" s="424"/>
    </row>
    <row r="68" spans="2:51" ht="18" customHeight="1">
      <c r="B68" s="1942"/>
      <c r="C68" s="1907" t="s">
        <v>360</v>
      </c>
      <c r="D68" s="1899" t="s">
        <v>318</v>
      </c>
      <c r="E68" s="1899"/>
      <c r="F68" s="1900"/>
      <c r="G68" s="1900" t="s">
        <v>319</v>
      </c>
      <c r="H68" s="1900"/>
      <c r="I68" s="1900"/>
      <c r="J68" s="1900" t="s">
        <v>320</v>
      </c>
      <c r="K68" s="1901"/>
      <c r="L68" s="1901"/>
      <c r="M68" s="1898" t="s">
        <v>318</v>
      </c>
      <c r="N68" s="1900"/>
      <c r="O68" s="1900" t="s">
        <v>319</v>
      </c>
      <c r="P68" s="1900"/>
      <c r="Q68" s="1900" t="s">
        <v>320</v>
      </c>
      <c r="R68" s="1902"/>
      <c r="S68" s="1898" t="s">
        <v>318</v>
      </c>
      <c r="T68" s="1900"/>
      <c r="U68" s="1900" t="s">
        <v>319</v>
      </c>
      <c r="V68" s="1900"/>
      <c r="W68" s="1900" t="s">
        <v>320</v>
      </c>
      <c r="X68" s="1902"/>
      <c r="Y68" s="1905" t="s">
        <v>19</v>
      </c>
      <c r="Z68" s="1902"/>
      <c r="AA68" s="547"/>
      <c r="AB68" s="547"/>
      <c r="AC68" s="547"/>
      <c r="AD68" s="547"/>
      <c r="AE68" s="422"/>
      <c r="AF68" s="425"/>
      <c r="AG68" s="425"/>
      <c r="AH68" s="425"/>
      <c r="AI68" s="425"/>
      <c r="AJ68" s="425"/>
      <c r="AK68" s="425"/>
      <c r="AL68" s="425"/>
      <c r="AM68" s="425"/>
      <c r="AN68" s="425"/>
      <c r="AO68" s="425"/>
      <c r="AP68" s="425"/>
      <c r="AQ68" s="425"/>
      <c r="AR68" s="425"/>
      <c r="AS68" s="425"/>
      <c r="AT68" s="425"/>
      <c r="AU68" s="425"/>
      <c r="AV68" s="425"/>
      <c r="AW68" s="425"/>
      <c r="AX68" s="425"/>
      <c r="AY68" s="426"/>
    </row>
    <row r="69" spans="2:51" ht="18" customHeight="1">
      <c r="B69" s="1945" t="str">
        <f>+$B$6</f>
        <v>戸建形式住宅</v>
      </c>
      <c r="C69" s="588" t="s">
        <v>23</v>
      </c>
      <c r="D69" s="1047" t="s">
        <v>5652</v>
      </c>
      <c r="E69" s="1047" t="s">
        <v>5652</v>
      </c>
      <c r="F69" s="1047" t="s">
        <v>5652</v>
      </c>
      <c r="G69" s="1047" t="s">
        <v>5652</v>
      </c>
      <c r="H69" s="1047" t="s">
        <v>5652</v>
      </c>
      <c r="I69" s="1055" t="s">
        <v>5652</v>
      </c>
      <c r="J69" s="1055" t="s">
        <v>5652</v>
      </c>
      <c r="K69" s="1055" t="s">
        <v>5652</v>
      </c>
      <c r="L69" s="1057" t="s">
        <v>5652</v>
      </c>
      <c r="M69" s="1046" t="s">
        <v>5652</v>
      </c>
      <c r="N69" s="1047" t="s">
        <v>5652</v>
      </c>
      <c r="O69" s="1047" t="s">
        <v>5652</v>
      </c>
      <c r="P69" s="1047" t="s">
        <v>5652</v>
      </c>
      <c r="Q69" s="1047" t="s">
        <v>5652</v>
      </c>
      <c r="R69" s="1048" t="s">
        <v>5652</v>
      </c>
      <c r="S69" s="1047" t="s">
        <v>5652</v>
      </c>
      <c r="T69" s="1047" t="s">
        <v>5652</v>
      </c>
      <c r="U69" s="1047" t="s">
        <v>5652</v>
      </c>
      <c r="V69" s="1047" t="s">
        <v>5652</v>
      </c>
      <c r="W69" s="1047" t="s">
        <v>5652</v>
      </c>
      <c r="X69" s="1048" t="s">
        <v>5652</v>
      </c>
      <c r="Y69" s="1046" t="s">
        <v>5652</v>
      </c>
      <c r="Z69" s="1056" t="s">
        <v>5652</v>
      </c>
      <c r="AA69" s="547"/>
      <c r="AB69" s="549"/>
      <c r="AC69" s="549"/>
      <c r="AD69" s="549"/>
      <c r="AE69" s="422"/>
      <c r="AF69" s="425"/>
      <c r="AG69" s="425"/>
      <c r="AH69" s="425"/>
      <c r="AI69" s="425"/>
      <c r="AJ69" s="425"/>
      <c r="AK69" s="425"/>
      <c r="AL69" s="425"/>
      <c r="AM69" s="425"/>
      <c r="AN69" s="425"/>
      <c r="AO69" s="425"/>
      <c r="AP69" s="425"/>
      <c r="AQ69" s="425"/>
      <c r="AR69" s="425"/>
      <c r="AS69" s="425"/>
      <c r="AT69" s="425"/>
      <c r="AU69" s="425"/>
      <c r="AV69" s="425"/>
      <c r="AW69" s="425"/>
      <c r="AX69" s="425"/>
      <c r="AY69" s="426"/>
    </row>
    <row r="70" spans="2:51" ht="18" customHeight="1">
      <c r="B70" s="1946" t="str">
        <f>+$B$7</f>
        <v>集合形式住宅</v>
      </c>
      <c r="C70" s="430">
        <v>230</v>
      </c>
      <c r="D70" s="431" t="s">
        <v>691</v>
      </c>
      <c r="E70" s="1288">
        <f t="shared" ref="E70:E72" si="0">+ROUNDDOWN(1/150*100,3)</f>
        <v>0.66600000000000004</v>
      </c>
      <c r="F70" s="432">
        <v>1.5</v>
      </c>
      <c r="G70" s="432" t="s">
        <v>712</v>
      </c>
      <c r="H70" s="1288">
        <f t="shared" ref="H70:H72" si="1">+ROUNDDOWN(1/250*100,3)</f>
        <v>0.4</v>
      </c>
      <c r="I70" s="432">
        <v>1</v>
      </c>
      <c r="J70" s="432" t="s">
        <v>325</v>
      </c>
      <c r="K70" s="1288">
        <f t="shared" ref="K70:K72" si="2">+ROUNDDOWN(1/300*100,3)</f>
        <v>0.33300000000000002</v>
      </c>
      <c r="L70" s="436">
        <v>0.8</v>
      </c>
      <c r="M70" s="434" t="s">
        <v>1051</v>
      </c>
      <c r="N70" s="1197" t="s">
        <v>1051</v>
      </c>
      <c r="O70" s="432" t="s">
        <v>324</v>
      </c>
      <c r="P70" s="432">
        <v>1</v>
      </c>
      <c r="Q70" s="432" t="s">
        <v>361</v>
      </c>
      <c r="R70" s="433">
        <v>0.95</v>
      </c>
      <c r="S70" s="1262" t="s">
        <v>362</v>
      </c>
      <c r="T70" s="432">
        <v>1</v>
      </c>
      <c r="U70" s="1202" t="s">
        <v>363</v>
      </c>
      <c r="V70" s="432">
        <v>1</v>
      </c>
      <c r="W70" s="1202" t="s">
        <v>362</v>
      </c>
      <c r="X70" s="433">
        <v>1</v>
      </c>
      <c r="Y70" s="1202" t="s">
        <v>362</v>
      </c>
      <c r="Z70" s="433">
        <v>1</v>
      </c>
      <c r="AA70" s="549"/>
      <c r="AB70" s="549"/>
      <c r="AC70" s="549"/>
      <c r="AD70" s="549"/>
      <c r="AE70" s="422"/>
      <c r="AF70" s="425"/>
      <c r="AG70" s="425"/>
      <c r="AH70" s="425"/>
      <c r="AI70" s="425"/>
      <c r="AJ70" s="425"/>
      <c r="AK70" s="425"/>
      <c r="AL70" s="425"/>
      <c r="AM70" s="425"/>
      <c r="AN70" s="425"/>
      <c r="AO70" s="425"/>
      <c r="AP70" s="425"/>
      <c r="AQ70" s="425"/>
      <c r="AR70" s="425"/>
      <c r="AS70" s="425"/>
      <c r="AT70" s="425"/>
      <c r="AU70" s="425"/>
      <c r="AV70" s="425"/>
      <c r="AW70" s="425"/>
      <c r="AX70" s="425"/>
      <c r="AY70" s="426"/>
    </row>
    <row r="71" spans="2:51" ht="18" customHeight="1">
      <c r="B71" s="1946" t="str">
        <f>+$B$8</f>
        <v>事務所・店舗</v>
      </c>
      <c r="C71" s="430">
        <v>230</v>
      </c>
      <c r="D71" s="431" t="s">
        <v>691</v>
      </c>
      <c r="E71" s="1288">
        <f t="shared" si="0"/>
        <v>0.66600000000000004</v>
      </c>
      <c r="F71" s="432">
        <v>1.5</v>
      </c>
      <c r="G71" s="432" t="s">
        <v>712</v>
      </c>
      <c r="H71" s="1288">
        <f t="shared" si="1"/>
        <v>0.4</v>
      </c>
      <c r="I71" s="432">
        <v>1</v>
      </c>
      <c r="J71" s="432" t="s">
        <v>325</v>
      </c>
      <c r="K71" s="1288">
        <f t="shared" si="2"/>
        <v>0.33300000000000002</v>
      </c>
      <c r="L71" s="436">
        <v>0.8</v>
      </c>
      <c r="M71" s="434" t="s">
        <v>1051</v>
      </c>
      <c r="N71" s="1197" t="s">
        <v>1051</v>
      </c>
      <c r="O71" s="432" t="s">
        <v>324</v>
      </c>
      <c r="P71" s="432">
        <v>1</v>
      </c>
      <c r="Q71" s="432" t="s">
        <v>361</v>
      </c>
      <c r="R71" s="433">
        <v>0.95</v>
      </c>
      <c r="S71" s="1262">
        <v>1000</v>
      </c>
      <c r="T71" s="432">
        <v>1.05</v>
      </c>
      <c r="U71" s="1202">
        <v>3000</v>
      </c>
      <c r="V71" s="432">
        <v>1</v>
      </c>
      <c r="W71" s="1202">
        <v>10000</v>
      </c>
      <c r="X71" s="433">
        <v>0.93</v>
      </c>
      <c r="Y71" s="1202">
        <v>13000</v>
      </c>
      <c r="Z71" s="433">
        <v>0.9</v>
      </c>
      <c r="AA71" s="547" t="s">
        <v>5474</v>
      </c>
      <c r="AB71" s="549"/>
      <c r="AC71" s="549"/>
      <c r="AD71" s="549"/>
      <c r="AE71" s="422"/>
      <c r="AF71" s="425"/>
      <c r="AG71" s="425"/>
      <c r="AH71" s="425"/>
      <c r="AI71" s="425"/>
      <c r="AJ71" s="425"/>
      <c r="AK71" s="425"/>
      <c r="AL71" s="425"/>
      <c r="AM71" s="425"/>
      <c r="AN71" s="425"/>
      <c r="AO71" s="425"/>
      <c r="AP71" s="425"/>
      <c r="AQ71" s="425"/>
      <c r="AR71" s="425"/>
      <c r="AS71" s="425"/>
      <c r="AT71" s="425"/>
      <c r="AU71" s="425"/>
      <c r="AV71" s="425"/>
      <c r="AW71" s="425"/>
      <c r="AX71" s="425"/>
      <c r="AY71" s="426"/>
    </row>
    <row r="72" spans="2:51" ht="18" customHeight="1">
      <c r="B72" s="1946" t="str">
        <f>+$B$9</f>
        <v>病院・ホテル</v>
      </c>
      <c r="C72" s="430">
        <v>230</v>
      </c>
      <c r="D72" s="431" t="s">
        <v>691</v>
      </c>
      <c r="E72" s="1288">
        <f t="shared" si="0"/>
        <v>0.66600000000000004</v>
      </c>
      <c r="F72" s="432">
        <v>1.5</v>
      </c>
      <c r="G72" s="432" t="s">
        <v>712</v>
      </c>
      <c r="H72" s="1288">
        <f t="shared" si="1"/>
        <v>0.4</v>
      </c>
      <c r="I72" s="432">
        <v>1</v>
      </c>
      <c r="J72" s="432" t="s">
        <v>325</v>
      </c>
      <c r="K72" s="1288">
        <f t="shared" si="2"/>
        <v>0.33300000000000002</v>
      </c>
      <c r="L72" s="436">
        <v>0.8</v>
      </c>
      <c r="M72" s="434" t="s">
        <v>1051</v>
      </c>
      <c r="N72" s="1197" t="s">
        <v>1051</v>
      </c>
      <c r="O72" s="432" t="s">
        <v>324</v>
      </c>
      <c r="P72" s="432">
        <v>1</v>
      </c>
      <c r="Q72" s="432" t="s">
        <v>361</v>
      </c>
      <c r="R72" s="433">
        <v>0.95</v>
      </c>
      <c r="S72" s="1262">
        <v>1000</v>
      </c>
      <c r="T72" s="432">
        <v>1.05</v>
      </c>
      <c r="U72" s="1202">
        <v>3000</v>
      </c>
      <c r="V72" s="432">
        <v>1</v>
      </c>
      <c r="W72" s="1202">
        <v>10000</v>
      </c>
      <c r="X72" s="433">
        <v>0.93</v>
      </c>
      <c r="Y72" s="1202">
        <v>13000</v>
      </c>
      <c r="Z72" s="433">
        <v>0.9</v>
      </c>
      <c r="AA72" s="547"/>
      <c r="AB72" s="549"/>
      <c r="AC72" s="566"/>
      <c r="AD72" s="549"/>
      <c r="AE72" s="422"/>
      <c r="AF72" s="425"/>
      <c r="AG72" s="425"/>
      <c r="AH72" s="425"/>
      <c r="AI72" s="425"/>
      <c r="AJ72" s="425"/>
      <c r="AK72" s="425"/>
      <c r="AL72" s="425"/>
      <c r="AM72" s="425"/>
      <c r="AN72" s="425"/>
      <c r="AO72" s="425"/>
      <c r="AP72" s="425"/>
      <c r="AQ72" s="425"/>
      <c r="AR72" s="425"/>
      <c r="AS72" s="425"/>
      <c r="AT72" s="425"/>
      <c r="AU72" s="425"/>
      <c r="AV72" s="425"/>
      <c r="AW72" s="425"/>
      <c r="AX72" s="425"/>
      <c r="AY72" s="426"/>
    </row>
    <row r="73" spans="2:51" ht="18" customHeight="1">
      <c r="B73" s="1947" t="str">
        <f>+$B$10</f>
        <v>工場・倉庫</v>
      </c>
      <c r="C73" s="430">
        <f t="shared" ref="C73:Z73" si="3">C71</f>
        <v>230</v>
      </c>
      <c r="D73" s="1289" t="str">
        <f t="shared" si="3"/>
        <v>多い</v>
      </c>
      <c r="E73" s="1290">
        <f t="shared" si="3"/>
        <v>0.66600000000000004</v>
      </c>
      <c r="F73" s="1291">
        <f t="shared" si="3"/>
        <v>1.5</v>
      </c>
      <c r="G73" s="1291" t="str">
        <f t="shared" si="3"/>
        <v>普通</v>
      </c>
      <c r="H73" s="1292">
        <f t="shared" si="3"/>
        <v>0.4</v>
      </c>
      <c r="I73" s="1291">
        <f t="shared" si="3"/>
        <v>1</v>
      </c>
      <c r="J73" s="1291" t="str">
        <f t="shared" si="3"/>
        <v>少ない</v>
      </c>
      <c r="K73" s="1293">
        <f t="shared" si="3"/>
        <v>0.33300000000000002</v>
      </c>
      <c r="L73" s="1293">
        <f t="shared" si="3"/>
        <v>0.8</v>
      </c>
      <c r="M73" s="1195" t="s">
        <v>1051</v>
      </c>
      <c r="N73" s="1285" t="s">
        <v>1051</v>
      </c>
      <c r="O73" s="1052" t="str">
        <f t="shared" si="3"/>
        <v>普通</v>
      </c>
      <c r="P73" s="446">
        <f t="shared" si="3"/>
        <v>1</v>
      </c>
      <c r="Q73" s="1052" t="str">
        <f t="shared" si="3"/>
        <v>ＣＡＴＶ</v>
      </c>
      <c r="R73" s="447">
        <f t="shared" si="3"/>
        <v>0.95</v>
      </c>
      <c r="S73" s="1294">
        <f t="shared" si="3"/>
        <v>1000</v>
      </c>
      <c r="T73" s="442">
        <f t="shared" si="3"/>
        <v>1.05</v>
      </c>
      <c r="U73" s="1295">
        <f t="shared" si="3"/>
        <v>3000</v>
      </c>
      <c r="V73" s="442">
        <f t="shared" si="3"/>
        <v>1</v>
      </c>
      <c r="W73" s="1295">
        <f t="shared" si="3"/>
        <v>10000</v>
      </c>
      <c r="X73" s="443">
        <f t="shared" si="3"/>
        <v>0.93</v>
      </c>
      <c r="Y73" s="1295">
        <f t="shared" si="3"/>
        <v>13000</v>
      </c>
      <c r="Z73" s="443">
        <f t="shared" si="3"/>
        <v>0.9</v>
      </c>
      <c r="AA73" s="2097" t="s">
        <v>5740</v>
      </c>
      <c r="AB73" s="552"/>
      <c r="AC73" s="567"/>
      <c r="AD73" s="552"/>
      <c r="AE73" s="568"/>
      <c r="AF73" s="425"/>
      <c r="AG73" s="425"/>
      <c r="AH73" s="425"/>
      <c r="AI73" s="425"/>
      <c r="AJ73" s="425"/>
      <c r="AK73" s="425"/>
      <c r="AL73" s="425"/>
      <c r="AM73" s="425"/>
      <c r="AN73" s="425"/>
      <c r="AO73" s="425"/>
      <c r="AP73" s="425"/>
      <c r="AQ73" s="425"/>
      <c r="AR73" s="425"/>
      <c r="AS73" s="425"/>
      <c r="AT73" s="425"/>
      <c r="AU73" s="425"/>
      <c r="AV73" s="425"/>
      <c r="AW73" s="425"/>
      <c r="AX73" s="425"/>
      <c r="AY73" s="426"/>
    </row>
    <row r="74" spans="2:51" ht="18" customHeight="1">
      <c r="B74" s="1941" t="s">
        <v>311</v>
      </c>
      <c r="C74" s="1909" t="s">
        <v>364</v>
      </c>
      <c r="D74" s="1888" t="s">
        <v>365</v>
      </c>
      <c r="E74" s="1888"/>
      <c r="F74" s="1889"/>
      <c r="G74" s="1889"/>
      <c r="H74" s="1889"/>
      <c r="I74" s="1889"/>
      <c r="J74" s="1889"/>
      <c r="K74" s="1890"/>
      <c r="L74" s="1891"/>
      <c r="M74" s="1887" t="s">
        <v>366</v>
      </c>
      <c r="N74" s="1889"/>
      <c r="O74" s="1889"/>
      <c r="P74" s="1889"/>
      <c r="Q74" s="1889"/>
      <c r="R74" s="1891"/>
      <c r="S74" s="545" t="s">
        <v>5479</v>
      </c>
      <c r="T74" s="545"/>
      <c r="U74" s="545"/>
      <c r="V74" s="545"/>
      <c r="W74" s="545"/>
      <c r="X74" s="545"/>
      <c r="Y74" s="569"/>
      <c r="Z74" s="455"/>
      <c r="AA74" s="464"/>
      <c r="AB74" s="455"/>
      <c r="AC74" s="464"/>
      <c r="AD74" s="455"/>
      <c r="AE74" s="465"/>
      <c r="AF74" s="465"/>
      <c r="AG74" s="465"/>
      <c r="AH74" s="465"/>
      <c r="AI74" s="465"/>
      <c r="AJ74" s="465"/>
      <c r="AK74" s="423"/>
      <c r="AL74" s="423"/>
      <c r="AM74" s="423"/>
      <c r="AN74" s="423"/>
      <c r="AO74" s="423"/>
      <c r="AP74" s="423"/>
      <c r="AQ74" s="423"/>
      <c r="AR74" s="423"/>
      <c r="AS74" s="423"/>
      <c r="AT74" s="423"/>
      <c r="AU74" s="423"/>
      <c r="AV74" s="423"/>
      <c r="AW74" s="423"/>
      <c r="AX74" s="423"/>
      <c r="AY74" s="424"/>
    </row>
    <row r="75" spans="2:51" ht="18" customHeight="1">
      <c r="B75" s="1942"/>
      <c r="C75" s="1907" t="s">
        <v>367</v>
      </c>
      <c r="D75" s="1899" t="s">
        <v>318</v>
      </c>
      <c r="E75" s="1899"/>
      <c r="F75" s="1900"/>
      <c r="G75" s="1900" t="s">
        <v>319</v>
      </c>
      <c r="H75" s="1900"/>
      <c r="I75" s="1900"/>
      <c r="J75" s="1900" t="s">
        <v>320</v>
      </c>
      <c r="K75" s="1901"/>
      <c r="L75" s="1902"/>
      <c r="M75" s="1898" t="s">
        <v>318</v>
      </c>
      <c r="N75" s="1900"/>
      <c r="O75" s="1900" t="s">
        <v>319</v>
      </c>
      <c r="P75" s="1900"/>
      <c r="Q75" s="1900" t="s">
        <v>320</v>
      </c>
      <c r="R75" s="1902"/>
      <c r="S75" s="546"/>
      <c r="T75" s="547"/>
      <c r="U75" s="547"/>
      <c r="V75" s="547"/>
      <c r="W75" s="547"/>
      <c r="X75" s="547"/>
      <c r="Y75" s="570"/>
      <c r="Z75" s="451"/>
      <c r="AA75" s="466"/>
      <c r="AB75" s="451"/>
      <c r="AC75" s="466"/>
      <c r="AD75" s="451"/>
      <c r="AE75" s="467"/>
      <c r="AF75" s="467"/>
      <c r="AG75" s="467"/>
      <c r="AH75" s="467"/>
      <c r="AI75" s="467"/>
      <c r="AJ75" s="467"/>
      <c r="AK75" s="425"/>
      <c r="AL75" s="425"/>
      <c r="AM75" s="425"/>
      <c r="AN75" s="425"/>
      <c r="AO75" s="425"/>
      <c r="AP75" s="425"/>
      <c r="AQ75" s="425"/>
      <c r="AR75" s="425"/>
      <c r="AS75" s="425"/>
      <c r="AT75" s="425"/>
      <c r="AU75" s="425"/>
      <c r="AV75" s="425"/>
      <c r="AW75" s="425"/>
      <c r="AX75" s="425"/>
      <c r="AY75" s="426"/>
    </row>
    <row r="76" spans="2:51" ht="18" customHeight="1">
      <c r="B76" s="1945" t="str">
        <f>+$B$6</f>
        <v>戸建形式住宅</v>
      </c>
      <c r="C76" s="588" t="s">
        <v>23</v>
      </c>
      <c r="D76" s="1047" t="s">
        <v>5652</v>
      </c>
      <c r="E76" s="1047" t="s">
        <v>5652</v>
      </c>
      <c r="F76" s="1047" t="s">
        <v>5652</v>
      </c>
      <c r="G76" s="1047" t="s">
        <v>5652</v>
      </c>
      <c r="H76" s="1047" t="s">
        <v>5652</v>
      </c>
      <c r="I76" s="1055" t="s">
        <v>5652</v>
      </c>
      <c r="J76" s="1055" t="s">
        <v>5652</v>
      </c>
      <c r="K76" s="1055" t="s">
        <v>5652</v>
      </c>
      <c r="L76" s="1057" t="s">
        <v>5652</v>
      </c>
      <c r="M76" s="1046" t="s">
        <v>5652</v>
      </c>
      <c r="N76" s="1047" t="s">
        <v>5652</v>
      </c>
      <c r="O76" s="1047" t="s">
        <v>5652</v>
      </c>
      <c r="P76" s="1047" t="s">
        <v>5652</v>
      </c>
      <c r="Q76" s="1047" t="s">
        <v>5652</v>
      </c>
      <c r="R76" s="1048" t="s">
        <v>5652</v>
      </c>
      <c r="S76" s="554"/>
      <c r="T76" s="549"/>
      <c r="U76" s="549"/>
      <c r="V76" s="549"/>
      <c r="W76" s="549"/>
      <c r="X76" s="549"/>
      <c r="Y76" s="570"/>
      <c r="Z76" s="451"/>
      <c r="AA76" s="466"/>
      <c r="AB76" s="451"/>
      <c r="AC76" s="466"/>
      <c r="AD76" s="451"/>
      <c r="AE76" s="467"/>
      <c r="AF76" s="467"/>
      <c r="AG76" s="467"/>
      <c r="AH76" s="467"/>
      <c r="AI76" s="467"/>
      <c r="AJ76" s="467"/>
      <c r="AK76" s="425"/>
      <c r="AL76" s="425"/>
      <c r="AM76" s="425"/>
      <c r="AN76" s="425"/>
      <c r="AO76" s="425"/>
      <c r="AP76" s="425"/>
      <c r="AQ76" s="425"/>
      <c r="AR76" s="425"/>
      <c r="AS76" s="425"/>
      <c r="AT76" s="425"/>
      <c r="AU76" s="425"/>
      <c r="AV76" s="425"/>
      <c r="AW76" s="425"/>
      <c r="AX76" s="425"/>
      <c r="AY76" s="426"/>
    </row>
    <row r="77" spans="2:51" ht="18" customHeight="1">
      <c r="B77" s="1946" t="str">
        <f>+$B$7</f>
        <v>集合形式住宅</v>
      </c>
      <c r="C77" s="430">
        <v>315970</v>
      </c>
      <c r="D77" s="1197" t="s">
        <v>368</v>
      </c>
      <c r="E77" s="1197">
        <v>10</v>
      </c>
      <c r="F77" s="432">
        <v>1.6</v>
      </c>
      <c r="G77" s="435" t="s">
        <v>369</v>
      </c>
      <c r="H77" s="435">
        <v>5</v>
      </c>
      <c r="I77" s="432">
        <v>1</v>
      </c>
      <c r="J77" s="435" t="s">
        <v>370</v>
      </c>
      <c r="K77" s="1198">
        <v>3</v>
      </c>
      <c r="L77" s="433">
        <v>0.7</v>
      </c>
      <c r="M77" s="434" t="s">
        <v>1051</v>
      </c>
      <c r="N77" s="1197" t="s">
        <v>1051</v>
      </c>
      <c r="O77" s="432" t="s">
        <v>324</v>
      </c>
      <c r="P77" s="432">
        <v>1</v>
      </c>
      <c r="Q77" s="432" t="s">
        <v>361</v>
      </c>
      <c r="R77" s="433">
        <v>0.95</v>
      </c>
      <c r="S77" s="554"/>
      <c r="T77" s="549"/>
      <c r="U77" s="549"/>
      <c r="V77" s="549"/>
      <c r="W77" s="549"/>
      <c r="X77" s="549"/>
      <c r="Y77" s="570"/>
      <c r="Z77" s="451"/>
      <c r="AA77" s="466"/>
      <c r="AB77" s="451"/>
      <c r="AC77" s="466"/>
      <c r="AD77" s="451"/>
      <c r="AE77" s="467"/>
      <c r="AF77" s="467"/>
      <c r="AG77" s="467"/>
      <c r="AH77" s="467"/>
      <c r="AI77" s="467"/>
      <c r="AJ77" s="467"/>
      <c r="AK77" s="425"/>
      <c r="AL77" s="425"/>
      <c r="AM77" s="425"/>
      <c r="AN77" s="425"/>
      <c r="AO77" s="425"/>
      <c r="AP77" s="425"/>
      <c r="AQ77" s="425"/>
      <c r="AR77" s="425"/>
      <c r="AS77" s="425"/>
      <c r="AT77" s="425"/>
      <c r="AU77" s="425"/>
      <c r="AV77" s="425"/>
      <c r="AW77" s="425"/>
      <c r="AX77" s="425"/>
      <c r="AY77" s="426"/>
    </row>
    <row r="78" spans="2:51" ht="18" customHeight="1">
      <c r="B78" s="1946" t="str">
        <f>+$B$8</f>
        <v>事務所・店舗</v>
      </c>
      <c r="C78" s="430">
        <v>315970</v>
      </c>
      <c r="D78" s="1197" t="s">
        <v>368</v>
      </c>
      <c r="E78" s="1197">
        <v>10</v>
      </c>
      <c r="F78" s="432">
        <v>1.6</v>
      </c>
      <c r="G78" s="435" t="s">
        <v>369</v>
      </c>
      <c r="H78" s="435">
        <v>5</v>
      </c>
      <c r="I78" s="432">
        <v>1</v>
      </c>
      <c r="J78" s="435" t="s">
        <v>370</v>
      </c>
      <c r="K78" s="1198">
        <v>3</v>
      </c>
      <c r="L78" s="433">
        <v>0.7</v>
      </c>
      <c r="M78" s="434" t="s">
        <v>1051</v>
      </c>
      <c r="N78" s="1197" t="s">
        <v>1051</v>
      </c>
      <c r="O78" s="432" t="s">
        <v>324</v>
      </c>
      <c r="P78" s="432">
        <v>1</v>
      </c>
      <c r="Q78" s="432" t="s">
        <v>361</v>
      </c>
      <c r="R78" s="433">
        <v>0.95</v>
      </c>
      <c r="S78" s="554"/>
      <c r="T78" s="549"/>
      <c r="U78" s="549"/>
      <c r="V78" s="549"/>
      <c r="W78" s="549"/>
      <c r="X78" s="549"/>
      <c r="Y78" s="570"/>
      <c r="Z78" s="451"/>
      <c r="AA78" s="466"/>
      <c r="AB78" s="451"/>
      <c r="AC78" s="466"/>
      <c r="AD78" s="451"/>
      <c r="AE78" s="467"/>
      <c r="AF78" s="467"/>
      <c r="AG78" s="467"/>
      <c r="AH78" s="467"/>
      <c r="AI78" s="467"/>
      <c r="AJ78" s="467"/>
      <c r="AK78" s="425"/>
      <c r="AL78" s="425"/>
      <c r="AM78" s="425"/>
      <c r="AN78" s="425"/>
      <c r="AO78" s="425"/>
      <c r="AP78" s="425"/>
      <c r="AQ78" s="425"/>
      <c r="AR78" s="425"/>
      <c r="AS78" s="425"/>
      <c r="AT78" s="425"/>
      <c r="AU78" s="425"/>
      <c r="AV78" s="425"/>
      <c r="AW78" s="425"/>
      <c r="AX78" s="425"/>
      <c r="AY78" s="426"/>
    </row>
    <row r="79" spans="2:51" ht="18" customHeight="1">
      <c r="B79" s="1946" t="str">
        <f>+$B$9</f>
        <v>病院・ホテル</v>
      </c>
      <c r="C79" s="430">
        <v>315970</v>
      </c>
      <c r="D79" s="1197" t="s">
        <v>368</v>
      </c>
      <c r="E79" s="1197">
        <v>10</v>
      </c>
      <c r="F79" s="432">
        <v>1.6</v>
      </c>
      <c r="G79" s="435" t="s">
        <v>369</v>
      </c>
      <c r="H79" s="435">
        <v>5</v>
      </c>
      <c r="I79" s="432">
        <v>1</v>
      </c>
      <c r="J79" s="435" t="s">
        <v>370</v>
      </c>
      <c r="K79" s="1198">
        <v>3</v>
      </c>
      <c r="L79" s="433">
        <v>0.7</v>
      </c>
      <c r="M79" s="434" t="s">
        <v>1051</v>
      </c>
      <c r="N79" s="1197" t="s">
        <v>1051</v>
      </c>
      <c r="O79" s="432" t="s">
        <v>324</v>
      </c>
      <c r="P79" s="432">
        <v>1</v>
      </c>
      <c r="Q79" s="432" t="s">
        <v>361</v>
      </c>
      <c r="R79" s="433">
        <v>0.95</v>
      </c>
      <c r="S79" s="565"/>
      <c r="T79" s="549"/>
      <c r="U79" s="549"/>
      <c r="V79" s="549"/>
      <c r="W79" s="549"/>
      <c r="X79" s="549"/>
      <c r="Y79" s="570"/>
      <c r="Z79" s="451"/>
      <c r="AA79" s="466"/>
      <c r="AB79" s="451"/>
      <c r="AC79" s="466"/>
      <c r="AD79" s="451"/>
      <c r="AE79" s="467"/>
      <c r="AF79" s="467"/>
      <c r="AG79" s="467"/>
      <c r="AH79" s="467"/>
      <c r="AI79" s="467"/>
      <c r="AJ79" s="467"/>
      <c r="AK79" s="425"/>
      <c r="AL79" s="425"/>
      <c r="AM79" s="425"/>
      <c r="AN79" s="425"/>
      <c r="AO79" s="425"/>
      <c r="AP79" s="425"/>
      <c r="AQ79" s="425"/>
      <c r="AR79" s="425"/>
      <c r="AS79" s="425"/>
      <c r="AT79" s="425"/>
      <c r="AU79" s="425"/>
      <c r="AV79" s="425"/>
      <c r="AW79" s="425"/>
      <c r="AX79" s="425"/>
      <c r="AY79" s="426"/>
    </row>
    <row r="80" spans="2:51" ht="18" customHeight="1">
      <c r="B80" s="1947" t="str">
        <f>+$B$10</f>
        <v>工場・倉庫</v>
      </c>
      <c r="C80" s="1205">
        <f>+C78</f>
        <v>315970</v>
      </c>
      <c r="D80" s="1197" t="s">
        <v>368</v>
      </c>
      <c r="E80" s="1197">
        <v>10</v>
      </c>
      <c r="F80" s="432">
        <v>1.6</v>
      </c>
      <c r="G80" s="435" t="s">
        <v>369</v>
      </c>
      <c r="H80" s="435">
        <v>5</v>
      </c>
      <c r="I80" s="432">
        <v>1</v>
      </c>
      <c r="J80" s="435" t="s">
        <v>370</v>
      </c>
      <c r="K80" s="1198">
        <v>3</v>
      </c>
      <c r="L80" s="433">
        <v>0.7</v>
      </c>
      <c r="M80" s="1195" t="s">
        <v>1051</v>
      </c>
      <c r="N80" s="1285" t="s">
        <v>1051</v>
      </c>
      <c r="O80" s="442" t="s">
        <v>324</v>
      </c>
      <c r="P80" s="442">
        <v>1</v>
      </c>
      <c r="Q80" s="442" t="s">
        <v>361</v>
      </c>
      <c r="R80" s="443">
        <v>0.95</v>
      </c>
      <c r="S80" s="565" t="s">
        <v>5616</v>
      </c>
      <c r="T80" s="552"/>
      <c r="U80" s="552"/>
      <c r="V80" s="552"/>
      <c r="W80" s="552"/>
      <c r="X80" s="552"/>
      <c r="Y80" s="571"/>
      <c r="Z80" s="451"/>
      <c r="AA80" s="466"/>
      <c r="AB80" s="451"/>
      <c r="AC80" s="466"/>
      <c r="AD80" s="451"/>
      <c r="AE80" s="467"/>
      <c r="AF80" s="467"/>
      <c r="AG80" s="467"/>
      <c r="AH80" s="467"/>
      <c r="AI80" s="467"/>
      <c r="AJ80" s="467"/>
      <c r="AK80" s="425"/>
      <c r="AL80" s="425"/>
      <c r="AM80" s="425"/>
      <c r="AN80" s="425"/>
      <c r="AO80" s="425"/>
      <c r="AP80" s="425"/>
      <c r="AQ80" s="425"/>
      <c r="AR80" s="425"/>
      <c r="AS80" s="425"/>
      <c r="AT80" s="452"/>
      <c r="AU80" s="425"/>
      <c r="AV80" s="425"/>
      <c r="AW80" s="425"/>
      <c r="AX80" s="425"/>
      <c r="AY80" s="426"/>
    </row>
    <row r="81" spans="2:47" ht="18" customHeight="1">
      <c r="B81" s="1941" t="s">
        <v>311</v>
      </c>
      <c r="C81" s="1909" t="s">
        <v>5337</v>
      </c>
      <c r="D81" s="3633" t="s">
        <v>5347</v>
      </c>
      <c r="E81" s="3634"/>
      <c r="F81" s="3634"/>
      <c r="G81" s="3634"/>
      <c r="H81" s="3634"/>
      <c r="I81" s="3635"/>
      <c r="J81" s="553"/>
      <c r="K81" s="840"/>
      <c r="L81" s="840"/>
      <c r="M81" s="837"/>
      <c r="N81" s="837"/>
      <c r="O81" s="837"/>
      <c r="P81" s="837"/>
      <c r="Q81" s="837"/>
      <c r="R81" s="837"/>
      <c r="S81" s="837"/>
      <c r="T81" s="837"/>
      <c r="U81" s="837"/>
      <c r="V81" s="837"/>
      <c r="W81" s="837"/>
      <c r="X81" s="837"/>
      <c r="Y81" s="837"/>
      <c r="Z81" s="837"/>
      <c r="AA81" s="837"/>
      <c r="AB81" s="837"/>
      <c r="AC81" s="837"/>
      <c r="AD81" s="840"/>
      <c r="AE81" s="840"/>
      <c r="AF81" s="840"/>
      <c r="AG81" s="840"/>
      <c r="AH81" s="840"/>
      <c r="AI81" s="840"/>
      <c r="AJ81" s="840"/>
      <c r="AK81" s="840"/>
      <c r="AL81" s="840"/>
      <c r="AM81" s="840"/>
      <c r="AN81" s="841"/>
      <c r="AO81" s="553"/>
      <c r="AP81" s="545"/>
      <c r="AQ81" s="545"/>
      <c r="AR81" s="545"/>
      <c r="AS81" s="545"/>
      <c r="AT81" s="545"/>
      <c r="AU81" s="572"/>
    </row>
    <row r="82" spans="2:47" ht="18" customHeight="1">
      <c r="B82" s="1942"/>
      <c r="C82" s="1907" t="s">
        <v>5339</v>
      </c>
      <c r="D82" s="1899" t="s">
        <v>318</v>
      </c>
      <c r="E82" s="1900"/>
      <c r="F82" s="1900" t="s">
        <v>319</v>
      </c>
      <c r="G82" s="1900"/>
      <c r="H82" s="3636" t="s">
        <v>320</v>
      </c>
      <c r="I82" s="3637"/>
      <c r="J82" s="546"/>
      <c r="K82" s="547"/>
      <c r="L82" s="547"/>
      <c r="M82" s="473"/>
      <c r="N82" s="473"/>
      <c r="O82" s="473"/>
      <c r="P82" s="473"/>
      <c r="Q82" s="473"/>
      <c r="R82" s="473"/>
      <c r="S82" s="473"/>
      <c r="T82" s="473"/>
      <c r="U82" s="473"/>
      <c r="V82" s="473"/>
      <c r="W82" s="473"/>
      <c r="X82" s="473"/>
      <c r="Y82" s="473"/>
      <c r="Z82" s="473"/>
      <c r="AA82" s="473"/>
      <c r="AB82" s="473"/>
      <c r="AC82" s="473"/>
      <c r="AD82" s="547"/>
      <c r="AE82" s="547"/>
      <c r="AF82" s="547"/>
      <c r="AG82" s="547"/>
      <c r="AH82" s="547"/>
      <c r="AI82" s="547"/>
      <c r="AJ82" s="547"/>
      <c r="AK82" s="547"/>
      <c r="AL82" s="547"/>
      <c r="AM82" s="547"/>
      <c r="AN82" s="842"/>
      <c r="AO82" s="546"/>
      <c r="AP82" s="547"/>
      <c r="AQ82" s="547"/>
      <c r="AR82" s="547"/>
      <c r="AS82" s="547"/>
      <c r="AT82" s="547"/>
      <c r="AU82" s="573"/>
    </row>
    <row r="83" spans="2:47" ht="18" customHeight="1">
      <c r="B83" s="1945" t="str">
        <f>+$B$6</f>
        <v>戸建形式住宅</v>
      </c>
      <c r="C83" s="588" t="s">
        <v>23</v>
      </c>
      <c r="D83" s="1046" t="s">
        <v>5652</v>
      </c>
      <c r="E83" s="1047" t="s">
        <v>5652</v>
      </c>
      <c r="F83" s="1047" t="s">
        <v>5652</v>
      </c>
      <c r="G83" s="1047" t="s">
        <v>5652</v>
      </c>
      <c r="H83" s="1047" t="s">
        <v>5652</v>
      </c>
      <c r="I83" s="1048" t="s">
        <v>5652</v>
      </c>
      <c r="J83" s="845"/>
      <c r="K83" s="846"/>
      <c r="L83" s="846"/>
      <c r="M83" s="451"/>
      <c r="N83" s="451"/>
      <c r="O83" s="451"/>
      <c r="P83" s="451"/>
      <c r="Q83" s="451"/>
      <c r="R83" s="451"/>
      <c r="S83" s="831"/>
      <c r="T83" s="451"/>
      <c r="U83" s="451"/>
      <c r="V83" s="831"/>
      <c r="W83" s="451"/>
      <c r="X83" s="451"/>
      <c r="Y83" s="831"/>
      <c r="Z83" s="451"/>
      <c r="AA83" s="451"/>
      <c r="AB83" s="451"/>
      <c r="AC83" s="451"/>
      <c r="AD83" s="451"/>
      <c r="AE83" s="451"/>
      <c r="AF83" s="451"/>
      <c r="AG83" s="458"/>
      <c r="AH83" s="451"/>
      <c r="AI83" s="458"/>
      <c r="AJ83" s="451"/>
      <c r="AK83" s="458"/>
      <c r="AL83" s="451"/>
      <c r="AM83" s="833"/>
      <c r="AN83" s="815"/>
      <c r="AO83" s="574"/>
      <c r="AP83" s="547"/>
      <c r="AQ83" s="575"/>
      <c r="AR83" s="547"/>
      <c r="AS83" s="575"/>
      <c r="AT83" s="547"/>
      <c r="AU83" s="573"/>
    </row>
    <row r="84" spans="2:47" ht="18" customHeight="1">
      <c r="B84" s="1946" t="str">
        <f>+$B$7</f>
        <v>集合形式住宅</v>
      </c>
      <c r="C84" s="430">
        <v>74140</v>
      </c>
      <c r="D84" s="437">
        <v>4</v>
      </c>
      <c r="E84" s="432">
        <v>1.08</v>
      </c>
      <c r="F84" s="432">
        <v>3</v>
      </c>
      <c r="G84" s="432">
        <v>1</v>
      </c>
      <c r="H84" s="432">
        <v>2.7</v>
      </c>
      <c r="I84" s="433">
        <v>0.97</v>
      </c>
      <c r="J84" s="450"/>
      <c r="K84" s="831"/>
      <c r="L84" s="451"/>
      <c r="M84" s="451"/>
      <c r="N84" s="451"/>
      <c r="O84" s="451"/>
      <c r="P84" s="451"/>
      <c r="Q84" s="451"/>
      <c r="R84" s="451"/>
      <c r="S84" s="831"/>
      <c r="T84" s="451"/>
      <c r="U84" s="451"/>
      <c r="V84" s="831"/>
      <c r="W84" s="451"/>
      <c r="X84" s="451"/>
      <c r="Y84" s="831"/>
      <c r="Z84" s="451"/>
      <c r="AA84" s="451"/>
      <c r="AB84" s="451"/>
      <c r="AC84" s="451"/>
      <c r="AD84" s="451"/>
      <c r="AE84" s="451"/>
      <c r="AF84" s="451"/>
      <c r="AG84" s="458"/>
      <c r="AH84" s="451"/>
      <c r="AI84" s="458"/>
      <c r="AJ84" s="451"/>
      <c r="AK84" s="458"/>
      <c r="AL84" s="451"/>
      <c r="AM84" s="832"/>
      <c r="AN84" s="815"/>
      <c r="AO84" s="574"/>
      <c r="AP84" s="547"/>
      <c r="AQ84" s="575"/>
      <c r="AR84" s="547"/>
      <c r="AS84" s="575"/>
      <c r="AT84" s="547"/>
      <c r="AU84" s="573"/>
    </row>
    <row r="85" spans="2:47" ht="18" customHeight="1">
      <c r="B85" s="1946" t="str">
        <f>+$B$8</f>
        <v>事務所・店舗</v>
      </c>
      <c r="C85" s="430">
        <v>74140</v>
      </c>
      <c r="D85" s="437">
        <v>4</v>
      </c>
      <c r="E85" s="432">
        <v>1.08</v>
      </c>
      <c r="F85" s="432">
        <v>3</v>
      </c>
      <c r="G85" s="432">
        <v>1</v>
      </c>
      <c r="H85" s="432">
        <v>2.7</v>
      </c>
      <c r="I85" s="433">
        <v>0.97</v>
      </c>
      <c r="J85" s="450"/>
      <c r="K85" s="831"/>
      <c r="L85" s="451"/>
      <c r="M85" s="451"/>
      <c r="N85" s="451"/>
      <c r="O85" s="451"/>
      <c r="P85" s="451"/>
      <c r="Q85" s="451"/>
      <c r="R85" s="451"/>
      <c r="S85" s="831"/>
      <c r="T85" s="451"/>
      <c r="U85" s="451"/>
      <c r="V85" s="831"/>
      <c r="W85" s="451"/>
      <c r="X85" s="451"/>
      <c r="Y85" s="831"/>
      <c r="Z85" s="451"/>
      <c r="AA85" s="451"/>
      <c r="AB85" s="451"/>
      <c r="AC85" s="451"/>
      <c r="AD85" s="451"/>
      <c r="AE85" s="451"/>
      <c r="AF85" s="451"/>
      <c r="AG85" s="458"/>
      <c r="AH85" s="451"/>
      <c r="AI85" s="458"/>
      <c r="AJ85" s="451"/>
      <c r="AK85" s="458"/>
      <c r="AL85" s="451"/>
      <c r="AM85" s="833"/>
      <c r="AN85" s="815"/>
      <c r="AO85" s="574"/>
      <c r="AP85" s="547"/>
      <c r="AQ85" s="575"/>
      <c r="AR85" s="547"/>
      <c r="AS85" s="575"/>
      <c r="AT85" s="547"/>
      <c r="AU85" s="573"/>
    </row>
    <row r="86" spans="2:47" ht="18" customHeight="1">
      <c r="B86" s="1946" t="str">
        <f>+$B$9</f>
        <v>病院・ホテル</v>
      </c>
      <c r="C86" s="430">
        <v>74140</v>
      </c>
      <c r="D86" s="437">
        <v>4</v>
      </c>
      <c r="E86" s="432">
        <v>1.08</v>
      </c>
      <c r="F86" s="432">
        <v>3</v>
      </c>
      <c r="G86" s="432">
        <v>1</v>
      </c>
      <c r="H86" s="432">
        <v>2.7</v>
      </c>
      <c r="I86" s="433">
        <v>0.97</v>
      </c>
      <c r="J86" s="450"/>
      <c r="K86" s="831"/>
      <c r="L86" s="451"/>
      <c r="M86" s="451"/>
      <c r="N86" s="451"/>
      <c r="O86" s="451"/>
      <c r="P86" s="451"/>
      <c r="Q86" s="451"/>
      <c r="R86" s="451"/>
      <c r="S86" s="831"/>
      <c r="T86" s="451"/>
      <c r="U86" s="451"/>
      <c r="V86" s="831"/>
      <c r="W86" s="451"/>
      <c r="X86" s="451"/>
      <c r="Y86" s="831"/>
      <c r="Z86" s="451"/>
      <c r="AA86" s="451"/>
      <c r="AB86" s="451"/>
      <c r="AC86" s="451"/>
      <c r="AD86" s="451"/>
      <c r="AE86" s="451"/>
      <c r="AF86" s="451"/>
      <c r="AG86" s="458"/>
      <c r="AH86" s="451"/>
      <c r="AI86" s="458"/>
      <c r="AJ86" s="451"/>
      <c r="AK86" s="458"/>
      <c r="AL86" s="451"/>
      <c r="AM86" s="833"/>
      <c r="AN86" s="815"/>
      <c r="AO86" s="574"/>
      <c r="AP86" s="547"/>
      <c r="AQ86" s="575"/>
      <c r="AR86" s="547"/>
      <c r="AS86" s="575"/>
      <c r="AT86" s="547"/>
      <c r="AU86" s="573"/>
    </row>
    <row r="87" spans="2:47" ht="18" customHeight="1">
      <c r="B87" s="1947" t="str">
        <f>+$B$10</f>
        <v>工場・倉庫</v>
      </c>
      <c r="C87" s="1203">
        <v>74140</v>
      </c>
      <c r="D87" s="1283">
        <v>4</v>
      </c>
      <c r="E87" s="442">
        <v>1.08</v>
      </c>
      <c r="F87" s="442">
        <v>3</v>
      </c>
      <c r="G87" s="442">
        <v>1</v>
      </c>
      <c r="H87" s="442">
        <v>2.7</v>
      </c>
      <c r="I87" s="443">
        <v>0.97</v>
      </c>
      <c r="J87" s="738"/>
      <c r="K87" s="834"/>
      <c r="L87" s="739"/>
      <c r="M87" s="739"/>
      <c r="N87" s="739"/>
      <c r="O87" s="739"/>
      <c r="P87" s="739"/>
      <c r="Q87" s="739"/>
      <c r="R87" s="739"/>
      <c r="S87" s="834"/>
      <c r="T87" s="739"/>
      <c r="U87" s="739"/>
      <c r="V87" s="834"/>
      <c r="W87" s="739"/>
      <c r="X87" s="739"/>
      <c r="Y87" s="834"/>
      <c r="Z87" s="739"/>
      <c r="AA87" s="739"/>
      <c r="AB87" s="739"/>
      <c r="AC87" s="739"/>
      <c r="AD87" s="739"/>
      <c r="AE87" s="739"/>
      <c r="AF87" s="739"/>
      <c r="AG87" s="835"/>
      <c r="AH87" s="739"/>
      <c r="AI87" s="835"/>
      <c r="AJ87" s="739"/>
      <c r="AK87" s="835"/>
      <c r="AL87" s="739"/>
      <c r="AM87" s="836"/>
      <c r="AN87" s="818"/>
      <c r="AO87" s="576"/>
      <c r="AP87" s="577"/>
      <c r="AQ87" s="578"/>
      <c r="AR87" s="577"/>
      <c r="AS87" s="578"/>
      <c r="AT87" s="577"/>
      <c r="AU87" s="579"/>
    </row>
    <row r="88" spans="2:47" ht="18" customHeight="1">
      <c r="B88" s="1941" t="s">
        <v>311</v>
      </c>
      <c r="C88" s="1909" t="s">
        <v>5338</v>
      </c>
      <c r="D88" s="3633" t="s">
        <v>5347</v>
      </c>
      <c r="E88" s="3634"/>
      <c r="F88" s="3634"/>
      <c r="G88" s="3634"/>
      <c r="H88" s="3634"/>
      <c r="I88" s="3635"/>
      <c r="J88" s="553"/>
      <c r="K88" s="840"/>
      <c r="L88" s="840"/>
      <c r="M88" s="837"/>
      <c r="N88" s="837"/>
      <c r="O88" s="837"/>
      <c r="P88" s="837"/>
      <c r="Q88" s="837"/>
      <c r="R88" s="837"/>
      <c r="S88" s="837"/>
      <c r="T88" s="837"/>
      <c r="U88" s="837"/>
      <c r="V88" s="837"/>
      <c r="W88" s="837"/>
      <c r="X88" s="837"/>
      <c r="Y88" s="837"/>
      <c r="Z88" s="837"/>
      <c r="AA88" s="837"/>
      <c r="AB88" s="837"/>
      <c r="AC88" s="837"/>
      <c r="AD88" s="837"/>
      <c r="AE88" s="838"/>
      <c r="AF88" s="838"/>
      <c r="AG88" s="837"/>
      <c r="AH88" s="837"/>
      <c r="AI88" s="837"/>
      <c r="AJ88" s="837"/>
      <c r="AK88" s="837"/>
      <c r="AL88" s="837"/>
      <c r="AM88" s="837"/>
      <c r="AN88" s="821"/>
      <c r="AO88" s="553"/>
      <c r="AP88" s="545"/>
      <c r="AQ88" s="545"/>
      <c r="AR88" s="545"/>
      <c r="AS88" s="545"/>
      <c r="AT88" s="545"/>
      <c r="AU88" s="572"/>
    </row>
    <row r="89" spans="2:47" ht="18" customHeight="1">
      <c r="B89" s="1942"/>
      <c r="C89" s="1907" t="s">
        <v>5340</v>
      </c>
      <c r="D89" s="1899" t="s">
        <v>318</v>
      </c>
      <c r="E89" s="1900"/>
      <c r="F89" s="1900" t="s">
        <v>319</v>
      </c>
      <c r="G89" s="1900"/>
      <c r="H89" s="3636" t="s">
        <v>320</v>
      </c>
      <c r="I89" s="3637"/>
      <c r="J89" s="546"/>
      <c r="K89" s="547"/>
      <c r="L89" s="547"/>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839"/>
      <c r="AN89" s="822"/>
      <c r="AO89" s="546"/>
      <c r="AP89" s="547"/>
      <c r="AQ89" s="547"/>
      <c r="AR89" s="547"/>
      <c r="AS89" s="547"/>
      <c r="AT89" s="547"/>
      <c r="AU89" s="573"/>
    </row>
    <row r="90" spans="2:47" ht="18" customHeight="1">
      <c r="B90" s="1945" t="str">
        <f>+$B$6</f>
        <v>戸建形式住宅</v>
      </c>
      <c r="C90" s="588" t="s">
        <v>23</v>
      </c>
      <c r="D90" s="1046" t="s">
        <v>5652</v>
      </c>
      <c r="E90" s="1047" t="s">
        <v>5652</v>
      </c>
      <c r="F90" s="1047" t="s">
        <v>5652</v>
      </c>
      <c r="G90" s="1047" t="s">
        <v>5652</v>
      </c>
      <c r="H90" s="1047" t="s">
        <v>5652</v>
      </c>
      <c r="I90" s="1048" t="s">
        <v>5652</v>
      </c>
      <c r="J90" s="845"/>
      <c r="K90" s="846"/>
      <c r="L90" s="846"/>
      <c r="M90" s="451"/>
      <c r="N90" s="451"/>
      <c r="O90" s="451"/>
      <c r="P90" s="451"/>
      <c r="Q90" s="451"/>
      <c r="R90" s="451"/>
      <c r="S90" s="831"/>
      <c r="T90" s="451"/>
      <c r="U90" s="451"/>
      <c r="V90" s="831"/>
      <c r="W90" s="451"/>
      <c r="X90" s="451"/>
      <c r="Y90" s="831"/>
      <c r="Z90" s="451"/>
      <c r="AA90" s="451"/>
      <c r="AB90" s="451"/>
      <c r="AC90" s="451"/>
      <c r="AD90" s="451"/>
      <c r="AE90" s="451"/>
      <c r="AF90" s="451"/>
      <c r="AG90" s="458"/>
      <c r="AH90" s="451"/>
      <c r="AI90" s="458"/>
      <c r="AJ90" s="451"/>
      <c r="AK90" s="458"/>
      <c r="AL90" s="451"/>
      <c r="AM90" s="833"/>
      <c r="AN90" s="815"/>
      <c r="AO90" s="574"/>
      <c r="AP90" s="547"/>
      <c r="AQ90" s="575"/>
      <c r="AR90" s="547"/>
      <c r="AS90" s="575"/>
      <c r="AT90" s="547"/>
      <c r="AU90" s="573"/>
    </row>
    <row r="91" spans="2:47" ht="18" customHeight="1">
      <c r="B91" s="1946" t="str">
        <f>+$B$7</f>
        <v>集合形式住宅</v>
      </c>
      <c r="C91" s="430">
        <v>131940</v>
      </c>
      <c r="D91" s="437">
        <v>4</v>
      </c>
      <c r="E91" s="432">
        <v>1.08</v>
      </c>
      <c r="F91" s="432">
        <v>3</v>
      </c>
      <c r="G91" s="432">
        <v>1</v>
      </c>
      <c r="H91" s="432">
        <v>2.7</v>
      </c>
      <c r="I91" s="433">
        <v>0.97</v>
      </c>
      <c r="J91" s="450"/>
      <c r="K91" s="831"/>
      <c r="L91" s="451"/>
      <c r="M91" s="451"/>
      <c r="N91" s="451"/>
      <c r="O91" s="451"/>
      <c r="P91" s="451"/>
      <c r="Q91" s="451"/>
      <c r="R91" s="451"/>
      <c r="S91" s="831"/>
      <c r="T91" s="451"/>
      <c r="U91" s="451"/>
      <c r="V91" s="831"/>
      <c r="W91" s="451"/>
      <c r="X91" s="451"/>
      <c r="Y91" s="831"/>
      <c r="Z91" s="451"/>
      <c r="AA91" s="451"/>
      <c r="AB91" s="451"/>
      <c r="AC91" s="451"/>
      <c r="AD91" s="451"/>
      <c r="AE91" s="451"/>
      <c r="AF91" s="451"/>
      <c r="AG91" s="458"/>
      <c r="AH91" s="451"/>
      <c r="AI91" s="458"/>
      <c r="AJ91" s="451"/>
      <c r="AK91" s="458"/>
      <c r="AL91" s="451"/>
      <c r="AM91" s="832"/>
      <c r="AN91" s="815"/>
      <c r="AO91" s="574"/>
      <c r="AP91" s="547"/>
      <c r="AQ91" s="575"/>
      <c r="AR91" s="547"/>
      <c r="AS91" s="575"/>
      <c r="AT91" s="547"/>
      <c r="AU91" s="573"/>
    </row>
    <row r="92" spans="2:47" ht="18" customHeight="1">
      <c r="B92" s="1946" t="str">
        <f>+$B$8</f>
        <v>事務所・店舗</v>
      </c>
      <c r="C92" s="430">
        <v>131940</v>
      </c>
      <c r="D92" s="437">
        <v>4</v>
      </c>
      <c r="E92" s="432">
        <v>1.08</v>
      </c>
      <c r="F92" s="432">
        <v>3</v>
      </c>
      <c r="G92" s="432">
        <v>1</v>
      </c>
      <c r="H92" s="432">
        <v>2.7</v>
      </c>
      <c r="I92" s="433">
        <v>0.97</v>
      </c>
      <c r="J92" s="450"/>
      <c r="K92" s="831"/>
      <c r="L92" s="451"/>
      <c r="M92" s="451"/>
      <c r="N92" s="451"/>
      <c r="O92" s="451"/>
      <c r="P92" s="451"/>
      <c r="Q92" s="451"/>
      <c r="R92" s="451"/>
      <c r="S92" s="831"/>
      <c r="T92" s="451"/>
      <c r="U92" s="451"/>
      <c r="V92" s="831"/>
      <c r="W92" s="451"/>
      <c r="X92" s="451"/>
      <c r="Y92" s="831"/>
      <c r="Z92" s="451"/>
      <c r="AA92" s="451"/>
      <c r="AB92" s="451"/>
      <c r="AC92" s="451"/>
      <c r="AD92" s="451"/>
      <c r="AE92" s="451"/>
      <c r="AF92" s="451"/>
      <c r="AG92" s="458"/>
      <c r="AH92" s="451"/>
      <c r="AI92" s="458"/>
      <c r="AJ92" s="451"/>
      <c r="AK92" s="458"/>
      <c r="AL92" s="451"/>
      <c r="AM92" s="833"/>
      <c r="AN92" s="815"/>
      <c r="AO92" s="574"/>
      <c r="AP92" s="547"/>
      <c r="AQ92" s="575"/>
      <c r="AR92" s="547"/>
      <c r="AS92" s="575"/>
      <c r="AT92" s="547"/>
      <c r="AU92" s="573"/>
    </row>
    <row r="93" spans="2:47" ht="18" customHeight="1">
      <c r="B93" s="1946" t="str">
        <f>+$B$9</f>
        <v>病院・ホテル</v>
      </c>
      <c r="C93" s="430">
        <v>131940</v>
      </c>
      <c r="D93" s="437">
        <v>4</v>
      </c>
      <c r="E93" s="432">
        <v>1.08</v>
      </c>
      <c r="F93" s="432">
        <v>3</v>
      </c>
      <c r="G93" s="432">
        <v>1</v>
      </c>
      <c r="H93" s="432">
        <v>2.7</v>
      </c>
      <c r="I93" s="433">
        <v>0.97</v>
      </c>
      <c r="J93" s="450"/>
      <c r="K93" s="831"/>
      <c r="L93" s="451"/>
      <c r="M93" s="451"/>
      <c r="N93" s="451"/>
      <c r="O93" s="451"/>
      <c r="P93" s="451"/>
      <c r="Q93" s="451"/>
      <c r="R93" s="451"/>
      <c r="S93" s="831"/>
      <c r="T93" s="451"/>
      <c r="U93" s="451"/>
      <c r="V93" s="831"/>
      <c r="W93" s="451"/>
      <c r="X93" s="451"/>
      <c r="Y93" s="831"/>
      <c r="Z93" s="451"/>
      <c r="AA93" s="451"/>
      <c r="AB93" s="451"/>
      <c r="AC93" s="451"/>
      <c r="AD93" s="451"/>
      <c r="AE93" s="451"/>
      <c r="AF93" s="451"/>
      <c r="AG93" s="458"/>
      <c r="AH93" s="451"/>
      <c r="AI93" s="458"/>
      <c r="AJ93" s="451"/>
      <c r="AK93" s="458"/>
      <c r="AL93" s="451"/>
      <c r="AM93" s="833"/>
      <c r="AN93" s="815"/>
      <c r="AO93" s="574"/>
      <c r="AP93" s="547"/>
      <c r="AQ93" s="575"/>
      <c r="AR93" s="547"/>
      <c r="AS93" s="575"/>
      <c r="AT93" s="547"/>
      <c r="AU93" s="573"/>
    </row>
    <row r="94" spans="2:47" ht="18" customHeight="1">
      <c r="B94" s="1947" t="str">
        <f>+$B$10</f>
        <v>工場・倉庫</v>
      </c>
      <c r="C94" s="1203">
        <v>131940</v>
      </c>
      <c r="D94" s="1283">
        <v>4</v>
      </c>
      <c r="E94" s="442">
        <v>1.08</v>
      </c>
      <c r="F94" s="442">
        <v>3</v>
      </c>
      <c r="G94" s="442">
        <v>1</v>
      </c>
      <c r="H94" s="442">
        <v>2.7</v>
      </c>
      <c r="I94" s="443">
        <v>0.97</v>
      </c>
      <c r="J94" s="738"/>
      <c r="K94" s="834"/>
      <c r="L94" s="739"/>
      <c r="M94" s="739"/>
      <c r="N94" s="739"/>
      <c r="O94" s="739"/>
      <c r="P94" s="739"/>
      <c r="Q94" s="739"/>
      <c r="R94" s="739"/>
      <c r="S94" s="834"/>
      <c r="T94" s="739"/>
      <c r="U94" s="739"/>
      <c r="V94" s="834"/>
      <c r="W94" s="739"/>
      <c r="X94" s="739"/>
      <c r="Y94" s="834"/>
      <c r="Z94" s="739"/>
      <c r="AA94" s="739"/>
      <c r="AB94" s="739"/>
      <c r="AC94" s="739"/>
      <c r="AD94" s="739"/>
      <c r="AE94" s="739"/>
      <c r="AF94" s="739"/>
      <c r="AG94" s="835"/>
      <c r="AH94" s="739"/>
      <c r="AI94" s="835"/>
      <c r="AJ94" s="739"/>
      <c r="AK94" s="835"/>
      <c r="AL94" s="739"/>
      <c r="AM94" s="836"/>
      <c r="AN94" s="818"/>
      <c r="AO94" s="576"/>
      <c r="AP94" s="577"/>
      <c r="AQ94" s="578"/>
      <c r="AR94" s="577"/>
      <c r="AS94" s="578"/>
      <c r="AT94" s="577"/>
      <c r="AU94" s="579"/>
    </row>
    <row r="95" spans="2:47" ht="18" customHeight="1">
      <c r="B95" s="1941" t="s">
        <v>311</v>
      </c>
      <c r="C95" s="1915" t="s">
        <v>5343</v>
      </c>
      <c r="D95" s="3672" t="s">
        <v>5348</v>
      </c>
      <c r="E95" s="3673"/>
      <c r="F95" s="3673"/>
      <c r="G95" s="3673"/>
      <c r="H95" s="3673"/>
      <c r="I95" s="3674"/>
      <c r="J95" s="553"/>
      <c r="K95" s="840"/>
      <c r="L95" s="840"/>
      <c r="M95" s="837"/>
      <c r="N95" s="837"/>
      <c r="O95" s="837"/>
      <c r="P95" s="837"/>
      <c r="Q95" s="837"/>
      <c r="R95" s="837"/>
      <c r="S95" s="837"/>
      <c r="T95" s="837"/>
      <c r="U95" s="837"/>
      <c r="V95" s="837"/>
      <c r="W95" s="837"/>
      <c r="X95" s="837"/>
      <c r="Y95" s="837"/>
      <c r="Z95" s="837"/>
      <c r="AA95" s="837"/>
      <c r="AB95" s="837"/>
      <c r="AC95" s="837"/>
      <c r="AD95" s="837"/>
      <c r="AE95" s="838"/>
      <c r="AF95" s="838"/>
      <c r="AG95" s="837"/>
      <c r="AH95" s="837"/>
      <c r="AI95" s="837"/>
      <c r="AJ95" s="837"/>
      <c r="AK95" s="837"/>
      <c r="AL95" s="837"/>
      <c r="AM95" s="837"/>
      <c r="AN95" s="821"/>
      <c r="AO95" s="553"/>
      <c r="AP95" s="545"/>
      <c r="AQ95" s="545"/>
      <c r="AR95" s="545"/>
      <c r="AS95" s="545"/>
      <c r="AT95" s="545"/>
      <c r="AU95" s="572"/>
    </row>
    <row r="96" spans="2:47" ht="18" customHeight="1">
      <c r="B96" s="1942"/>
      <c r="C96" s="1907" t="s">
        <v>5344</v>
      </c>
      <c r="D96" s="1899" t="s">
        <v>318</v>
      </c>
      <c r="E96" s="1900"/>
      <c r="F96" s="1900" t="s">
        <v>319</v>
      </c>
      <c r="G96" s="1900"/>
      <c r="H96" s="3636" t="s">
        <v>320</v>
      </c>
      <c r="I96" s="3637"/>
      <c r="J96" s="546"/>
      <c r="K96" s="547"/>
      <c r="L96" s="547"/>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839"/>
      <c r="AN96" s="822"/>
      <c r="AO96" s="546"/>
      <c r="AP96" s="547"/>
      <c r="AQ96" s="547"/>
      <c r="AR96" s="547"/>
      <c r="AS96" s="547"/>
      <c r="AT96" s="547"/>
      <c r="AU96" s="573"/>
    </row>
    <row r="97" spans="2:47" ht="18" customHeight="1">
      <c r="B97" s="1945" t="str">
        <f>+$B$6</f>
        <v>戸建形式住宅</v>
      </c>
      <c r="C97" s="588" t="s">
        <v>23</v>
      </c>
      <c r="D97" s="1046" t="s">
        <v>5652</v>
      </c>
      <c r="E97" s="1047" t="s">
        <v>5652</v>
      </c>
      <c r="F97" s="1047" t="s">
        <v>5652</v>
      </c>
      <c r="G97" s="1047" t="s">
        <v>5652</v>
      </c>
      <c r="H97" s="1047" t="s">
        <v>5652</v>
      </c>
      <c r="I97" s="1048" t="s">
        <v>5652</v>
      </c>
      <c r="J97" s="845"/>
      <c r="K97" s="846"/>
      <c r="L97" s="846"/>
      <c r="M97" s="451"/>
      <c r="N97" s="451"/>
      <c r="O97" s="451"/>
      <c r="P97" s="451"/>
      <c r="Q97" s="451"/>
      <c r="R97" s="451"/>
      <c r="S97" s="831"/>
      <c r="T97" s="451"/>
      <c r="U97" s="451"/>
      <c r="V97" s="831"/>
      <c r="W97" s="451"/>
      <c r="X97" s="451"/>
      <c r="Y97" s="831"/>
      <c r="Z97" s="451"/>
      <c r="AA97" s="451"/>
      <c r="AB97" s="451"/>
      <c r="AC97" s="451"/>
      <c r="AD97" s="451"/>
      <c r="AE97" s="451"/>
      <c r="AF97" s="451"/>
      <c r="AG97" s="458"/>
      <c r="AH97" s="451"/>
      <c r="AI97" s="458"/>
      <c r="AJ97" s="451"/>
      <c r="AK97" s="458"/>
      <c r="AL97" s="451"/>
      <c r="AM97" s="833"/>
      <c r="AN97" s="815"/>
      <c r="AO97" s="574"/>
      <c r="AP97" s="547"/>
      <c r="AQ97" s="575"/>
      <c r="AR97" s="547"/>
      <c r="AS97" s="575"/>
      <c r="AT97" s="547"/>
      <c r="AU97" s="573"/>
    </row>
    <row r="98" spans="2:47" ht="18" customHeight="1">
      <c r="B98" s="1946" t="str">
        <f>+$B$7</f>
        <v>集合形式住宅</v>
      </c>
      <c r="C98" s="430">
        <v>2014000</v>
      </c>
      <c r="D98" s="437">
        <v>50</v>
      </c>
      <c r="E98" s="432">
        <v>3.4</v>
      </c>
      <c r="F98" s="432">
        <v>10</v>
      </c>
      <c r="G98" s="432">
        <v>1</v>
      </c>
      <c r="H98" s="432">
        <v>5</v>
      </c>
      <c r="I98" s="433">
        <v>0.7</v>
      </c>
      <c r="J98" s="450"/>
      <c r="K98" s="831"/>
      <c r="L98" s="451"/>
      <c r="M98" s="451"/>
      <c r="N98" s="451"/>
      <c r="O98" s="451"/>
      <c r="P98" s="451"/>
      <c r="Q98" s="451"/>
      <c r="R98" s="451"/>
      <c r="S98" s="831"/>
      <c r="T98" s="451"/>
      <c r="U98" s="451"/>
      <c r="V98" s="831"/>
      <c r="W98" s="451"/>
      <c r="X98" s="451"/>
      <c r="Y98" s="831"/>
      <c r="Z98" s="451"/>
      <c r="AA98" s="451"/>
      <c r="AB98" s="451"/>
      <c r="AC98" s="451"/>
      <c r="AD98" s="451"/>
      <c r="AE98" s="451"/>
      <c r="AF98" s="451"/>
      <c r="AG98" s="458"/>
      <c r="AH98" s="451"/>
      <c r="AI98" s="458"/>
      <c r="AJ98" s="451"/>
      <c r="AK98" s="458"/>
      <c r="AL98" s="451"/>
      <c r="AM98" s="832"/>
      <c r="AN98" s="815"/>
      <c r="AO98" s="574"/>
      <c r="AP98" s="547"/>
      <c r="AQ98" s="575"/>
      <c r="AR98" s="547"/>
      <c r="AS98" s="575"/>
      <c r="AT98" s="547"/>
      <c r="AU98" s="573"/>
    </row>
    <row r="99" spans="2:47" ht="18" customHeight="1">
      <c r="B99" s="1946" t="str">
        <f>+$B$8</f>
        <v>事務所・店舗</v>
      </c>
      <c r="C99" s="430">
        <v>2014000</v>
      </c>
      <c r="D99" s="437">
        <v>50</v>
      </c>
      <c r="E99" s="432">
        <v>3.4</v>
      </c>
      <c r="F99" s="432">
        <v>10</v>
      </c>
      <c r="G99" s="432">
        <v>1</v>
      </c>
      <c r="H99" s="432">
        <v>5</v>
      </c>
      <c r="I99" s="433">
        <v>0.7</v>
      </c>
      <c r="J99" s="450"/>
      <c r="K99" s="831"/>
      <c r="L99" s="451"/>
      <c r="M99" s="451"/>
      <c r="N99" s="451"/>
      <c r="O99" s="451"/>
      <c r="P99" s="451"/>
      <c r="Q99" s="451"/>
      <c r="R99" s="451"/>
      <c r="S99" s="831"/>
      <c r="T99" s="451"/>
      <c r="U99" s="451"/>
      <c r="V99" s="831"/>
      <c r="W99" s="451"/>
      <c r="X99" s="451"/>
      <c r="Y99" s="831"/>
      <c r="Z99" s="451"/>
      <c r="AA99" s="451"/>
      <c r="AB99" s="451"/>
      <c r="AC99" s="451"/>
      <c r="AD99" s="451"/>
      <c r="AE99" s="451"/>
      <c r="AF99" s="451"/>
      <c r="AG99" s="458"/>
      <c r="AH99" s="451"/>
      <c r="AI99" s="458"/>
      <c r="AJ99" s="451"/>
      <c r="AK99" s="458"/>
      <c r="AL99" s="451"/>
      <c r="AM99" s="833"/>
      <c r="AN99" s="815"/>
      <c r="AO99" s="574"/>
      <c r="AP99" s="547"/>
      <c r="AQ99" s="575"/>
      <c r="AR99" s="547"/>
      <c r="AS99" s="575"/>
      <c r="AT99" s="547"/>
      <c r="AU99" s="573"/>
    </row>
    <row r="100" spans="2:47" ht="18" customHeight="1">
      <c r="B100" s="1946" t="str">
        <f>+$B$9</f>
        <v>病院・ホテル</v>
      </c>
      <c r="C100" s="430">
        <v>2014000</v>
      </c>
      <c r="D100" s="437">
        <v>50</v>
      </c>
      <c r="E100" s="432">
        <v>3.4</v>
      </c>
      <c r="F100" s="432">
        <v>10</v>
      </c>
      <c r="G100" s="432">
        <v>1</v>
      </c>
      <c r="H100" s="432">
        <v>5</v>
      </c>
      <c r="I100" s="433">
        <v>0.7</v>
      </c>
      <c r="J100" s="450"/>
      <c r="K100" s="831"/>
      <c r="L100" s="451"/>
      <c r="M100" s="451"/>
      <c r="N100" s="451"/>
      <c r="O100" s="451"/>
      <c r="P100" s="451"/>
      <c r="Q100" s="451"/>
      <c r="R100" s="451"/>
      <c r="S100" s="831"/>
      <c r="T100" s="451"/>
      <c r="U100" s="451"/>
      <c r="V100" s="831"/>
      <c r="W100" s="451"/>
      <c r="X100" s="451"/>
      <c r="Y100" s="831"/>
      <c r="Z100" s="451"/>
      <c r="AA100" s="451"/>
      <c r="AB100" s="451"/>
      <c r="AC100" s="451"/>
      <c r="AD100" s="451"/>
      <c r="AE100" s="451"/>
      <c r="AF100" s="451"/>
      <c r="AG100" s="458"/>
      <c r="AH100" s="451"/>
      <c r="AI100" s="458"/>
      <c r="AJ100" s="451"/>
      <c r="AK100" s="458"/>
      <c r="AL100" s="451"/>
      <c r="AM100" s="833"/>
      <c r="AN100" s="815"/>
      <c r="AO100" s="574"/>
      <c r="AP100" s="547"/>
      <c r="AQ100" s="575"/>
      <c r="AR100" s="547"/>
      <c r="AS100" s="575"/>
      <c r="AT100" s="547"/>
      <c r="AU100" s="573"/>
    </row>
    <row r="101" spans="2:47" ht="18" customHeight="1">
      <c r="B101" s="1947" t="str">
        <f>+$B$10</f>
        <v>工場・倉庫</v>
      </c>
      <c r="C101" s="430">
        <v>2014000</v>
      </c>
      <c r="D101" s="1283">
        <v>50</v>
      </c>
      <c r="E101" s="442">
        <v>3.4</v>
      </c>
      <c r="F101" s="442">
        <v>10</v>
      </c>
      <c r="G101" s="442">
        <v>1</v>
      </c>
      <c r="H101" s="442">
        <v>5</v>
      </c>
      <c r="I101" s="443">
        <v>0.7</v>
      </c>
      <c r="J101" s="738"/>
      <c r="K101" s="834"/>
      <c r="L101" s="739"/>
      <c r="M101" s="739"/>
      <c r="N101" s="739"/>
      <c r="O101" s="739"/>
      <c r="P101" s="739"/>
      <c r="Q101" s="739"/>
      <c r="R101" s="739"/>
      <c r="S101" s="834"/>
      <c r="T101" s="739"/>
      <c r="U101" s="739"/>
      <c r="V101" s="834"/>
      <c r="W101" s="739"/>
      <c r="X101" s="739"/>
      <c r="Y101" s="834"/>
      <c r="Z101" s="739"/>
      <c r="AA101" s="739"/>
      <c r="AB101" s="739"/>
      <c r="AC101" s="739"/>
      <c r="AD101" s="739"/>
      <c r="AE101" s="739"/>
      <c r="AF101" s="739"/>
      <c r="AG101" s="835"/>
      <c r="AH101" s="739"/>
      <c r="AI101" s="835"/>
      <c r="AJ101" s="739"/>
      <c r="AK101" s="835"/>
      <c r="AL101" s="739"/>
      <c r="AM101" s="836"/>
      <c r="AN101" s="818"/>
      <c r="AO101" s="576"/>
      <c r="AP101" s="577"/>
      <c r="AQ101" s="578"/>
      <c r="AR101" s="577"/>
      <c r="AS101" s="578"/>
      <c r="AT101" s="577"/>
      <c r="AU101" s="579"/>
    </row>
    <row r="102" spans="2:47" ht="18" customHeight="1">
      <c r="B102" s="1941" t="s">
        <v>311</v>
      </c>
      <c r="C102" s="1909" t="s">
        <v>5341</v>
      </c>
      <c r="D102" s="3633" t="s">
        <v>5349</v>
      </c>
      <c r="E102" s="3634"/>
      <c r="F102" s="3634"/>
      <c r="G102" s="3634"/>
      <c r="H102" s="3634"/>
      <c r="I102" s="3635"/>
      <c r="J102" s="3633" t="s">
        <v>5350</v>
      </c>
      <c r="K102" s="3634"/>
      <c r="L102" s="3634"/>
      <c r="M102" s="3634"/>
      <c r="N102" s="3634"/>
      <c r="O102" s="3635"/>
      <c r="P102" s="553"/>
      <c r="Q102" s="840"/>
      <c r="R102" s="840"/>
      <c r="S102" s="840"/>
      <c r="T102" s="840"/>
      <c r="U102" s="841"/>
      <c r="V102" s="470"/>
      <c r="W102" s="837"/>
      <c r="X102" s="837"/>
      <c r="Y102" s="837"/>
      <c r="Z102" s="837"/>
      <c r="AA102" s="837"/>
      <c r="AB102" s="837"/>
      <c r="AC102" s="837"/>
      <c r="AD102" s="837"/>
      <c r="AE102" s="838"/>
      <c r="AF102" s="838"/>
      <c r="AG102" s="837"/>
      <c r="AH102" s="837"/>
      <c r="AI102" s="837"/>
      <c r="AJ102" s="837"/>
      <c r="AK102" s="837"/>
      <c r="AL102" s="837"/>
      <c r="AM102" s="837"/>
      <c r="AN102" s="821"/>
      <c r="AO102" s="553"/>
      <c r="AP102" s="545"/>
      <c r="AQ102" s="545"/>
      <c r="AR102" s="545"/>
      <c r="AS102" s="545"/>
      <c r="AT102" s="545"/>
      <c r="AU102" s="572"/>
    </row>
    <row r="103" spans="2:47" ht="18" customHeight="1">
      <c r="B103" s="1942"/>
      <c r="C103" s="1907" t="s">
        <v>5342</v>
      </c>
      <c r="D103" s="1899" t="s">
        <v>318</v>
      </c>
      <c r="E103" s="1900"/>
      <c r="F103" s="1900" t="s">
        <v>319</v>
      </c>
      <c r="G103" s="1900"/>
      <c r="H103" s="3636" t="s">
        <v>320</v>
      </c>
      <c r="I103" s="3637"/>
      <c r="J103" s="1899" t="s">
        <v>318</v>
      </c>
      <c r="K103" s="1900"/>
      <c r="L103" s="1900" t="s">
        <v>319</v>
      </c>
      <c r="M103" s="1900"/>
      <c r="N103" s="3636" t="s">
        <v>320</v>
      </c>
      <c r="O103" s="3637"/>
      <c r="P103" s="448"/>
      <c r="Q103" s="449"/>
      <c r="R103" s="449"/>
      <c r="S103" s="547"/>
      <c r="T103" s="547"/>
      <c r="U103" s="842"/>
      <c r="V103" s="472"/>
      <c r="W103" s="473"/>
      <c r="X103" s="473"/>
      <c r="Y103" s="473"/>
      <c r="Z103" s="473"/>
      <c r="AA103" s="473"/>
      <c r="AB103" s="473"/>
      <c r="AC103" s="473"/>
      <c r="AD103" s="473"/>
      <c r="AE103" s="473"/>
      <c r="AF103" s="473"/>
      <c r="AG103" s="473"/>
      <c r="AH103" s="473"/>
      <c r="AI103" s="473"/>
      <c r="AJ103" s="473"/>
      <c r="AK103" s="473"/>
      <c r="AL103" s="473"/>
      <c r="AM103" s="839"/>
      <c r="AN103" s="822"/>
      <c r="AO103" s="546"/>
      <c r="AP103" s="547"/>
      <c r="AQ103" s="547"/>
      <c r="AR103" s="547"/>
      <c r="AS103" s="547"/>
      <c r="AT103" s="547"/>
      <c r="AU103" s="573"/>
    </row>
    <row r="104" spans="2:47" ht="18" customHeight="1">
      <c r="B104" s="1945" t="str">
        <f>+$B$6</f>
        <v>戸建形式住宅</v>
      </c>
      <c r="C104" s="588" t="s">
        <v>23</v>
      </c>
      <c r="D104" s="1046" t="s">
        <v>5652</v>
      </c>
      <c r="E104" s="1047" t="s">
        <v>5652</v>
      </c>
      <c r="F104" s="1047" t="s">
        <v>5652</v>
      </c>
      <c r="G104" s="1047" t="s">
        <v>5652</v>
      </c>
      <c r="H104" s="1047" t="s">
        <v>5652</v>
      </c>
      <c r="I104" s="1048" t="s">
        <v>5652</v>
      </c>
      <c r="J104" s="1046" t="s">
        <v>5652</v>
      </c>
      <c r="K104" s="1047" t="s">
        <v>5652</v>
      </c>
      <c r="L104" s="1047" t="s">
        <v>5652</v>
      </c>
      <c r="M104" s="1047" t="s">
        <v>5652</v>
      </c>
      <c r="N104" s="1047" t="s">
        <v>5652</v>
      </c>
      <c r="O104" s="1048" t="s">
        <v>5652</v>
      </c>
      <c r="P104" s="845"/>
      <c r="Q104" s="846"/>
      <c r="R104" s="846"/>
      <c r="S104" s="846"/>
      <c r="T104" s="846"/>
      <c r="U104" s="849"/>
      <c r="V104" s="843"/>
      <c r="W104" s="451"/>
      <c r="X104" s="451"/>
      <c r="Y104" s="831"/>
      <c r="Z104" s="451"/>
      <c r="AA104" s="451"/>
      <c r="AB104" s="451"/>
      <c r="AC104" s="451"/>
      <c r="AD104" s="451"/>
      <c r="AE104" s="451"/>
      <c r="AF104" s="451"/>
      <c r="AG104" s="458"/>
      <c r="AH104" s="451"/>
      <c r="AI104" s="458"/>
      <c r="AJ104" s="451"/>
      <c r="AK104" s="458"/>
      <c r="AL104" s="451"/>
      <c r="AM104" s="833"/>
      <c r="AN104" s="815"/>
      <c r="AO104" s="574"/>
      <c r="AP104" s="547"/>
      <c r="AQ104" s="575"/>
      <c r="AR104" s="547"/>
      <c r="AS104" s="575"/>
      <c r="AT104" s="547"/>
      <c r="AU104" s="573"/>
    </row>
    <row r="105" spans="2:47" ht="18" customHeight="1">
      <c r="B105" s="1946" t="str">
        <f>+$B$7</f>
        <v>集合形式住宅</v>
      </c>
      <c r="C105" s="430">
        <v>887940</v>
      </c>
      <c r="D105" s="437">
        <v>5.5</v>
      </c>
      <c r="E105" s="432">
        <v>1.3</v>
      </c>
      <c r="F105" s="432">
        <v>2.2000000000000002</v>
      </c>
      <c r="G105" s="432">
        <v>1</v>
      </c>
      <c r="H105" s="432">
        <v>1.1000000000000001</v>
      </c>
      <c r="I105" s="433">
        <v>0.9</v>
      </c>
      <c r="J105" s="437">
        <v>50</v>
      </c>
      <c r="K105" s="432">
        <v>1.05</v>
      </c>
      <c r="L105" s="432">
        <v>40</v>
      </c>
      <c r="M105" s="432">
        <v>1</v>
      </c>
      <c r="N105" s="432">
        <v>25</v>
      </c>
      <c r="O105" s="433">
        <v>0.95</v>
      </c>
      <c r="P105" s="450"/>
      <c r="Q105" s="831"/>
      <c r="R105" s="451"/>
      <c r="S105" s="451"/>
      <c r="T105" s="831"/>
      <c r="U105" s="815"/>
      <c r="V105" s="843"/>
      <c r="W105" s="451"/>
      <c r="X105" s="451"/>
      <c r="Y105" s="831"/>
      <c r="Z105" s="451"/>
      <c r="AA105" s="451"/>
      <c r="AB105" s="451"/>
      <c r="AC105" s="451"/>
      <c r="AD105" s="451"/>
      <c r="AE105" s="451"/>
      <c r="AF105" s="451"/>
      <c r="AG105" s="458"/>
      <c r="AH105" s="451"/>
      <c r="AI105" s="458"/>
      <c r="AJ105" s="451"/>
      <c r="AK105" s="458"/>
      <c r="AL105" s="451"/>
      <c r="AM105" s="832"/>
      <c r="AN105" s="815"/>
      <c r="AO105" s="574"/>
      <c r="AP105" s="547"/>
      <c r="AQ105" s="575"/>
      <c r="AR105" s="547"/>
      <c r="AS105" s="575"/>
      <c r="AT105" s="547"/>
      <c r="AU105" s="573"/>
    </row>
    <row r="106" spans="2:47" ht="18" customHeight="1">
      <c r="B106" s="1946" t="str">
        <f>+$B$8</f>
        <v>事務所・店舗</v>
      </c>
      <c r="C106" s="430">
        <v>887940</v>
      </c>
      <c r="D106" s="437">
        <v>5.5</v>
      </c>
      <c r="E106" s="432">
        <v>1.3</v>
      </c>
      <c r="F106" s="432">
        <v>2.2000000000000002</v>
      </c>
      <c r="G106" s="432">
        <v>1</v>
      </c>
      <c r="H106" s="432">
        <v>1.1000000000000001</v>
      </c>
      <c r="I106" s="433">
        <v>0.9</v>
      </c>
      <c r="J106" s="437">
        <v>50</v>
      </c>
      <c r="K106" s="432">
        <v>1.05</v>
      </c>
      <c r="L106" s="432">
        <v>40</v>
      </c>
      <c r="M106" s="432">
        <v>1</v>
      </c>
      <c r="N106" s="432">
        <v>25</v>
      </c>
      <c r="O106" s="433">
        <v>0.95</v>
      </c>
      <c r="P106" s="450"/>
      <c r="Q106" s="831"/>
      <c r="R106" s="451"/>
      <c r="S106" s="451"/>
      <c r="T106" s="831"/>
      <c r="U106" s="815"/>
      <c r="V106" s="843"/>
      <c r="W106" s="451"/>
      <c r="X106" s="451"/>
      <c r="Y106" s="831"/>
      <c r="Z106" s="451"/>
      <c r="AA106" s="451"/>
      <c r="AB106" s="451"/>
      <c r="AC106" s="451"/>
      <c r="AD106" s="451"/>
      <c r="AE106" s="451"/>
      <c r="AF106" s="451"/>
      <c r="AG106" s="458"/>
      <c r="AH106" s="451"/>
      <c r="AI106" s="458"/>
      <c r="AJ106" s="451"/>
      <c r="AK106" s="458"/>
      <c r="AL106" s="451"/>
      <c r="AM106" s="833"/>
      <c r="AN106" s="815"/>
      <c r="AO106" s="574"/>
      <c r="AP106" s="547"/>
      <c r="AQ106" s="575"/>
      <c r="AR106" s="547"/>
      <c r="AS106" s="575"/>
      <c r="AT106" s="547"/>
      <c r="AU106" s="573"/>
    </row>
    <row r="107" spans="2:47" ht="18" customHeight="1">
      <c r="B107" s="1946" t="str">
        <f>+$B$9</f>
        <v>病院・ホテル</v>
      </c>
      <c r="C107" s="430">
        <v>887940</v>
      </c>
      <c r="D107" s="437">
        <v>5.5</v>
      </c>
      <c r="E107" s="432">
        <v>1.3</v>
      </c>
      <c r="F107" s="432">
        <v>2.2000000000000002</v>
      </c>
      <c r="G107" s="432">
        <v>1</v>
      </c>
      <c r="H107" s="432">
        <v>1.1000000000000001</v>
      </c>
      <c r="I107" s="433">
        <v>0.9</v>
      </c>
      <c r="J107" s="437">
        <v>50</v>
      </c>
      <c r="K107" s="432">
        <v>1.05</v>
      </c>
      <c r="L107" s="432">
        <v>40</v>
      </c>
      <c r="M107" s="432">
        <v>1</v>
      </c>
      <c r="N107" s="432">
        <v>25</v>
      </c>
      <c r="O107" s="433">
        <v>0.95</v>
      </c>
      <c r="P107" s="450"/>
      <c r="Q107" s="831"/>
      <c r="R107" s="451"/>
      <c r="S107" s="451"/>
      <c r="T107" s="831"/>
      <c r="U107" s="815"/>
      <c r="V107" s="843"/>
      <c r="W107" s="451"/>
      <c r="X107" s="451"/>
      <c r="Y107" s="831"/>
      <c r="Z107" s="451"/>
      <c r="AA107" s="451"/>
      <c r="AB107" s="451"/>
      <c r="AC107" s="451"/>
      <c r="AD107" s="451"/>
      <c r="AE107" s="451"/>
      <c r="AF107" s="451"/>
      <c r="AG107" s="458"/>
      <c r="AH107" s="451"/>
      <c r="AI107" s="458"/>
      <c r="AJ107" s="451"/>
      <c r="AK107" s="458"/>
      <c r="AL107" s="451"/>
      <c r="AM107" s="833"/>
      <c r="AN107" s="815"/>
      <c r="AO107" s="574"/>
      <c r="AP107" s="547"/>
      <c r="AQ107" s="575"/>
      <c r="AR107" s="547"/>
      <c r="AS107" s="575"/>
      <c r="AT107" s="547"/>
      <c r="AU107" s="573"/>
    </row>
    <row r="108" spans="2:47" ht="18" customHeight="1">
      <c r="B108" s="1947" t="str">
        <f>+$B$10</f>
        <v>工場・倉庫</v>
      </c>
      <c r="C108" s="430">
        <v>887940</v>
      </c>
      <c r="D108" s="1283">
        <v>5.5</v>
      </c>
      <c r="E108" s="442">
        <v>1.3</v>
      </c>
      <c r="F108" s="442">
        <v>2.2000000000000002</v>
      </c>
      <c r="G108" s="442">
        <v>1</v>
      </c>
      <c r="H108" s="442">
        <v>1.1000000000000001</v>
      </c>
      <c r="I108" s="443">
        <v>0.9</v>
      </c>
      <c r="J108" s="1283">
        <v>50</v>
      </c>
      <c r="K108" s="442">
        <v>1.05</v>
      </c>
      <c r="L108" s="442">
        <v>40</v>
      </c>
      <c r="M108" s="442">
        <v>1</v>
      </c>
      <c r="N108" s="442">
        <v>25</v>
      </c>
      <c r="O108" s="443">
        <v>0.95</v>
      </c>
      <c r="P108" s="738"/>
      <c r="Q108" s="834"/>
      <c r="R108" s="739"/>
      <c r="S108" s="739"/>
      <c r="T108" s="834"/>
      <c r="U108" s="818"/>
      <c r="V108" s="844"/>
      <c r="W108" s="739"/>
      <c r="X108" s="739"/>
      <c r="Y108" s="834"/>
      <c r="Z108" s="739"/>
      <c r="AA108" s="739"/>
      <c r="AB108" s="739"/>
      <c r="AC108" s="739"/>
      <c r="AD108" s="739"/>
      <c r="AE108" s="739"/>
      <c r="AF108" s="739"/>
      <c r="AG108" s="835"/>
      <c r="AH108" s="739"/>
      <c r="AI108" s="835"/>
      <c r="AJ108" s="739"/>
      <c r="AK108" s="835"/>
      <c r="AL108" s="739"/>
      <c r="AM108" s="836"/>
      <c r="AN108" s="818"/>
      <c r="AO108" s="576"/>
      <c r="AP108" s="577"/>
      <c r="AQ108" s="578"/>
      <c r="AR108" s="577"/>
      <c r="AS108" s="578"/>
      <c r="AT108" s="577"/>
      <c r="AU108" s="579"/>
    </row>
    <row r="109" spans="2:47" ht="18" customHeight="1">
      <c r="B109" s="1941" t="s">
        <v>311</v>
      </c>
      <c r="C109" s="1909" t="s">
        <v>5351</v>
      </c>
      <c r="D109" s="3633" t="s">
        <v>5347</v>
      </c>
      <c r="E109" s="3634"/>
      <c r="F109" s="3634"/>
      <c r="G109" s="3634"/>
      <c r="H109" s="3634"/>
      <c r="I109" s="3635"/>
      <c r="J109" s="553"/>
      <c r="K109" s="840"/>
      <c r="L109" s="840"/>
      <c r="M109" s="837"/>
      <c r="N109" s="837"/>
      <c r="O109" s="837"/>
      <c r="P109" s="837"/>
      <c r="Q109" s="837"/>
      <c r="R109" s="837"/>
      <c r="S109" s="837"/>
      <c r="T109" s="837"/>
      <c r="U109" s="837"/>
      <c r="V109" s="837"/>
      <c r="W109" s="837"/>
      <c r="X109" s="837"/>
      <c r="Y109" s="837"/>
      <c r="Z109" s="837"/>
      <c r="AA109" s="837"/>
      <c r="AB109" s="837"/>
      <c r="AC109" s="837"/>
      <c r="AD109" s="840"/>
      <c r="AE109" s="840"/>
      <c r="AF109" s="840"/>
      <c r="AG109" s="840"/>
      <c r="AH109" s="840"/>
      <c r="AI109" s="840"/>
      <c r="AJ109" s="840"/>
      <c r="AK109" s="840"/>
      <c r="AL109" s="840"/>
      <c r="AM109" s="840"/>
      <c r="AN109" s="841"/>
      <c r="AO109" s="553"/>
      <c r="AP109" s="545"/>
      <c r="AQ109" s="545"/>
      <c r="AR109" s="545"/>
      <c r="AS109" s="545"/>
      <c r="AT109" s="545"/>
      <c r="AU109" s="572"/>
    </row>
    <row r="110" spans="2:47" ht="18" customHeight="1">
      <c r="B110" s="1942"/>
      <c r="C110" s="1907" t="s">
        <v>5352</v>
      </c>
      <c r="D110" s="1899" t="s">
        <v>318</v>
      </c>
      <c r="E110" s="1900"/>
      <c r="F110" s="1900" t="s">
        <v>319</v>
      </c>
      <c r="G110" s="1900"/>
      <c r="H110" s="3636" t="s">
        <v>320</v>
      </c>
      <c r="I110" s="3637"/>
      <c r="J110" s="546"/>
      <c r="K110" s="547"/>
      <c r="L110" s="547"/>
      <c r="M110" s="473"/>
      <c r="N110" s="473"/>
      <c r="O110" s="473"/>
      <c r="P110" s="473"/>
      <c r="Q110" s="473"/>
      <c r="R110" s="473"/>
      <c r="S110" s="473"/>
      <c r="T110" s="473"/>
      <c r="U110" s="473"/>
      <c r="V110" s="473"/>
      <c r="W110" s="473"/>
      <c r="X110" s="473"/>
      <c r="Y110" s="473"/>
      <c r="Z110" s="473"/>
      <c r="AA110" s="473"/>
      <c r="AB110" s="473"/>
      <c r="AC110" s="473"/>
      <c r="AD110" s="547"/>
      <c r="AE110" s="547"/>
      <c r="AF110" s="547"/>
      <c r="AG110" s="547"/>
      <c r="AH110" s="547"/>
      <c r="AI110" s="547"/>
      <c r="AJ110" s="547"/>
      <c r="AK110" s="547"/>
      <c r="AL110" s="547"/>
      <c r="AM110" s="547"/>
      <c r="AN110" s="842"/>
      <c r="AO110" s="546"/>
      <c r="AP110" s="547"/>
      <c r="AQ110" s="547"/>
      <c r="AR110" s="547"/>
      <c r="AS110" s="547"/>
      <c r="AT110" s="547"/>
      <c r="AU110" s="573"/>
    </row>
    <row r="111" spans="2:47" ht="18" customHeight="1">
      <c r="B111" s="1945" t="str">
        <f>+$B$6</f>
        <v>戸建形式住宅</v>
      </c>
      <c r="C111" s="588" t="s">
        <v>23</v>
      </c>
      <c r="D111" s="1046" t="s">
        <v>5652</v>
      </c>
      <c r="E111" s="1047" t="s">
        <v>5652</v>
      </c>
      <c r="F111" s="1047" t="s">
        <v>5652</v>
      </c>
      <c r="G111" s="1047" t="s">
        <v>5652</v>
      </c>
      <c r="H111" s="1047" t="s">
        <v>5652</v>
      </c>
      <c r="I111" s="1048" t="s">
        <v>5652</v>
      </c>
      <c r="J111" s="845"/>
      <c r="K111" s="846"/>
      <c r="L111" s="846"/>
      <c r="M111" s="451"/>
      <c r="N111" s="451"/>
      <c r="O111" s="451"/>
      <c r="P111" s="451"/>
      <c r="Q111" s="451"/>
      <c r="R111" s="451"/>
      <c r="S111" s="831"/>
      <c r="T111" s="451"/>
      <c r="U111" s="451"/>
      <c r="V111" s="831"/>
      <c r="W111" s="451"/>
      <c r="X111" s="451"/>
      <c r="Y111" s="831"/>
      <c r="Z111" s="451"/>
      <c r="AA111" s="451"/>
      <c r="AB111" s="451"/>
      <c r="AC111" s="451"/>
      <c r="AD111" s="451"/>
      <c r="AE111" s="451"/>
      <c r="AF111" s="451"/>
      <c r="AG111" s="458"/>
      <c r="AH111" s="451"/>
      <c r="AI111" s="458"/>
      <c r="AJ111" s="451"/>
      <c r="AK111" s="458"/>
      <c r="AL111" s="451"/>
      <c r="AM111" s="833"/>
      <c r="AN111" s="815"/>
      <c r="AO111" s="574"/>
      <c r="AP111" s="547"/>
      <c r="AQ111" s="575"/>
      <c r="AR111" s="547"/>
      <c r="AS111" s="575"/>
      <c r="AT111" s="547"/>
      <c r="AU111" s="573"/>
    </row>
    <row r="112" spans="2:47" ht="18" customHeight="1">
      <c r="B112" s="1946" t="str">
        <f>+$B$7</f>
        <v>集合形式住宅</v>
      </c>
      <c r="C112" s="430">
        <v>45080</v>
      </c>
      <c r="D112" s="437">
        <v>4</v>
      </c>
      <c r="E112" s="432">
        <v>1.2</v>
      </c>
      <c r="F112" s="432">
        <v>3</v>
      </c>
      <c r="G112" s="432">
        <v>1</v>
      </c>
      <c r="H112" s="432">
        <v>2.7</v>
      </c>
      <c r="I112" s="433">
        <v>0.95</v>
      </c>
      <c r="J112" s="450"/>
      <c r="K112" s="831"/>
      <c r="L112" s="451"/>
      <c r="M112" s="451"/>
      <c r="N112" s="451"/>
      <c r="O112" s="451"/>
      <c r="P112" s="451"/>
      <c r="Q112" s="451"/>
      <c r="R112" s="451"/>
      <c r="S112" s="831"/>
      <c r="T112" s="451"/>
      <c r="U112" s="451"/>
      <c r="V112" s="831"/>
      <c r="W112" s="451"/>
      <c r="X112" s="451"/>
      <c r="Y112" s="831"/>
      <c r="Z112" s="451"/>
      <c r="AA112" s="451"/>
      <c r="AB112" s="451"/>
      <c r="AC112" s="451"/>
      <c r="AD112" s="451"/>
      <c r="AE112" s="451"/>
      <c r="AF112" s="451"/>
      <c r="AG112" s="458"/>
      <c r="AH112" s="451"/>
      <c r="AI112" s="458"/>
      <c r="AJ112" s="451"/>
      <c r="AK112" s="458"/>
      <c r="AL112" s="451"/>
      <c r="AM112" s="832"/>
      <c r="AN112" s="815"/>
      <c r="AO112" s="574"/>
      <c r="AP112" s="547"/>
      <c r="AQ112" s="575"/>
      <c r="AR112" s="547"/>
      <c r="AS112" s="575"/>
      <c r="AT112" s="547"/>
      <c r="AU112" s="573"/>
    </row>
    <row r="113" spans="2:47" ht="18" customHeight="1">
      <c r="B113" s="1946" t="str">
        <f>+$B$8</f>
        <v>事務所・店舗</v>
      </c>
      <c r="C113" s="430">
        <v>45080</v>
      </c>
      <c r="D113" s="437">
        <v>4</v>
      </c>
      <c r="E113" s="432">
        <v>1.2</v>
      </c>
      <c r="F113" s="432">
        <v>3</v>
      </c>
      <c r="G113" s="432">
        <v>1</v>
      </c>
      <c r="H113" s="432">
        <v>2.7</v>
      </c>
      <c r="I113" s="433">
        <v>0.95</v>
      </c>
      <c r="J113" s="450"/>
      <c r="K113" s="831"/>
      <c r="L113" s="451"/>
      <c r="M113" s="451"/>
      <c r="N113" s="451"/>
      <c r="O113" s="451"/>
      <c r="P113" s="451"/>
      <c r="Q113" s="451"/>
      <c r="R113" s="451"/>
      <c r="S113" s="831"/>
      <c r="T113" s="451"/>
      <c r="U113" s="451"/>
      <c r="V113" s="831"/>
      <c r="W113" s="451"/>
      <c r="X113" s="451"/>
      <c r="Y113" s="831"/>
      <c r="Z113" s="451"/>
      <c r="AA113" s="451"/>
      <c r="AB113" s="451"/>
      <c r="AC113" s="451"/>
      <c r="AD113" s="451"/>
      <c r="AE113" s="451"/>
      <c r="AF113" s="451"/>
      <c r="AG113" s="458"/>
      <c r="AH113" s="451"/>
      <c r="AI113" s="458"/>
      <c r="AJ113" s="451"/>
      <c r="AK113" s="458"/>
      <c r="AL113" s="451"/>
      <c r="AM113" s="833"/>
      <c r="AN113" s="815"/>
      <c r="AO113" s="574"/>
      <c r="AP113" s="547"/>
      <c r="AQ113" s="575"/>
      <c r="AR113" s="547"/>
      <c r="AS113" s="575"/>
      <c r="AT113" s="547"/>
      <c r="AU113" s="573"/>
    </row>
    <row r="114" spans="2:47" ht="18" customHeight="1">
      <c r="B114" s="1946" t="str">
        <f>+$B$9</f>
        <v>病院・ホテル</v>
      </c>
      <c r="C114" s="430">
        <v>45080</v>
      </c>
      <c r="D114" s="437">
        <v>4</v>
      </c>
      <c r="E114" s="432">
        <v>1.2</v>
      </c>
      <c r="F114" s="432">
        <v>3</v>
      </c>
      <c r="G114" s="432">
        <v>1</v>
      </c>
      <c r="H114" s="432">
        <v>2.7</v>
      </c>
      <c r="I114" s="433">
        <v>0.95</v>
      </c>
      <c r="J114" s="450"/>
      <c r="K114" s="831"/>
      <c r="L114" s="451"/>
      <c r="M114" s="451"/>
      <c r="N114" s="451"/>
      <c r="O114" s="451"/>
      <c r="P114" s="451"/>
      <c r="Q114" s="451"/>
      <c r="R114" s="451"/>
      <c r="S114" s="831"/>
      <c r="T114" s="451"/>
      <c r="U114" s="451"/>
      <c r="V114" s="831"/>
      <c r="W114" s="451"/>
      <c r="X114" s="451"/>
      <c r="Y114" s="831"/>
      <c r="Z114" s="451"/>
      <c r="AA114" s="451"/>
      <c r="AB114" s="451"/>
      <c r="AC114" s="451"/>
      <c r="AD114" s="451"/>
      <c r="AE114" s="451"/>
      <c r="AF114" s="451"/>
      <c r="AG114" s="458"/>
      <c r="AH114" s="451"/>
      <c r="AI114" s="458"/>
      <c r="AJ114" s="451"/>
      <c r="AK114" s="458"/>
      <c r="AL114" s="451"/>
      <c r="AM114" s="833"/>
      <c r="AN114" s="815"/>
      <c r="AO114" s="574"/>
      <c r="AP114" s="547"/>
      <c r="AQ114" s="575"/>
      <c r="AR114" s="547"/>
      <c r="AS114" s="575"/>
      <c r="AT114" s="547"/>
      <c r="AU114" s="573"/>
    </row>
    <row r="115" spans="2:47" ht="18" customHeight="1">
      <c r="B115" s="1947" t="str">
        <f>+$B$10</f>
        <v>工場・倉庫</v>
      </c>
      <c r="C115" s="430">
        <v>45080</v>
      </c>
      <c r="D115" s="1283">
        <v>4</v>
      </c>
      <c r="E115" s="442">
        <v>1.2</v>
      </c>
      <c r="F115" s="442">
        <v>3</v>
      </c>
      <c r="G115" s="442">
        <v>1</v>
      </c>
      <c r="H115" s="442">
        <v>2.7</v>
      </c>
      <c r="I115" s="443">
        <v>0.95</v>
      </c>
      <c r="J115" s="738"/>
      <c r="K115" s="834"/>
      <c r="L115" s="739"/>
      <c r="M115" s="739"/>
      <c r="N115" s="739"/>
      <c r="O115" s="739"/>
      <c r="P115" s="739"/>
      <c r="Q115" s="739"/>
      <c r="R115" s="739"/>
      <c r="S115" s="834"/>
      <c r="T115" s="739"/>
      <c r="U115" s="739"/>
      <c r="V115" s="834"/>
      <c r="W115" s="739"/>
      <c r="X115" s="739"/>
      <c r="Y115" s="834"/>
      <c r="Z115" s="739"/>
      <c r="AA115" s="739"/>
      <c r="AB115" s="739"/>
      <c r="AC115" s="739"/>
      <c r="AD115" s="739"/>
      <c r="AE115" s="739"/>
      <c r="AF115" s="739"/>
      <c r="AG115" s="835"/>
      <c r="AH115" s="739"/>
      <c r="AI115" s="835"/>
      <c r="AJ115" s="739"/>
      <c r="AK115" s="835"/>
      <c r="AL115" s="739"/>
      <c r="AM115" s="836"/>
      <c r="AN115" s="818"/>
      <c r="AO115" s="576"/>
      <c r="AP115" s="577"/>
      <c r="AQ115" s="578"/>
      <c r="AR115" s="577"/>
      <c r="AS115" s="578"/>
      <c r="AT115" s="577"/>
      <c r="AU115" s="579"/>
    </row>
    <row r="116" spans="2:47" ht="18" customHeight="1">
      <c r="B116" s="1941" t="s">
        <v>311</v>
      </c>
      <c r="C116" s="1909" t="s">
        <v>5353</v>
      </c>
      <c r="D116" s="3633" t="s">
        <v>5347</v>
      </c>
      <c r="E116" s="3634"/>
      <c r="F116" s="3634"/>
      <c r="G116" s="3634"/>
      <c r="H116" s="3634"/>
      <c r="I116" s="3635"/>
      <c r="J116" s="553"/>
      <c r="K116" s="840"/>
      <c r="L116" s="840"/>
      <c r="M116" s="837"/>
      <c r="N116" s="837"/>
      <c r="O116" s="837"/>
      <c r="P116" s="837"/>
      <c r="Q116" s="837"/>
      <c r="R116" s="837"/>
      <c r="S116" s="837"/>
      <c r="T116" s="837"/>
      <c r="U116" s="837"/>
      <c r="V116" s="837"/>
      <c r="W116" s="837"/>
      <c r="X116" s="837"/>
      <c r="Y116" s="837"/>
      <c r="Z116" s="837"/>
      <c r="AA116" s="837"/>
      <c r="AB116" s="837"/>
      <c r="AC116" s="837"/>
      <c r="AD116" s="837"/>
      <c r="AE116" s="838"/>
      <c r="AF116" s="838"/>
      <c r="AG116" s="837"/>
      <c r="AH116" s="837"/>
      <c r="AI116" s="837"/>
      <c r="AJ116" s="837"/>
      <c r="AK116" s="837"/>
      <c r="AL116" s="837"/>
      <c r="AM116" s="837"/>
      <c r="AN116" s="821"/>
      <c r="AO116" s="553"/>
      <c r="AP116" s="545"/>
      <c r="AQ116" s="545"/>
      <c r="AR116" s="545"/>
      <c r="AS116" s="545"/>
      <c r="AT116" s="545"/>
      <c r="AU116" s="572"/>
    </row>
    <row r="117" spans="2:47" ht="18" customHeight="1">
      <c r="B117" s="1942"/>
      <c r="C117" s="1907" t="s">
        <v>5354</v>
      </c>
      <c r="D117" s="1899" t="s">
        <v>318</v>
      </c>
      <c r="E117" s="1900"/>
      <c r="F117" s="1900" t="s">
        <v>319</v>
      </c>
      <c r="G117" s="1900"/>
      <c r="H117" s="3636" t="s">
        <v>320</v>
      </c>
      <c r="I117" s="3637"/>
      <c r="J117" s="546"/>
      <c r="K117" s="547"/>
      <c r="L117" s="547"/>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c r="AI117" s="473"/>
      <c r="AJ117" s="473"/>
      <c r="AK117" s="473"/>
      <c r="AL117" s="473"/>
      <c r="AM117" s="839"/>
      <c r="AN117" s="822"/>
      <c r="AO117" s="546"/>
      <c r="AP117" s="547"/>
      <c r="AQ117" s="547"/>
      <c r="AR117" s="547"/>
      <c r="AS117" s="547"/>
      <c r="AT117" s="547"/>
      <c r="AU117" s="573"/>
    </row>
    <row r="118" spans="2:47" ht="18" customHeight="1">
      <c r="B118" s="1945" t="str">
        <f>+$B$6</f>
        <v>戸建形式住宅</v>
      </c>
      <c r="C118" s="588" t="s">
        <v>23</v>
      </c>
      <c r="D118" s="1046" t="s">
        <v>5652</v>
      </c>
      <c r="E118" s="1047" t="s">
        <v>5652</v>
      </c>
      <c r="F118" s="1047" t="s">
        <v>5652</v>
      </c>
      <c r="G118" s="1047" t="s">
        <v>5652</v>
      </c>
      <c r="H118" s="1047" t="s">
        <v>5652</v>
      </c>
      <c r="I118" s="1048" t="s">
        <v>5652</v>
      </c>
      <c r="J118" s="845"/>
      <c r="K118" s="846"/>
      <c r="L118" s="846"/>
      <c r="M118" s="451"/>
      <c r="N118" s="451"/>
      <c r="O118" s="451"/>
      <c r="P118" s="451"/>
      <c r="Q118" s="451"/>
      <c r="R118" s="451"/>
      <c r="S118" s="831"/>
      <c r="T118" s="451"/>
      <c r="U118" s="451"/>
      <c r="V118" s="831"/>
      <c r="W118" s="451"/>
      <c r="X118" s="451"/>
      <c r="Y118" s="831"/>
      <c r="Z118" s="451"/>
      <c r="AA118" s="451"/>
      <c r="AB118" s="451"/>
      <c r="AC118" s="451"/>
      <c r="AD118" s="451"/>
      <c r="AE118" s="451"/>
      <c r="AF118" s="451"/>
      <c r="AG118" s="458"/>
      <c r="AH118" s="451"/>
      <c r="AI118" s="458"/>
      <c r="AJ118" s="451"/>
      <c r="AK118" s="458"/>
      <c r="AL118" s="451"/>
      <c r="AM118" s="833"/>
      <c r="AN118" s="815"/>
      <c r="AO118" s="574"/>
      <c r="AP118" s="547"/>
      <c r="AQ118" s="575"/>
      <c r="AR118" s="547"/>
      <c r="AS118" s="575"/>
      <c r="AT118" s="547"/>
      <c r="AU118" s="573"/>
    </row>
    <row r="119" spans="2:47" ht="18" customHeight="1">
      <c r="B119" s="1946" t="str">
        <f>+$B$7</f>
        <v>集合形式住宅</v>
      </c>
      <c r="C119" s="430">
        <v>77720</v>
      </c>
      <c r="D119" s="437">
        <v>4</v>
      </c>
      <c r="E119" s="432">
        <v>1.2</v>
      </c>
      <c r="F119" s="432">
        <v>3</v>
      </c>
      <c r="G119" s="432">
        <v>1</v>
      </c>
      <c r="H119" s="432">
        <v>2.7</v>
      </c>
      <c r="I119" s="433">
        <v>0.95</v>
      </c>
      <c r="J119" s="450"/>
      <c r="K119" s="831"/>
      <c r="L119" s="451"/>
      <c r="M119" s="451"/>
      <c r="N119" s="451"/>
      <c r="O119" s="451"/>
      <c r="P119" s="451"/>
      <c r="Q119" s="451"/>
      <c r="R119" s="451"/>
      <c r="S119" s="831"/>
      <c r="T119" s="451"/>
      <c r="U119" s="451"/>
      <c r="V119" s="831"/>
      <c r="W119" s="451"/>
      <c r="X119" s="451"/>
      <c r="Y119" s="831"/>
      <c r="Z119" s="451"/>
      <c r="AA119" s="451"/>
      <c r="AB119" s="451"/>
      <c r="AC119" s="451"/>
      <c r="AD119" s="451"/>
      <c r="AE119" s="451"/>
      <c r="AF119" s="451"/>
      <c r="AG119" s="458"/>
      <c r="AH119" s="451"/>
      <c r="AI119" s="458"/>
      <c r="AJ119" s="451"/>
      <c r="AK119" s="458"/>
      <c r="AL119" s="451"/>
      <c r="AM119" s="832"/>
      <c r="AN119" s="815"/>
      <c r="AO119" s="574"/>
      <c r="AP119" s="547"/>
      <c r="AQ119" s="575"/>
      <c r="AR119" s="547"/>
      <c r="AS119" s="575"/>
      <c r="AT119" s="547"/>
      <c r="AU119" s="573"/>
    </row>
    <row r="120" spans="2:47" ht="18" customHeight="1">
      <c r="B120" s="1946" t="str">
        <f>+$B$8</f>
        <v>事務所・店舗</v>
      </c>
      <c r="C120" s="430">
        <v>77720</v>
      </c>
      <c r="D120" s="437">
        <v>4</v>
      </c>
      <c r="E120" s="432">
        <v>1.2</v>
      </c>
      <c r="F120" s="432">
        <v>3</v>
      </c>
      <c r="G120" s="432">
        <v>1</v>
      </c>
      <c r="H120" s="432">
        <v>2.7</v>
      </c>
      <c r="I120" s="433">
        <v>0.95</v>
      </c>
      <c r="J120" s="450"/>
      <c r="K120" s="831"/>
      <c r="L120" s="451"/>
      <c r="M120" s="451"/>
      <c r="N120" s="451"/>
      <c r="O120" s="451"/>
      <c r="P120" s="451"/>
      <c r="Q120" s="451"/>
      <c r="R120" s="451"/>
      <c r="S120" s="831"/>
      <c r="T120" s="451"/>
      <c r="U120" s="451"/>
      <c r="V120" s="831"/>
      <c r="W120" s="451"/>
      <c r="X120" s="451"/>
      <c r="Y120" s="831"/>
      <c r="Z120" s="451"/>
      <c r="AA120" s="451"/>
      <c r="AB120" s="451"/>
      <c r="AC120" s="451"/>
      <c r="AD120" s="451"/>
      <c r="AE120" s="451"/>
      <c r="AF120" s="451"/>
      <c r="AG120" s="458"/>
      <c r="AH120" s="451"/>
      <c r="AI120" s="458"/>
      <c r="AJ120" s="451"/>
      <c r="AK120" s="458"/>
      <c r="AL120" s="451"/>
      <c r="AM120" s="833"/>
      <c r="AN120" s="815"/>
      <c r="AO120" s="574"/>
      <c r="AP120" s="547"/>
      <c r="AQ120" s="575"/>
      <c r="AR120" s="547"/>
      <c r="AS120" s="575"/>
      <c r="AT120" s="547"/>
      <c r="AU120" s="573"/>
    </row>
    <row r="121" spans="2:47" ht="18" customHeight="1">
      <c r="B121" s="1946" t="str">
        <f>+$B$9</f>
        <v>病院・ホテル</v>
      </c>
      <c r="C121" s="430">
        <v>77720</v>
      </c>
      <c r="D121" s="437">
        <v>4</v>
      </c>
      <c r="E121" s="432">
        <v>1.2</v>
      </c>
      <c r="F121" s="432">
        <v>3</v>
      </c>
      <c r="G121" s="432">
        <v>1</v>
      </c>
      <c r="H121" s="432">
        <v>2.7</v>
      </c>
      <c r="I121" s="433">
        <v>0.95</v>
      </c>
      <c r="J121" s="450"/>
      <c r="K121" s="831"/>
      <c r="L121" s="451"/>
      <c r="M121" s="451"/>
      <c r="N121" s="451"/>
      <c r="O121" s="451"/>
      <c r="P121" s="451"/>
      <c r="Q121" s="451"/>
      <c r="R121" s="451"/>
      <c r="S121" s="831"/>
      <c r="T121" s="451"/>
      <c r="U121" s="451"/>
      <c r="V121" s="831"/>
      <c r="W121" s="451"/>
      <c r="X121" s="451"/>
      <c r="Y121" s="831"/>
      <c r="Z121" s="451"/>
      <c r="AA121" s="451"/>
      <c r="AB121" s="451"/>
      <c r="AC121" s="451"/>
      <c r="AD121" s="451"/>
      <c r="AE121" s="451"/>
      <c r="AF121" s="451"/>
      <c r="AG121" s="458"/>
      <c r="AH121" s="451"/>
      <c r="AI121" s="458"/>
      <c r="AJ121" s="451"/>
      <c r="AK121" s="458"/>
      <c r="AL121" s="451"/>
      <c r="AM121" s="833"/>
      <c r="AN121" s="815"/>
      <c r="AO121" s="574"/>
      <c r="AP121" s="547"/>
      <c r="AQ121" s="575"/>
      <c r="AR121" s="547"/>
      <c r="AS121" s="575"/>
      <c r="AT121" s="547"/>
      <c r="AU121" s="573"/>
    </row>
    <row r="122" spans="2:47" ht="18" customHeight="1">
      <c r="B122" s="1947" t="str">
        <f>+$B$10</f>
        <v>工場・倉庫</v>
      </c>
      <c r="C122" s="430">
        <v>77720</v>
      </c>
      <c r="D122" s="1283">
        <v>4</v>
      </c>
      <c r="E122" s="442">
        <v>1.2</v>
      </c>
      <c r="F122" s="442">
        <v>3</v>
      </c>
      <c r="G122" s="442">
        <v>1</v>
      </c>
      <c r="H122" s="442">
        <v>2.7</v>
      </c>
      <c r="I122" s="443">
        <v>0.95</v>
      </c>
      <c r="J122" s="738"/>
      <c r="K122" s="834"/>
      <c r="L122" s="739"/>
      <c r="M122" s="739"/>
      <c r="N122" s="739"/>
      <c r="O122" s="739"/>
      <c r="P122" s="739"/>
      <c r="Q122" s="739"/>
      <c r="R122" s="739"/>
      <c r="S122" s="834"/>
      <c r="T122" s="739"/>
      <c r="U122" s="739"/>
      <c r="V122" s="834"/>
      <c r="W122" s="739"/>
      <c r="X122" s="739"/>
      <c r="Y122" s="834"/>
      <c r="Z122" s="739"/>
      <c r="AA122" s="739"/>
      <c r="AB122" s="739"/>
      <c r="AC122" s="739"/>
      <c r="AD122" s="739"/>
      <c r="AE122" s="739"/>
      <c r="AF122" s="739"/>
      <c r="AG122" s="835"/>
      <c r="AH122" s="739"/>
      <c r="AI122" s="835"/>
      <c r="AJ122" s="739"/>
      <c r="AK122" s="835"/>
      <c r="AL122" s="739"/>
      <c r="AM122" s="836"/>
      <c r="AN122" s="818"/>
      <c r="AO122" s="576"/>
      <c r="AP122" s="577"/>
      <c r="AQ122" s="578"/>
      <c r="AR122" s="577"/>
      <c r="AS122" s="578"/>
      <c r="AT122" s="577"/>
      <c r="AU122" s="579"/>
    </row>
    <row r="123" spans="2:47" ht="18" customHeight="1">
      <c r="B123" s="1941" t="s">
        <v>311</v>
      </c>
      <c r="C123" s="1909" t="s">
        <v>5355</v>
      </c>
      <c r="D123" s="3633" t="s">
        <v>5349</v>
      </c>
      <c r="E123" s="3634"/>
      <c r="F123" s="3634"/>
      <c r="G123" s="3634"/>
      <c r="H123" s="3634"/>
      <c r="I123" s="3635"/>
      <c r="J123" s="850"/>
      <c r="K123" s="851"/>
      <c r="L123" s="851"/>
      <c r="M123" s="851"/>
      <c r="N123" s="851"/>
      <c r="O123" s="851"/>
      <c r="P123" s="840"/>
      <c r="Q123" s="840"/>
      <c r="R123" s="840"/>
      <c r="S123" s="840"/>
      <c r="T123" s="840"/>
      <c r="U123" s="841"/>
      <c r="V123" s="470"/>
      <c r="W123" s="837"/>
      <c r="X123" s="837"/>
      <c r="Y123" s="837"/>
      <c r="Z123" s="837"/>
      <c r="AA123" s="837"/>
      <c r="AB123" s="837"/>
      <c r="AC123" s="837"/>
      <c r="AD123" s="837"/>
      <c r="AE123" s="838"/>
      <c r="AF123" s="838"/>
      <c r="AG123" s="837"/>
      <c r="AH123" s="837"/>
      <c r="AI123" s="837"/>
      <c r="AJ123" s="837"/>
      <c r="AK123" s="837"/>
      <c r="AL123" s="837"/>
      <c r="AM123" s="837"/>
      <c r="AN123" s="821"/>
      <c r="AO123" s="553"/>
      <c r="AP123" s="545"/>
      <c r="AQ123" s="545"/>
      <c r="AR123" s="545"/>
      <c r="AS123" s="545"/>
      <c r="AT123" s="545"/>
      <c r="AU123" s="572"/>
    </row>
    <row r="124" spans="2:47" ht="18" customHeight="1">
      <c r="B124" s="1942"/>
      <c r="C124" s="1907" t="s">
        <v>5356</v>
      </c>
      <c r="D124" s="1899" t="s">
        <v>318</v>
      </c>
      <c r="E124" s="1900"/>
      <c r="F124" s="1900" t="s">
        <v>319</v>
      </c>
      <c r="G124" s="1900"/>
      <c r="H124" s="3636" t="s">
        <v>320</v>
      </c>
      <c r="I124" s="3637"/>
      <c r="J124" s="448"/>
      <c r="K124" s="449"/>
      <c r="L124" s="449"/>
      <c r="M124" s="449"/>
      <c r="N124" s="547"/>
      <c r="O124" s="547"/>
      <c r="P124" s="449"/>
      <c r="Q124" s="449"/>
      <c r="R124" s="449"/>
      <c r="S124" s="547"/>
      <c r="T124" s="547"/>
      <c r="U124" s="842"/>
      <c r="V124" s="472"/>
      <c r="W124" s="473"/>
      <c r="X124" s="473"/>
      <c r="Y124" s="473"/>
      <c r="Z124" s="473"/>
      <c r="AA124" s="473"/>
      <c r="AB124" s="473"/>
      <c r="AC124" s="473"/>
      <c r="AD124" s="473"/>
      <c r="AE124" s="473"/>
      <c r="AF124" s="473"/>
      <c r="AG124" s="473"/>
      <c r="AH124" s="473"/>
      <c r="AI124" s="473"/>
      <c r="AJ124" s="473"/>
      <c r="AK124" s="473"/>
      <c r="AL124" s="473"/>
      <c r="AM124" s="839"/>
      <c r="AN124" s="822"/>
      <c r="AO124" s="546"/>
      <c r="AP124" s="547"/>
      <c r="AQ124" s="547"/>
      <c r="AR124" s="547"/>
      <c r="AS124" s="547"/>
      <c r="AT124" s="547"/>
      <c r="AU124" s="573"/>
    </row>
    <row r="125" spans="2:47" ht="18" customHeight="1">
      <c r="B125" s="1945" t="str">
        <f>+$B$6</f>
        <v>戸建形式住宅</v>
      </c>
      <c r="C125" s="588" t="s">
        <v>23</v>
      </c>
      <c r="D125" s="1046" t="s">
        <v>5652</v>
      </c>
      <c r="E125" s="1047" t="s">
        <v>5652</v>
      </c>
      <c r="F125" s="1047" t="s">
        <v>5652</v>
      </c>
      <c r="G125" s="1047" t="s">
        <v>5652</v>
      </c>
      <c r="H125" s="1047" t="s">
        <v>5652</v>
      </c>
      <c r="I125" s="1048" t="s">
        <v>5652</v>
      </c>
      <c r="J125" s="845"/>
      <c r="K125" s="846"/>
      <c r="L125" s="846"/>
      <c r="M125" s="846"/>
      <c r="N125" s="846"/>
      <c r="O125" s="846"/>
      <c r="P125" s="846"/>
      <c r="Q125" s="846"/>
      <c r="R125" s="846"/>
      <c r="S125" s="846"/>
      <c r="T125" s="846"/>
      <c r="U125" s="849"/>
      <c r="V125" s="843"/>
      <c r="W125" s="451"/>
      <c r="X125" s="451"/>
      <c r="Y125" s="831"/>
      <c r="Z125" s="451"/>
      <c r="AA125" s="451"/>
      <c r="AB125" s="451"/>
      <c r="AC125" s="451"/>
      <c r="AD125" s="451"/>
      <c r="AE125" s="451"/>
      <c r="AF125" s="451"/>
      <c r="AG125" s="458"/>
      <c r="AH125" s="451"/>
      <c r="AI125" s="458"/>
      <c r="AJ125" s="451"/>
      <c r="AK125" s="458"/>
      <c r="AL125" s="451"/>
      <c r="AM125" s="833"/>
      <c r="AN125" s="815"/>
      <c r="AO125" s="574"/>
      <c r="AP125" s="547"/>
      <c r="AQ125" s="575"/>
      <c r="AR125" s="547"/>
      <c r="AS125" s="575"/>
      <c r="AT125" s="547"/>
      <c r="AU125" s="573"/>
    </row>
    <row r="126" spans="2:47" ht="18" customHeight="1">
      <c r="B126" s="1946" t="str">
        <f>+$B$7</f>
        <v>集合形式住宅</v>
      </c>
      <c r="C126" s="430">
        <v>44440</v>
      </c>
      <c r="D126" s="437">
        <v>0.75</v>
      </c>
      <c r="E126" s="432">
        <v>1.1000000000000001</v>
      </c>
      <c r="F126" s="432">
        <v>0.4</v>
      </c>
      <c r="G126" s="432">
        <v>1</v>
      </c>
      <c r="H126" s="432">
        <v>0.25</v>
      </c>
      <c r="I126" s="433">
        <v>0.9</v>
      </c>
      <c r="J126" s="450"/>
      <c r="K126" s="451"/>
      <c r="L126" s="451"/>
      <c r="M126" s="451"/>
      <c r="N126" s="451"/>
      <c r="O126" s="451"/>
      <c r="P126" s="451"/>
      <c r="Q126" s="831"/>
      <c r="R126" s="451"/>
      <c r="S126" s="451"/>
      <c r="T126" s="831"/>
      <c r="U126" s="815"/>
      <c r="V126" s="843"/>
      <c r="W126" s="451"/>
      <c r="X126" s="451"/>
      <c r="Y126" s="831"/>
      <c r="Z126" s="451"/>
      <c r="AA126" s="451"/>
      <c r="AB126" s="451"/>
      <c r="AC126" s="451"/>
      <c r="AD126" s="451"/>
      <c r="AE126" s="451"/>
      <c r="AF126" s="451"/>
      <c r="AG126" s="458"/>
      <c r="AH126" s="451"/>
      <c r="AI126" s="458"/>
      <c r="AJ126" s="451"/>
      <c r="AK126" s="458"/>
      <c r="AL126" s="451"/>
      <c r="AM126" s="832"/>
      <c r="AN126" s="815"/>
      <c r="AO126" s="574"/>
      <c r="AP126" s="547"/>
      <c r="AQ126" s="575"/>
      <c r="AR126" s="547"/>
      <c r="AS126" s="575"/>
      <c r="AT126" s="547"/>
      <c r="AU126" s="573"/>
    </row>
    <row r="127" spans="2:47" ht="18" customHeight="1">
      <c r="B127" s="1946" t="str">
        <f>+$B$8</f>
        <v>事務所・店舗</v>
      </c>
      <c r="C127" s="430">
        <v>44440</v>
      </c>
      <c r="D127" s="437">
        <v>0.75</v>
      </c>
      <c r="E127" s="432">
        <v>1.1000000000000001</v>
      </c>
      <c r="F127" s="432">
        <v>0.4</v>
      </c>
      <c r="G127" s="432">
        <v>1</v>
      </c>
      <c r="H127" s="432">
        <v>0.25</v>
      </c>
      <c r="I127" s="433">
        <v>0.9</v>
      </c>
      <c r="J127" s="450"/>
      <c r="K127" s="451"/>
      <c r="L127" s="451"/>
      <c r="M127" s="451"/>
      <c r="N127" s="451"/>
      <c r="O127" s="451"/>
      <c r="P127" s="451"/>
      <c r="Q127" s="831"/>
      <c r="R127" s="451"/>
      <c r="S127" s="451"/>
      <c r="T127" s="831"/>
      <c r="U127" s="815"/>
      <c r="V127" s="843"/>
      <c r="W127" s="451"/>
      <c r="X127" s="451"/>
      <c r="Y127" s="831"/>
      <c r="Z127" s="451"/>
      <c r="AA127" s="451"/>
      <c r="AB127" s="451"/>
      <c r="AC127" s="451"/>
      <c r="AD127" s="451"/>
      <c r="AE127" s="451"/>
      <c r="AF127" s="451"/>
      <c r="AG127" s="458"/>
      <c r="AH127" s="451"/>
      <c r="AI127" s="458"/>
      <c r="AJ127" s="451"/>
      <c r="AK127" s="458"/>
      <c r="AL127" s="451"/>
      <c r="AM127" s="833"/>
      <c r="AN127" s="815"/>
      <c r="AO127" s="574"/>
      <c r="AP127" s="547"/>
      <c r="AQ127" s="575"/>
      <c r="AR127" s="547"/>
      <c r="AS127" s="575"/>
      <c r="AT127" s="547"/>
      <c r="AU127" s="573"/>
    </row>
    <row r="128" spans="2:47" ht="18" customHeight="1">
      <c r="B128" s="1946" t="str">
        <f>+$B$9</f>
        <v>病院・ホテル</v>
      </c>
      <c r="C128" s="430">
        <v>44440</v>
      </c>
      <c r="D128" s="437">
        <v>0.75</v>
      </c>
      <c r="E128" s="432">
        <v>1.1000000000000001</v>
      </c>
      <c r="F128" s="432">
        <v>0.4</v>
      </c>
      <c r="G128" s="432">
        <v>1</v>
      </c>
      <c r="H128" s="432">
        <v>0.25</v>
      </c>
      <c r="I128" s="433">
        <v>0.9</v>
      </c>
      <c r="J128" s="450"/>
      <c r="K128" s="451"/>
      <c r="L128" s="451"/>
      <c r="M128" s="451"/>
      <c r="N128" s="451"/>
      <c r="O128" s="451"/>
      <c r="P128" s="451"/>
      <c r="Q128" s="831"/>
      <c r="R128" s="451"/>
      <c r="S128" s="451"/>
      <c r="T128" s="831"/>
      <c r="U128" s="815"/>
      <c r="V128" s="843"/>
      <c r="W128" s="451"/>
      <c r="X128" s="451"/>
      <c r="Y128" s="831"/>
      <c r="Z128" s="451"/>
      <c r="AA128" s="451"/>
      <c r="AB128" s="451"/>
      <c r="AC128" s="451"/>
      <c r="AD128" s="451"/>
      <c r="AE128" s="451"/>
      <c r="AF128" s="451"/>
      <c r="AG128" s="458"/>
      <c r="AH128" s="451"/>
      <c r="AI128" s="458"/>
      <c r="AJ128" s="451"/>
      <c r="AK128" s="458"/>
      <c r="AL128" s="451"/>
      <c r="AM128" s="833"/>
      <c r="AN128" s="815"/>
      <c r="AO128" s="574"/>
      <c r="AP128" s="547"/>
      <c r="AQ128" s="575"/>
      <c r="AR128" s="547"/>
      <c r="AS128" s="575"/>
      <c r="AT128" s="547"/>
      <c r="AU128" s="573"/>
    </row>
    <row r="129" spans="2:51" ht="18" customHeight="1">
      <c r="B129" s="1947" t="str">
        <f>+$B$10</f>
        <v>工場・倉庫</v>
      </c>
      <c r="C129" s="430">
        <v>44440</v>
      </c>
      <c r="D129" s="1283">
        <v>0.75</v>
      </c>
      <c r="E129" s="442">
        <v>1.1000000000000001</v>
      </c>
      <c r="F129" s="442">
        <v>0.4</v>
      </c>
      <c r="G129" s="442">
        <v>1</v>
      </c>
      <c r="H129" s="442">
        <v>0.25</v>
      </c>
      <c r="I129" s="443">
        <v>0.9</v>
      </c>
      <c r="J129" s="738"/>
      <c r="K129" s="739"/>
      <c r="L129" s="739"/>
      <c r="M129" s="739"/>
      <c r="N129" s="739"/>
      <c r="O129" s="739"/>
      <c r="P129" s="739"/>
      <c r="Q129" s="834"/>
      <c r="R129" s="739"/>
      <c r="S129" s="739"/>
      <c r="T129" s="834"/>
      <c r="U129" s="818"/>
      <c r="V129" s="844"/>
      <c r="W129" s="739"/>
      <c r="X129" s="739"/>
      <c r="Y129" s="834"/>
      <c r="Z129" s="739"/>
      <c r="AA129" s="739"/>
      <c r="AB129" s="739"/>
      <c r="AC129" s="739"/>
      <c r="AD129" s="739"/>
      <c r="AE129" s="739"/>
      <c r="AF129" s="739"/>
      <c r="AG129" s="835"/>
      <c r="AH129" s="739"/>
      <c r="AI129" s="835"/>
      <c r="AJ129" s="739"/>
      <c r="AK129" s="835"/>
      <c r="AL129" s="739"/>
      <c r="AM129" s="836"/>
      <c r="AN129" s="818"/>
      <c r="AO129" s="576"/>
      <c r="AP129" s="577"/>
      <c r="AQ129" s="578"/>
      <c r="AR129" s="577"/>
      <c r="AS129" s="578"/>
      <c r="AT129" s="577"/>
      <c r="AU129" s="579"/>
    </row>
    <row r="130" spans="2:51" ht="18" customHeight="1">
      <c r="B130" s="1941" t="s">
        <v>311</v>
      </c>
      <c r="C130" s="1916" t="s">
        <v>841</v>
      </c>
      <c r="D130" s="1888" t="s">
        <v>842</v>
      </c>
      <c r="E130" s="1889"/>
      <c r="F130" s="1889"/>
      <c r="G130" s="1889"/>
      <c r="H130" s="1889"/>
      <c r="I130" s="1891"/>
      <c r="J130" s="1888" t="s">
        <v>843</v>
      </c>
      <c r="K130" s="1889"/>
      <c r="L130" s="1889"/>
      <c r="M130" s="1889"/>
      <c r="N130" s="1889"/>
      <c r="O130" s="1891"/>
      <c r="P130" s="1888" t="s">
        <v>844</v>
      </c>
      <c r="Q130" s="1889"/>
      <c r="R130" s="1889"/>
      <c r="S130" s="1889"/>
      <c r="T130" s="1889"/>
      <c r="U130" s="1890"/>
      <c r="V130" s="1887" t="s">
        <v>845</v>
      </c>
      <c r="W130" s="1889"/>
      <c r="X130" s="1889"/>
      <c r="Y130" s="1889"/>
      <c r="Z130" s="1889"/>
      <c r="AA130" s="1891"/>
      <c r="AB130" s="460"/>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3"/>
      <c r="AY130" s="424"/>
    </row>
    <row r="131" spans="2:51" ht="18" customHeight="1">
      <c r="B131" s="1942"/>
      <c r="C131" s="1907" t="s">
        <v>846</v>
      </c>
      <c r="D131" s="1899" t="s">
        <v>318</v>
      </c>
      <c r="E131" s="1900"/>
      <c r="F131" s="1900" t="s">
        <v>319</v>
      </c>
      <c r="G131" s="1900"/>
      <c r="H131" s="1900" t="s">
        <v>320</v>
      </c>
      <c r="I131" s="1902"/>
      <c r="J131" s="1899" t="s">
        <v>318</v>
      </c>
      <c r="K131" s="1900"/>
      <c r="L131" s="1900" t="s">
        <v>319</v>
      </c>
      <c r="M131" s="1900"/>
      <c r="N131" s="1900" t="s">
        <v>320</v>
      </c>
      <c r="O131" s="1902"/>
      <c r="P131" s="1899" t="s">
        <v>318</v>
      </c>
      <c r="Q131" s="1900"/>
      <c r="R131" s="1900" t="s">
        <v>319</v>
      </c>
      <c r="S131" s="1900"/>
      <c r="T131" s="1900" t="s">
        <v>320</v>
      </c>
      <c r="U131" s="1901"/>
      <c r="V131" s="1898" t="s">
        <v>318</v>
      </c>
      <c r="W131" s="1900"/>
      <c r="X131" s="1900" t="s">
        <v>319</v>
      </c>
      <c r="Y131" s="1900"/>
      <c r="Z131" s="1905" t="s">
        <v>1109</v>
      </c>
      <c r="AA131" s="1902"/>
      <c r="AB131" s="461"/>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5"/>
      <c r="AY131" s="426"/>
    </row>
    <row r="132" spans="2:51" ht="18" customHeight="1">
      <c r="B132" s="1945" t="str">
        <f>+$B$6</f>
        <v>戸建形式住宅</v>
      </c>
      <c r="C132" s="588" t="s">
        <v>23</v>
      </c>
      <c r="D132" s="1046" t="s">
        <v>5652</v>
      </c>
      <c r="E132" s="1047" t="s">
        <v>5652</v>
      </c>
      <c r="F132" s="1047" t="s">
        <v>5652</v>
      </c>
      <c r="G132" s="1047" t="s">
        <v>5652</v>
      </c>
      <c r="H132" s="1047" t="s">
        <v>5652</v>
      </c>
      <c r="I132" s="1048" t="s">
        <v>5652</v>
      </c>
      <c r="J132" s="1046" t="s">
        <v>5652</v>
      </c>
      <c r="K132" s="1047" t="s">
        <v>5652</v>
      </c>
      <c r="L132" s="1047" t="s">
        <v>5652</v>
      </c>
      <c r="M132" s="1047" t="s">
        <v>5652</v>
      </c>
      <c r="N132" s="1047" t="s">
        <v>5652</v>
      </c>
      <c r="O132" s="1048" t="s">
        <v>5652</v>
      </c>
      <c r="P132" s="1046" t="s">
        <v>5652</v>
      </c>
      <c r="Q132" s="1047" t="s">
        <v>5652</v>
      </c>
      <c r="R132" s="1047" t="s">
        <v>5652</v>
      </c>
      <c r="S132" s="1047" t="s">
        <v>5652</v>
      </c>
      <c r="T132" s="1047" t="s">
        <v>5652</v>
      </c>
      <c r="U132" s="1048" t="s">
        <v>5652</v>
      </c>
      <c r="V132" s="1046" t="s">
        <v>5652</v>
      </c>
      <c r="W132" s="1047" t="s">
        <v>5652</v>
      </c>
      <c r="X132" s="1047" t="s">
        <v>5652</v>
      </c>
      <c r="Y132" s="1047" t="s">
        <v>5652</v>
      </c>
      <c r="Z132" s="1047" t="s">
        <v>5652</v>
      </c>
      <c r="AA132" s="1048" t="s">
        <v>5652</v>
      </c>
      <c r="AB132" s="461"/>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5"/>
      <c r="AY132" s="426"/>
    </row>
    <row r="133" spans="2:51" ht="18" customHeight="1">
      <c r="B133" s="1946" t="str">
        <f>+$B$7</f>
        <v>集合形式住宅</v>
      </c>
      <c r="C133" s="430">
        <v>3590</v>
      </c>
      <c r="D133" s="427" t="s">
        <v>1528</v>
      </c>
      <c r="E133" s="432">
        <v>1.2</v>
      </c>
      <c r="F133" s="428" t="s">
        <v>1529</v>
      </c>
      <c r="G133" s="432">
        <v>1</v>
      </c>
      <c r="H133" s="428" t="s">
        <v>1530</v>
      </c>
      <c r="I133" s="433">
        <v>0.8</v>
      </c>
      <c r="J133" s="1197" t="s">
        <v>1051</v>
      </c>
      <c r="K133" s="1197" t="s">
        <v>1051</v>
      </c>
      <c r="L133" s="428" t="s">
        <v>1122</v>
      </c>
      <c r="M133" s="432">
        <v>1</v>
      </c>
      <c r="N133" s="432" t="s">
        <v>1124</v>
      </c>
      <c r="O133" s="433">
        <v>0.95</v>
      </c>
      <c r="P133" s="431" t="s">
        <v>847</v>
      </c>
      <c r="Q133" s="432">
        <v>1.2</v>
      </c>
      <c r="R133" s="432" t="s">
        <v>848</v>
      </c>
      <c r="S133" s="432">
        <v>1</v>
      </c>
      <c r="T133" s="428" t="s">
        <v>849</v>
      </c>
      <c r="U133" s="436">
        <v>0.8</v>
      </c>
      <c r="V133" s="1262">
        <v>360</v>
      </c>
      <c r="W133" s="1251">
        <v>1.05</v>
      </c>
      <c r="X133" s="1202">
        <v>1800</v>
      </c>
      <c r="Y133" s="1251">
        <v>1</v>
      </c>
      <c r="Z133" s="1202">
        <v>3600</v>
      </c>
      <c r="AA133" s="1296">
        <v>0.93</v>
      </c>
      <c r="AB133" s="461"/>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5"/>
      <c r="AY133" s="426"/>
    </row>
    <row r="134" spans="2:51" ht="18" customHeight="1">
      <c r="B134" s="1946" t="str">
        <f>+$B$8</f>
        <v>事務所・店舗</v>
      </c>
      <c r="C134" s="430">
        <v>1730</v>
      </c>
      <c r="D134" s="427" t="s">
        <v>1528</v>
      </c>
      <c r="E134" s="428">
        <v>1.2</v>
      </c>
      <c r="F134" s="428" t="s">
        <v>1529</v>
      </c>
      <c r="G134" s="428">
        <v>1</v>
      </c>
      <c r="H134" s="428" t="s">
        <v>1530</v>
      </c>
      <c r="I134" s="429">
        <v>0.8</v>
      </c>
      <c r="J134" s="1197" t="s">
        <v>1051</v>
      </c>
      <c r="K134" s="1197" t="s">
        <v>1051</v>
      </c>
      <c r="L134" s="1071" t="s">
        <v>1123</v>
      </c>
      <c r="M134" s="428">
        <v>1</v>
      </c>
      <c r="N134" s="1071" t="s">
        <v>1125</v>
      </c>
      <c r="O134" s="429">
        <v>0.95</v>
      </c>
      <c r="P134" s="427" t="s">
        <v>847</v>
      </c>
      <c r="Q134" s="428">
        <v>1.2</v>
      </c>
      <c r="R134" s="428" t="s">
        <v>848</v>
      </c>
      <c r="S134" s="428">
        <v>1</v>
      </c>
      <c r="T134" s="428" t="s">
        <v>849</v>
      </c>
      <c r="U134" s="1297">
        <v>0.8</v>
      </c>
      <c r="V134" s="1298">
        <v>1000</v>
      </c>
      <c r="W134" s="428">
        <v>1.05</v>
      </c>
      <c r="X134" s="1299">
        <v>3000</v>
      </c>
      <c r="Y134" s="428">
        <v>1</v>
      </c>
      <c r="Z134" s="1299">
        <v>10000</v>
      </c>
      <c r="AA134" s="429">
        <v>0.93</v>
      </c>
      <c r="AB134" s="461"/>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5"/>
      <c r="AY134" s="426"/>
    </row>
    <row r="135" spans="2:51" ht="18" customHeight="1">
      <c r="B135" s="1946" t="str">
        <f>+$B$9</f>
        <v>病院・ホテル</v>
      </c>
      <c r="C135" s="430">
        <v>3590</v>
      </c>
      <c r="D135" s="437" t="s">
        <v>1528</v>
      </c>
      <c r="E135" s="432">
        <v>1.2</v>
      </c>
      <c r="F135" s="432" t="s">
        <v>1529</v>
      </c>
      <c r="G135" s="432">
        <v>1</v>
      </c>
      <c r="H135" s="432" t="s">
        <v>1530</v>
      </c>
      <c r="I135" s="433">
        <v>0.8</v>
      </c>
      <c r="J135" s="1197" t="s">
        <v>1051</v>
      </c>
      <c r="K135" s="1197" t="s">
        <v>1051</v>
      </c>
      <c r="L135" s="432" t="s">
        <v>1122</v>
      </c>
      <c r="M135" s="432">
        <v>1</v>
      </c>
      <c r="N135" s="432" t="s">
        <v>1124</v>
      </c>
      <c r="O135" s="433">
        <v>0.95</v>
      </c>
      <c r="P135" s="431" t="s">
        <v>847</v>
      </c>
      <c r="Q135" s="432">
        <v>1.5</v>
      </c>
      <c r="R135" s="432" t="s">
        <v>848</v>
      </c>
      <c r="S135" s="432">
        <v>1</v>
      </c>
      <c r="T135" s="432" t="s">
        <v>849</v>
      </c>
      <c r="U135" s="436">
        <v>0.7</v>
      </c>
      <c r="V135" s="1262">
        <v>1000</v>
      </c>
      <c r="W135" s="432">
        <v>1.05</v>
      </c>
      <c r="X135" s="1202">
        <v>3000</v>
      </c>
      <c r="Y135" s="432">
        <v>1</v>
      </c>
      <c r="Z135" s="1202">
        <v>10000</v>
      </c>
      <c r="AA135" s="433">
        <v>0.93</v>
      </c>
      <c r="AB135" s="612"/>
      <c r="AC135" s="425"/>
      <c r="AD135" s="425"/>
      <c r="AE135" s="425"/>
      <c r="AF135" s="425"/>
      <c r="AG135" s="425"/>
      <c r="AH135" s="425"/>
      <c r="AI135" s="425"/>
      <c r="AJ135" s="425"/>
      <c r="AK135" s="425"/>
      <c r="AL135" s="425"/>
      <c r="AM135" s="425"/>
      <c r="AN135" s="425"/>
      <c r="AO135" s="425"/>
      <c r="AP135" s="425"/>
      <c r="AQ135" s="425"/>
      <c r="AR135" s="425"/>
      <c r="AS135" s="425"/>
      <c r="AT135" s="425"/>
      <c r="AU135" s="425"/>
      <c r="AV135" s="425"/>
      <c r="AW135" s="425"/>
      <c r="AX135" s="425"/>
      <c r="AY135" s="426"/>
    </row>
    <row r="136" spans="2:51" ht="18" customHeight="1">
      <c r="B136" s="1947" t="str">
        <f>+$B$10</f>
        <v>工場・倉庫</v>
      </c>
      <c r="C136" s="1065" t="s">
        <v>23</v>
      </c>
      <c r="D136" s="1051" t="s">
        <v>5652</v>
      </c>
      <c r="E136" s="1058" t="s">
        <v>5652</v>
      </c>
      <c r="F136" s="1058" t="s">
        <v>5652</v>
      </c>
      <c r="G136" s="1058" t="s">
        <v>5652</v>
      </c>
      <c r="H136" s="1058" t="s">
        <v>5652</v>
      </c>
      <c r="I136" s="1059" t="s">
        <v>5652</v>
      </c>
      <c r="J136" s="1051" t="s">
        <v>5652</v>
      </c>
      <c r="K136" s="1058" t="s">
        <v>5652</v>
      </c>
      <c r="L136" s="1058" t="s">
        <v>5652</v>
      </c>
      <c r="M136" s="1058" t="s">
        <v>5652</v>
      </c>
      <c r="N136" s="1058" t="s">
        <v>5652</v>
      </c>
      <c r="O136" s="1059" t="s">
        <v>5652</v>
      </c>
      <c r="P136" s="1051" t="s">
        <v>5652</v>
      </c>
      <c r="Q136" s="1058" t="s">
        <v>5652</v>
      </c>
      <c r="R136" s="1058" t="s">
        <v>5652</v>
      </c>
      <c r="S136" s="1058" t="s">
        <v>5652</v>
      </c>
      <c r="T136" s="1058" t="s">
        <v>5652</v>
      </c>
      <c r="U136" s="1059" t="s">
        <v>5652</v>
      </c>
      <c r="V136" s="1051" t="s">
        <v>5652</v>
      </c>
      <c r="W136" s="1058" t="s">
        <v>5652</v>
      </c>
      <c r="X136" s="1058" t="s">
        <v>5652</v>
      </c>
      <c r="Y136" s="1058" t="s">
        <v>5652</v>
      </c>
      <c r="Z136" s="1058" t="s">
        <v>5652</v>
      </c>
      <c r="AA136" s="1059" t="s">
        <v>5652</v>
      </c>
      <c r="AB136" s="612" t="s">
        <v>5615</v>
      </c>
      <c r="AC136" s="425"/>
      <c r="AD136" s="425"/>
      <c r="AE136" s="425"/>
      <c r="AF136" s="425"/>
      <c r="AG136" s="425"/>
      <c r="AH136" s="425"/>
      <c r="AI136" s="425"/>
      <c r="AJ136" s="425"/>
      <c r="AK136" s="425"/>
      <c r="AL136" s="425"/>
      <c r="AM136" s="425"/>
      <c r="AN136" s="425"/>
      <c r="AO136" s="425"/>
      <c r="AP136" s="425"/>
      <c r="AQ136" s="425"/>
      <c r="AR136" s="425"/>
      <c r="AS136" s="425"/>
      <c r="AT136" s="425"/>
      <c r="AU136" s="425"/>
      <c r="AV136" s="425"/>
      <c r="AW136" s="425"/>
      <c r="AX136" s="425"/>
      <c r="AY136" s="426"/>
    </row>
    <row r="137" spans="2:51" ht="18" customHeight="1">
      <c r="B137" s="1941" t="s">
        <v>311</v>
      </c>
      <c r="C137" s="1916" t="s">
        <v>5366</v>
      </c>
      <c r="D137" s="3638" t="s">
        <v>689</v>
      </c>
      <c r="E137" s="3634"/>
      <c r="F137" s="3634"/>
      <c r="G137" s="3634"/>
      <c r="H137" s="3634"/>
      <c r="I137" s="3635"/>
      <c r="J137" s="837"/>
      <c r="K137" s="837"/>
      <c r="L137" s="837"/>
      <c r="M137" s="837"/>
      <c r="N137" s="837"/>
      <c r="O137" s="837"/>
      <c r="P137" s="837"/>
      <c r="Q137" s="837"/>
      <c r="R137" s="837"/>
      <c r="S137" s="840"/>
      <c r="T137" s="545"/>
      <c r="U137" s="545"/>
      <c r="V137" s="545"/>
      <c r="W137" s="545"/>
      <c r="X137" s="545"/>
      <c r="Y137" s="543"/>
      <c r="Z137" s="423"/>
      <c r="AA137" s="423"/>
      <c r="AB137" s="423"/>
      <c r="AC137" s="423"/>
      <c r="AD137" s="423"/>
      <c r="AE137" s="423"/>
      <c r="AF137" s="423"/>
      <c r="AG137" s="423"/>
      <c r="AH137" s="423"/>
      <c r="AI137" s="423"/>
      <c r="AJ137" s="423"/>
      <c r="AK137" s="423"/>
      <c r="AL137" s="423"/>
      <c r="AM137" s="423"/>
      <c r="AN137" s="423"/>
      <c r="AO137" s="423"/>
      <c r="AP137" s="423"/>
      <c r="AQ137" s="423"/>
      <c r="AR137" s="423"/>
      <c r="AS137" s="423"/>
      <c r="AT137" s="423"/>
      <c r="AU137" s="423"/>
      <c r="AV137" s="423"/>
      <c r="AW137" s="423"/>
      <c r="AX137" s="423"/>
      <c r="AY137" s="424"/>
    </row>
    <row r="138" spans="2:51" ht="18" customHeight="1">
      <c r="B138" s="1942"/>
      <c r="C138" s="1907" t="s">
        <v>5367</v>
      </c>
      <c r="D138" s="1908" t="s">
        <v>318</v>
      </c>
      <c r="E138" s="1899"/>
      <c r="F138" s="1901" t="s">
        <v>319</v>
      </c>
      <c r="G138" s="1899"/>
      <c r="H138" s="3636" t="s">
        <v>320</v>
      </c>
      <c r="I138" s="3637"/>
      <c r="J138" s="852"/>
      <c r="K138" s="473"/>
      <c r="L138" s="473"/>
      <c r="M138" s="473"/>
      <c r="N138" s="473"/>
      <c r="O138" s="473"/>
      <c r="P138" s="473"/>
      <c r="Q138" s="473"/>
      <c r="R138" s="473"/>
      <c r="S138" s="547"/>
      <c r="T138" s="547"/>
      <c r="U138" s="547"/>
      <c r="V138" s="547"/>
      <c r="W138" s="547"/>
      <c r="X138" s="547"/>
      <c r="Y138" s="422"/>
      <c r="Z138" s="425"/>
      <c r="AA138" s="425"/>
      <c r="AB138" s="425"/>
      <c r="AC138" s="425"/>
      <c r="AD138" s="425"/>
      <c r="AE138" s="425"/>
      <c r="AF138" s="425"/>
      <c r="AG138" s="425"/>
      <c r="AH138" s="425"/>
      <c r="AI138" s="425"/>
      <c r="AJ138" s="425"/>
      <c r="AK138" s="425"/>
      <c r="AL138" s="425"/>
      <c r="AM138" s="425"/>
      <c r="AN138" s="425"/>
      <c r="AO138" s="425"/>
      <c r="AP138" s="425"/>
      <c r="AQ138" s="425"/>
      <c r="AR138" s="425"/>
      <c r="AS138" s="425"/>
      <c r="AT138" s="425"/>
      <c r="AU138" s="425"/>
      <c r="AV138" s="425"/>
      <c r="AW138" s="425"/>
      <c r="AX138" s="425"/>
      <c r="AY138" s="426"/>
    </row>
    <row r="139" spans="2:51" ht="18" customHeight="1">
      <c r="B139" s="1945" t="str">
        <f>+$B$6</f>
        <v>戸建形式住宅</v>
      </c>
      <c r="C139" s="588" t="s">
        <v>23</v>
      </c>
      <c r="D139" s="1046" t="s">
        <v>5652</v>
      </c>
      <c r="E139" s="1047" t="s">
        <v>5652</v>
      </c>
      <c r="F139" s="1047" t="s">
        <v>5652</v>
      </c>
      <c r="G139" s="1047" t="s">
        <v>5652</v>
      </c>
      <c r="H139" s="1047" t="s">
        <v>5652</v>
      </c>
      <c r="I139" s="1048" t="s">
        <v>5652</v>
      </c>
      <c r="J139" s="451"/>
      <c r="K139" s="831"/>
      <c r="L139" s="451"/>
      <c r="M139" s="451"/>
      <c r="N139" s="451"/>
      <c r="O139" s="451"/>
      <c r="P139" s="451"/>
      <c r="Q139" s="451"/>
      <c r="R139" s="451"/>
      <c r="S139" s="548"/>
      <c r="T139" s="549"/>
      <c r="U139" s="548"/>
      <c r="V139" s="549"/>
      <c r="W139" s="548"/>
      <c r="X139" s="549"/>
      <c r="Y139" s="422"/>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6"/>
    </row>
    <row r="140" spans="2:51" ht="18" customHeight="1">
      <c r="B140" s="1946" t="str">
        <f>+$B$7</f>
        <v>集合形式住宅</v>
      </c>
      <c r="C140" s="430">
        <v>8690</v>
      </c>
      <c r="D140" s="431" t="s">
        <v>375</v>
      </c>
      <c r="E140" s="432">
        <v>1.3</v>
      </c>
      <c r="F140" s="432" t="s">
        <v>324</v>
      </c>
      <c r="G140" s="432">
        <v>1</v>
      </c>
      <c r="H140" s="432" t="s">
        <v>376</v>
      </c>
      <c r="I140" s="433">
        <v>0.7</v>
      </c>
      <c r="J140" s="451"/>
      <c r="K140" s="831"/>
      <c r="L140" s="451"/>
      <c r="M140" s="451"/>
      <c r="N140" s="451"/>
      <c r="O140" s="451"/>
      <c r="P140" s="451"/>
      <c r="Q140" s="451"/>
      <c r="R140" s="451"/>
      <c r="S140" s="548"/>
      <c r="T140" s="580"/>
      <c r="U140" s="548"/>
      <c r="V140" s="580"/>
      <c r="W140" s="548"/>
      <c r="X140" s="580"/>
      <c r="Y140" s="422"/>
      <c r="Z140" s="425"/>
      <c r="AA140" s="425"/>
      <c r="AB140" s="425"/>
      <c r="AC140" s="425"/>
      <c r="AD140" s="425"/>
      <c r="AE140" s="425"/>
      <c r="AF140" s="425"/>
      <c r="AG140" s="425"/>
      <c r="AH140" s="425"/>
      <c r="AI140" s="425"/>
      <c r="AJ140" s="425"/>
      <c r="AK140" s="425"/>
      <c r="AL140" s="425"/>
      <c r="AM140" s="425"/>
      <c r="AN140" s="425"/>
      <c r="AO140" s="425"/>
      <c r="AP140" s="425"/>
      <c r="AQ140" s="425"/>
      <c r="AR140" s="425"/>
      <c r="AS140" s="425"/>
      <c r="AT140" s="425"/>
      <c r="AU140" s="425"/>
      <c r="AV140" s="425"/>
      <c r="AW140" s="425"/>
      <c r="AX140" s="425"/>
      <c r="AY140" s="426"/>
    </row>
    <row r="141" spans="2:51" ht="18" customHeight="1">
      <c r="B141" s="1946" t="str">
        <f>+$B$8</f>
        <v>事務所・店舗</v>
      </c>
      <c r="C141" s="430">
        <v>8690</v>
      </c>
      <c r="D141" s="431" t="s">
        <v>375</v>
      </c>
      <c r="E141" s="432">
        <v>1.3</v>
      </c>
      <c r="F141" s="432" t="s">
        <v>324</v>
      </c>
      <c r="G141" s="432">
        <v>1</v>
      </c>
      <c r="H141" s="432" t="s">
        <v>376</v>
      </c>
      <c r="I141" s="433">
        <v>0.7</v>
      </c>
      <c r="J141" s="451"/>
      <c r="K141" s="831"/>
      <c r="L141" s="451"/>
      <c r="M141" s="451"/>
      <c r="N141" s="451"/>
      <c r="O141" s="451"/>
      <c r="P141" s="451"/>
      <c r="Q141" s="451"/>
      <c r="R141" s="451"/>
      <c r="S141" s="548"/>
      <c r="T141" s="549"/>
      <c r="U141" s="548"/>
      <c r="V141" s="549"/>
      <c r="W141" s="548"/>
      <c r="X141" s="549"/>
      <c r="Y141" s="422"/>
      <c r="Z141" s="425"/>
      <c r="AA141" s="425"/>
      <c r="AB141" s="425"/>
      <c r="AC141" s="425"/>
      <c r="AD141" s="425"/>
      <c r="AE141" s="425"/>
      <c r="AF141" s="425"/>
      <c r="AG141" s="425"/>
      <c r="AH141" s="425"/>
      <c r="AI141" s="425"/>
      <c r="AJ141" s="425"/>
      <c r="AK141" s="425"/>
      <c r="AL141" s="425"/>
      <c r="AM141" s="425"/>
      <c r="AN141" s="425"/>
      <c r="AO141" s="425"/>
      <c r="AP141" s="425"/>
      <c r="AQ141" s="425"/>
      <c r="AR141" s="425"/>
      <c r="AS141" s="425"/>
      <c r="AT141" s="425"/>
      <c r="AU141" s="425"/>
      <c r="AV141" s="425"/>
      <c r="AW141" s="425"/>
      <c r="AX141" s="425"/>
      <c r="AY141" s="426"/>
    </row>
    <row r="142" spans="2:51" ht="18" customHeight="1">
      <c r="B142" s="1946" t="str">
        <f>+$B$9</f>
        <v>病院・ホテル</v>
      </c>
      <c r="C142" s="430">
        <v>8690</v>
      </c>
      <c r="D142" s="431" t="s">
        <v>375</v>
      </c>
      <c r="E142" s="432">
        <v>1.3</v>
      </c>
      <c r="F142" s="432" t="s">
        <v>324</v>
      </c>
      <c r="G142" s="432">
        <v>1</v>
      </c>
      <c r="H142" s="432" t="s">
        <v>376</v>
      </c>
      <c r="I142" s="433">
        <v>0.7</v>
      </c>
      <c r="J142" s="451"/>
      <c r="K142" s="831"/>
      <c r="L142" s="451"/>
      <c r="M142" s="451"/>
      <c r="N142" s="451"/>
      <c r="O142" s="451"/>
      <c r="P142" s="451"/>
      <c r="Q142" s="451"/>
      <c r="R142" s="451"/>
      <c r="S142" s="548"/>
      <c r="T142" s="549"/>
      <c r="U142" s="548"/>
      <c r="V142" s="549"/>
      <c r="W142" s="548"/>
      <c r="X142" s="549"/>
      <c r="Y142" s="422"/>
      <c r="Z142" s="425"/>
      <c r="AA142" s="425"/>
      <c r="AB142" s="425"/>
      <c r="AC142" s="425"/>
      <c r="AD142" s="425"/>
      <c r="AE142" s="425"/>
      <c r="AF142" s="425"/>
      <c r="AG142" s="425"/>
      <c r="AH142" s="425"/>
      <c r="AI142" s="425"/>
      <c r="AJ142" s="425"/>
      <c r="AK142" s="425"/>
      <c r="AL142" s="425"/>
      <c r="AM142" s="425"/>
      <c r="AN142" s="425"/>
      <c r="AO142" s="425"/>
      <c r="AP142" s="425"/>
      <c r="AQ142" s="425"/>
      <c r="AR142" s="425"/>
      <c r="AS142" s="425"/>
      <c r="AT142" s="425"/>
      <c r="AU142" s="425"/>
      <c r="AV142" s="425"/>
      <c r="AW142" s="425"/>
      <c r="AX142" s="425"/>
      <c r="AY142" s="426"/>
    </row>
    <row r="143" spans="2:51" ht="18" customHeight="1">
      <c r="B143" s="1947" t="str">
        <f>+$B$10</f>
        <v>工場・倉庫</v>
      </c>
      <c r="C143" s="1060">
        <v>8690</v>
      </c>
      <c r="D143" s="823" t="s">
        <v>375</v>
      </c>
      <c r="E143" s="446">
        <v>1.3</v>
      </c>
      <c r="F143" s="446" t="s">
        <v>324</v>
      </c>
      <c r="G143" s="446">
        <v>1</v>
      </c>
      <c r="H143" s="446" t="s">
        <v>376</v>
      </c>
      <c r="I143" s="447">
        <v>0.7</v>
      </c>
      <c r="J143" s="739"/>
      <c r="K143" s="834"/>
      <c r="L143" s="739"/>
      <c r="M143" s="739"/>
      <c r="N143" s="739"/>
      <c r="O143" s="739"/>
      <c r="P143" s="739"/>
      <c r="Q143" s="739"/>
      <c r="R143" s="739"/>
      <c r="S143" s="853"/>
      <c r="T143" s="552"/>
      <c r="U143" s="551"/>
      <c r="V143" s="552"/>
      <c r="W143" s="551"/>
      <c r="X143" s="552"/>
      <c r="Y143" s="568"/>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row>
    <row r="144" spans="2:51" ht="18" customHeight="1">
      <c r="B144" s="1941" t="s">
        <v>311</v>
      </c>
      <c r="C144" s="1916" t="s">
        <v>5369</v>
      </c>
      <c r="D144" s="3638" t="s">
        <v>689</v>
      </c>
      <c r="E144" s="3634"/>
      <c r="F144" s="3634"/>
      <c r="G144" s="3634"/>
      <c r="H144" s="3634"/>
      <c r="I144" s="3635"/>
      <c r="J144" s="837"/>
      <c r="K144" s="837"/>
      <c r="L144" s="837"/>
      <c r="M144" s="837"/>
      <c r="N144" s="837"/>
      <c r="O144" s="837"/>
      <c r="P144" s="837"/>
      <c r="Q144" s="837"/>
      <c r="R144" s="837"/>
      <c r="S144" s="840"/>
      <c r="T144" s="545"/>
      <c r="U144" s="545"/>
      <c r="V144" s="545"/>
      <c r="W144" s="545"/>
      <c r="X144" s="545"/>
      <c r="Y144" s="543"/>
      <c r="Z144" s="423"/>
      <c r="AA144" s="423"/>
      <c r="AB144" s="423"/>
      <c r="AC144" s="423"/>
      <c r="AD144" s="423"/>
      <c r="AE144" s="423"/>
      <c r="AF144" s="423"/>
      <c r="AG144" s="423"/>
      <c r="AH144" s="423"/>
      <c r="AI144" s="423"/>
      <c r="AJ144" s="423"/>
      <c r="AK144" s="423"/>
      <c r="AL144" s="423"/>
      <c r="AM144" s="423"/>
      <c r="AN144" s="423"/>
      <c r="AO144" s="423"/>
      <c r="AP144" s="423"/>
      <c r="AQ144" s="423"/>
      <c r="AR144" s="423"/>
      <c r="AS144" s="423"/>
      <c r="AT144" s="423"/>
      <c r="AU144" s="423"/>
      <c r="AV144" s="423"/>
      <c r="AW144" s="423"/>
      <c r="AX144" s="423"/>
      <c r="AY144" s="424"/>
    </row>
    <row r="145" spans="2:51" ht="18" customHeight="1">
      <c r="B145" s="1942"/>
      <c r="C145" s="1907" t="s">
        <v>5375</v>
      </c>
      <c r="D145" s="1908" t="s">
        <v>318</v>
      </c>
      <c r="E145" s="1899"/>
      <c r="F145" s="1901" t="s">
        <v>319</v>
      </c>
      <c r="G145" s="1899"/>
      <c r="H145" s="3636" t="s">
        <v>320</v>
      </c>
      <c r="I145" s="3637"/>
      <c r="J145" s="852"/>
      <c r="K145" s="473"/>
      <c r="L145" s="473"/>
      <c r="M145" s="473"/>
      <c r="N145" s="473"/>
      <c r="O145" s="473"/>
      <c r="P145" s="473"/>
      <c r="Q145" s="473"/>
      <c r="R145" s="473"/>
      <c r="S145" s="547"/>
      <c r="T145" s="547"/>
      <c r="U145" s="547"/>
      <c r="V145" s="547"/>
      <c r="W145" s="547"/>
      <c r="X145" s="547"/>
      <c r="Y145" s="422"/>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row>
    <row r="146" spans="2:51" ht="18" customHeight="1">
      <c r="B146" s="1945" t="str">
        <f>+$B$6</f>
        <v>戸建形式住宅</v>
      </c>
      <c r="C146" s="588" t="s">
        <v>23</v>
      </c>
      <c r="D146" s="1046" t="s">
        <v>5652</v>
      </c>
      <c r="E146" s="1047" t="s">
        <v>5652</v>
      </c>
      <c r="F146" s="1047" t="s">
        <v>5652</v>
      </c>
      <c r="G146" s="1047" t="s">
        <v>5652</v>
      </c>
      <c r="H146" s="1047" t="s">
        <v>5652</v>
      </c>
      <c r="I146" s="1048" t="s">
        <v>5652</v>
      </c>
      <c r="J146" s="451"/>
      <c r="K146" s="831"/>
      <c r="L146" s="451"/>
      <c r="M146" s="451"/>
      <c r="N146" s="451"/>
      <c r="O146" s="451"/>
      <c r="P146" s="451"/>
      <c r="Q146" s="451"/>
      <c r="R146" s="451"/>
      <c r="S146" s="548"/>
      <c r="T146" s="549"/>
      <c r="U146" s="548"/>
      <c r="V146" s="549"/>
      <c r="W146" s="548"/>
      <c r="X146" s="549"/>
      <c r="Y146" s="422"/>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row>
    <row r="147" spans="2:51" ht="18" customHeight="1">
      <c r="B147" s="1946" t="str">
        <f>+$B$7</f>
        <v>集合形式住宅</v>
      </c>
      <c r="C147" s="430">
        <v>55280</v>
      </c>
      <c r="D147" s="431" t="s">
        <v>375</v>
      </c>
      <c r="E147" s="432">
        <v>1.5</v>
      </c>
      <c r="F147" s="432" t="s">
        <v>324</v>
      </c>
      <c r="G147" s="432">
        <v>1</v>
      </c>
      <c r="H147" s="432" t="s">
        <v>376</v>
      </c>
      <c r="I147" s="433">
        <v>0.8</v>
      </c>
      <c r="J147" s="451"/>
      <c r="K147" s="831"/>
      <c r="L147" s="451"/>
      <c r="M147" s="451"/>
      <c r="N147" s="451"/>
      <c r="O147" s="451"/>
      <c r="P147" s="451"/>
      <c r="Q147" s="451"/>
      <c r="R147" s="451"/>
      <c r="S147" s="548"/>
      <c r="T147" s="580"/>
      <c r="U147" s="548"/>
      <c r="V147" s="580"/>
      <c r="W147" s="548"/>
      <c r="X147" s="580"/>
      <c r="Y147" s="422"/>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row>
    <row r="148" spans="2:51" ht="18" customHeight="1">
      <c r="B148" s="1946" t="str">
        <f>+$B$8</f>
        <v>事務所・店舗</v>
      </c>
      <c r="C148" s="430">
        <v>55280</v>
      </c>
      <c r="D148" s="431" t="s">
        <v>375</v>
      </c>
      <c r="E148" s="432">
        <v>1.5</v>
      </c>
      <c r="F148" s="432" t="s">
        <v>324</v>
      </c>
      <c r="G148" s="432">
        <v>1</v>
      </c>
      <c r="H148" s="432" t="s">
        <v>376</v>
      </c>
      <c r="I148" s="433">
        <v>0.8</v>
      </c>
      <c r="J148" s="451"/>
      <c r="K148" s="831"/>
      <c r="L148" s="451"/>
      <c r="M148" s="451"/>
      <c r="N148" s="451"/>
      <c r="O148" s="451"/>
      <c r="P148" s="451"/>
      <c r="Q148" s="451"/>
      <c r="R148" s="451"/>
      <c r="S148" s="548"/>
      <c r="T148" s="549"/>
      <c r="U148" s="548"/>
      <c r="V148" s="549"/>
      <c r="W148" s="548"/>
      <c r="X148" s="549"/>
      <c r="Y148" s="422"/>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row>
    <row r="149" spans="2:51" ht="18" customHeight="1">
      <c r="B149" s="1946" t="str">
        <f>+$B$9</f>
        <v>病院・ホテル</v>
      </c>
      <c r="C149" s="430">
        <v>55280</v>
      </c>
      <c r="D149" s="431" t="s">
        <v>375</v>
      </c>
      <c r="E149" s="432">
        <v>1.5</v>
      </c>
      <c r="F149" s="432" t="s">
        <v>324</v>
      </c>
      <c r="G149" s="432">
        <v>1</v>
      </c>
      <c r="H149" s="432" t="s">
        <v>376</v>
      </c>
      <c r="I149" s="433">
        <v>0.8</v>
      </c>
      <c r="J149" s="451"/>
      <c r="K149" s="831"/>
      <c r="L149" s="451"/>
      <c r="M149" s="451"/>
      <c r="N149" s="451"/>
      <c r="O149" s="451"/>
      <c r="P149" s="451"/>
      <c r="Q149" s="451"/>
      <c r="R149" s="451"/>
      <c r="S149" s="548"/>
      <c r="T149" s="549"/>
      <c r="U149" s="548"/>
      <c r="V149" s="549"/>
      <c r="W149" s="548"/>
      <c r="X149" s="549"/>
      <c r="Y149" s="422"/>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row>
    <row r="150" spans="2:51" ht="18" customHeight="1">
      <c r="B150" s="1947" t="str">
        <f>+$B$10</f>
        <v>工場・倉庫</v>
      </c>
      <c r="C150" s="1060">
        <v>55280</v>
      </c>
      <c r="D150" s="823" t="s">
        <v>375</v>
      </c>
      <c r="E150" s="446">
        <v>1.5</v>
      </c>
      <c r="F150" s="446" t="s">
        <v>324</v>
      </c>
      <c r="G150" s="446">
        <v>1</v>
      </c>
      <c r="H150" s="446" t="s">
        <v>376</v>
      </c>
      <c r="I150" s="447">
        <v>0.8</v>
      </c>
      <c r="J150" s="739"/>
      <c r="K150" s="834"/>
      <c r="L150" s="739"/>
      <c r="M150" s="739"/>
      <c r="N150" s="739"/>
      <c r="O150" s="739"/>
      <c r="P150" s="739"/>
      <c r="Q150" s="739"/>
      <c r="R150" s="739"/>
      <c r="S150" s="853"/>
      <c r="T150" s="552"/>
      <c r="U150" s="551"/>
      <c r="V150" s="552"/>
      <c r="W150" s="551"/>
      <c r="X150" s="552"/>
      <c r="Y150" s="568"/>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row>
    <row r="151" spans="2:51" ht="18" customHeight="1">
      <c r="B151" s="1941" t="s">
        <v>311</v>
      </c>
      <c r="C151" s="1916" t="s">
        <v>5368</v>
      </c>
      <c r="D151" s="3638" t="s">
        <v>689</v>
      </c>
      <c r="E151" s="3634"/>
      <c r="F151" s="3634"/>
      <c r="G151" s="3634"/>
      <c r="H151" s="3634"/>
      <c r="I151" s="3635"/>
      <c r="J151" s="837"/>
      <c r="K151" s="837"/>
      <c r="L151" s="837"/>
      <c r="M151" s="837"/>
      <c r="N151" s="837"/>
      <c r="O151" s="837"/>
      <c r="P151" s="837"/>
      <c r="Q151" s="837"/>
      <c r="R151" s="837"/>
      <c r="S151" s="840"/>
      <c r="T151" s="545"/>
      <c r="U151" s="545"/>
      <c r="V151" s="545"/>
      <c r="W151" s="545"/>
      <c r="X151" s="545"/>
      <c r="Y151" s="543"/>
      <c r="Z151" s="423"/>
      <c r="AA151" s="423"/>
      <c r="AB151" s="423"/>
      <c r="AC151" s="423"/>
      <c r="AD151" s="423"/>
      <c r="AE151" s="423"/>
      <c r="AF151" s="423"/>
      <c r="AG151" s="423"/>
      <c r="AH151" s="423"/>
      <c r="AI151" s="423"/>
      <c r="AJ151" s="423"/>
      <c r="AK151" s="423"/>
      <c r="AL151" s="423"/>
      <c r="AM151" s="423"/>
      <c r="AN151" s="423"/>
      <c r="AO151" s="423"/>
      <c r="AP151" s="423"/>
      <c r="AQ151" s="423"/>
      <c r="AR151" s="423"/>
      <c r="AS151" s="423"/>
      <c r="AT151" s="423"/>
      <c r="AU151" s="423"/>
      <c r="AV151" s="423"/>
      <c r="AW151" s="423"/>
      <c r="AX151" s="423"/>
      <c r="AY151" s="424"/>
    </row>
    <row r="152" spans="2:51" ht="18" customHeight="1">
      <c r="B152" s="1942"/>
      <c r="C152" s="1907" t="s">
        <v>5376</v>
      </c>
      <c r="D152" s="1908" t="s">
        <v>318</v>
      </c>
      <c r="E152" s="1899"/>
      <c r="F152" s="1901" t="s">
        <v>319</v>
      </c>
      <c r="G152" s="1899"/>
      <c r="H152" s="3636" t="s">
        <v>320</v>
      </c>
      <c r="I152" s="3637"/>
      <c r="J152" s="852"/>
      <c r="K152" s="473"/>
      <c r="L152" s="473"/>
      <c r="M152" s="473"/>
      <c r="N152" s="473"/>
      <c r="O152" s="473"/>
      <c r="P152" s="473"/>
      <c r="Q152" s="473"/>
      <c r="R152" s="473"/>
      <c r="S152" s="547"/>
      <c r="T152" s="547"/>
      <c r="U152" s="547"/>
      <c r="V152" s="547"/>
      <c r="W152" s="547"/>
      <c r="X152" s="547"/>
      <c r="Y152" s="422"/>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row>
    <row r="153" spans="2:51" ht="18" customHeight="1">
      <c r="B153" s="1945" t="str">
        <f>+$B$6</f>
        <v>戸建形式住宅</v>
      </c>
      <c r="C153" s="588" t="s">
        <v>23</v>
      </c>
      <c r="D153" s="1046" t="s">
        <v>5652</v>
      </c>
      <c r="E153" s="1047" t="s">
        <v>5652</v>
      </c>
      <c r="F153" s="1047" t="s">
        <v>5652</v>
      </c>
      <c r="G153" s="1047" t="s">
        <v>5652</v>
      </c>
      <c r="H153" s="1047" t="s">
        <v>5652</v>
      </c>
      <c r="I153" s="1048" t="s">
        <v>5652</v>
      </c>
      <c r="J153" s="451"/>
      <c r="K153" s="831"/>
      <c r="L153" s="451"/>
      <c r="M153" s="451"/>
      <c r="N153" s="451"/>
      <c r="O153" s="451"/>
      <c r="P153" s="451"/>
      <c r="Q153" s="451"/>
      <c r="R153" s="451"/>
      <c r="S153" s="548"/>
      <c r="T153" s="549"/>
      <c r="U153" s="548"/>
      <c r="V153" s="549"/>
      <c r="W153" s="548"/>
      <c r="X153" s="549"/>
      <c r="Y153" s="422"/>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row>
    <row r="154" spans="2:51" ht="18" customHeight="1">
      <c r="B154" s="1946" t="str">
        <f>+$B$7</f>
        <v>集合形式住宅</v>
      </c>
      <c r="C154" s="430">
        <v>71990</v>
      </c>
      <c r="D154" s="431" t="s">
        <v>375</v>
      </c>
      <c r="E154" s="432">
        <v>1.5</v>
      </c>
      <c r="F154" s="432" t="s">
        <v>324</v>
      </c>
      <c r="G154" s="432">
        <v>1</v>
      </c>
      <c r="H154" s="432" t="s">
        <v>376</v>
      </c>
      <c r="I154" s="433">
        <v>0.8</v>
      </c>
      <c r="J154" s="451"/>
      <c r="K154" s="831"/>
      <c r="L154" s="451"/>
      <c r="M154" s="451"/>
      <c r="N154" s="451"/>
      <c r="O154" s="451"/>
      <c r="P154" s="451"/>
      <c r="Q154" s="451"/>
      <c r="R154" s="451"/>
      <c r="S154" s="548"/>
      <c r="T154" s="580"/>
      <c r="U154" s="548"/>
      <c r="V154" s="580"/>
      <c r="W154" s="548"/>
      <c r="X154" s="580"/>
      <c r="Y154" s="422"/>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6"/>
    </row>
    <row r="155" spans="2:51" ht="18" customHeight="1">
      <c r="B155" s="1946" t="str">
        <f>+$B$8</f>
        <v>事務所・店舗</v>
      </c>
      <c r="C155" s="430">
        <v>71990</v>
      </c>
      <c r="D155" s="431" t="s">
        <v>375</v>
      </c>
      <c r="E155" s="432">
        <v>1.5</v>
      </c>
      <c r="F155" s="432" t="s">
        <v>324</v>
      </c>
      <c r="G155" s="432">
        <v>1</v>
      </c>
      <c r="H155" s="432" t="s">
        <v>376</v>
      </c>
      <c r="I155" s="433">
        <v>0.8</v>
      </c>
      <c r="J155" s="451"/>
      <c r="K155" s="831"/>
      <c r="L155" s="451"/>
      <c r="M155" s="451"/>
      <c r="N155" s="451"/>
      <c r="O155" s="451"/>
      <c r="P155" s="451"/>
      <c r="Q155" s="451"/>
      <c r="R155" s="451"/>
      <c r="S155" s="548"/>
      <c r="T155" s="549"/>
      <c r="U155" s="548"/>
      <c r="V155" s="549"/>
      <c r="W155" s="548"/>
      <c r="X155" s="549"/>
      <c r="Y155" s="422"/>
      <c r="Z155" s="425"/>
      <c r="AA155" s="425"/>
      <c r="AB155" s="425"/>
      <c r="AC155" s="425"/>
      <c r="AD155" s="425"/>
      <c r="AE155" s="425"/>
      <c r="AF155" s="425"/>
      <c r="AG155" s="425"/>
      <c r="AH155" s="425"/>
      <c r="AI155" s="425"/>
      <c r="AJ155" s="425"/>
      <c r="AK155" s="425"/>
      <c r="AL155" s="425"/>
      <c r="AM155" s="425"/>
      <c r="AN155" s="425"/>
      <c r="AO155" s="425"/>
      <c r="AP155" s="425"/>
      <c r="AQ155" s="425"/>
      <c r="AR155" s="425"/>
      <c r="AS155" s="425"/>
      <c r="AT155" s="425"/>
      <c r="AU155" s="425"/>
      <c r="AV155" s="425"/>
      <c r="AW155" s="425"/>
      <c r="AX155" s="425"/>
      <c r="AY155" s="426"/>
    </row>
    <row r="156" spans="2:51" ht="18" customHeight="1">
      <c r="B156" s="1946" t="str">
        <f>+$B$9</f>
        <v>病院・ホテル</v>
      </c>
      <c r="C156" s="430">
        <v>71990</v>
      </c>
      <c r="D156" s="431" t="s">
        <v>375</v>
      </c>
      <c r="E156" s="432">
        <v>1.5</v>
      </c>
      <c r="F156" s="432" t="s">
        <v>324</v>
      </c>
      <c r="G156" s="432">
        <v>1</v>
      </c>
      <c r="H156" s="432" t="s">
        <v>376</v>
      </c>
      <c r="I156" s="433">
        <v>0.8</v>
      </c>
      <c r="J156" s="451"/>
      <c r="K156" s="831"/>
      <c r="L156" s="451"/>
      <c r="M156" s="451"/>
      <c r="N156" s="451"/>
      <c r="O156" s="451"/>
      <c r="P156" s="451"/>
      <c r="Q156" s="451"/>
      <c r="R156" s="451"/>
      <c r="S156" s="548"/>
      <c r="T156" s="549"/>
      <c r="U156" s="548"/>
      <c r="V156" s="549"/>
      <c r="W156" s="548"/>
      <c r="X156" s="549"/>
      <c r="Y156" s="422"/>
      <c r="Z156" s="425"/>
      <c r="AA156" s="425"/>
      <c r="AB156" s="425"/>
      <c r="AC156" s="425"/>
      <c r="AD156" s="425"/>
      <c r="AE156" s="425"/>
      <c r="AF156" s="425"/>
      <c r="AG156" s="425"/>
      <c r="AH156" s="425"/>
      <c r="AI156" s="425"/>
      <c r="AJ156" s="425"/>
      <c r="AK156" s="425"/>
      <c r="AL156" s="425"/>
      <c r="AM156" s="425"/>
      <c r="AN156" s="425"/>
      <c r="AO156" s="425"/>
      <c r="AP156" s="425"/>
      <c r="AQ156" s="425"/>
      <c r="AR156" s="425"/>
      <c r="AS156" s="425"/>
      <c r="AT156" s="425"/>
      <c r="AU156" s="425"/>
      <c r="AV156" s="425"/>
      <c r="AW156" s="425"/>
      <c r="AX156" s="425"/>
      <c r="AY156" s="426"/>
    </row>
    <row r="157" spans="2:51" ht="18" customHeight="1">
      <c r="B157" s="1947" t="str">
        <f>+$B$10</f>
        <v>工場・倉庫</v>
      </c>
      <c r="C157" s="1060">
        <v>71990</v>
      </c>
      <c r="D157" s="823" t="s">
        <v>375</v>
      </c>
      <c r="E157" s="446">
        <v>1.5</v>
      </c>
      <c r="F157" s="446" t="s">
        <v>324</v>
      </c>
      <c r="G157" s="446">
        <v>1</v>
      </c>
      <c r="H157" s="446" t="s">
        <v>376</v>
      </c>
      <c r="I157" s="447">
        <v>0.8</v>
      </c>
      <c r="J157" s="739"/>
      <c r="K157" s="834"/>
      <c r="L157" s="739"/>
      <c r="M157" s="739"/>
      <c r="N157" s="739"/>
      <c r="O157" s="739"/>
      <c r="P157" s="739"/>
      <c r="Q157" s="739"/>
      <c r="R157" s="739"/>
      <c r="S157" s="853"/>
      <c r="T157" s="552"/>
      <c r="U157" s="551"/>
      <c r="V157" s="552"/>
      <c r="W157" s="551"/>
      <c r="X157" s="552"/>
      <c r="Y157" s="568"/>
      <c r="Z157" s="425"/>
      <c r="AA157" s="425"/>
      <c r="AB157" s="425"/>
      <c r="AC157" s="425"/>
      <c r="AD157" s="425"/>
      <c r="AE157" s="425"/>
      <c r="AF157" s="425"/>
      <c r="AG157" s="425"/>
      <c r="AH157" s="425"/>
      <c r="AI157" s="425"/>
      <c r="AJ157" s="425"/>
      <c r="AK157" s="425"/>
      <c r="AL157" s="425"/>
      <c r="AM157" s="425"/>
      <c r="AN157" s="425"/>
      <c r="AO157" s="425"/>
      <c r="AP157" s="425"/>
      <c r="AQ157" s="425"/>
      <c r="AR157" s="425"/>
      <c r="AS157" s="425"/>
      <c r="AT157" s="425"/>
      <c r="AU157" s="425"/>
      <c r="AV157" s="425"/>
      <c r="AW157" s="425"/>
      <c r="AX157" s="425"/>
      <c r="AY157" s="426"/>
    </row>
    <row r="158" spans="2:51" ht="18" customHeight="1">
      <c r="B158" s="1941" t="s">
        <v>311</v>
      </c>
      <c r="C158" s="1916" t="s">
        <v>5370</v>
      </c>
      <c r="D158" s="3638" t="s">
        <v>689</v>
      </c>
      <c r="E158" s="3634"/>
      <c r="F158" s="3634"/>
      <c r="G158" s="3634"/>
      <c r="H158" s="3634"/>
      <c r="I158" s="3635"/>
      <c r="J158" s="837"/>
      <c r="K158" s="837"/>
      <c r="L158" s="837"/>
      <c r="M158" s="837"/>
      <c r="N158" s="837"/>
      <c r="O158" s="837"/>
      <c r="P158" s="837"/>
      <c r="Q158" s="837"/>
      <c r="R158" s="837"/>
      <c r="S158" s="840"/>
      <c r="T158" s="545"/>
      <c r="U158" s="545"/>
      <c r="V158" s="545"/>
      <c r="W158" s="545"/>
      <c r="X158" s="545"/>
      <c r="Y158" s="543"/>
      <c r="Z158" s="423"/>
      <c r="AA158" s="423"/>
      <c r="AB158" s="423"/>
      <c r="AC158" s="423"/>
      <c r="AD158" s="423"/>
      <c r="AE158" s="423"/>
      <c r="AF158" s="423"/>
      <c r="AG158" s="423"/>
      <c r="AH158" s="423"/>
      <c r="AI158" s="423"/>
      <c r="AJ158" s="423"/>
      <c r="AK158" s="423"/>
      <c r="AL158" s="423"/>
      <c r="AM158" s="423"/>
      <c r="AN158" s="423"/>
      <c r="AO158" s="423"/>
      <c r="AP158" s="423"/>
      <c r="AQ158" s="423"/>
      <c r="AR158" s="423"/>
      <c r="AS158" s="423"/>
      <c r="AT158" s="423"/>
      <c r="AU158" s="423"/>
      <c r="AV158" s="423"/>
      <c r="AW158" s="423"/>
      <c r="AX158" s="423"/>
      <c r="AY158" s="424"/>
    </row>
    <row r="159" spans="2:51" ht="18" customHeight="1">
      <c r="B159" s="1942"/>
      <c r="C159" s="1907" t="s">
        <v>5371</v>
      </c>
      <c r="D159" s="1908" t="s">
        <v>318</v>
      </c>
      <c r="E159" s="1899"/>
      <c r="F159" s="1901" t="s">
        <v>319</v>
      </c>
      <c r="G159" s="1899"/>
      <c r="H159" s="3636" t="s">
        <v>320</v>
      </c>
      <c r="I159" s="3637"/>
      <c r="J159" s="852"/>
      <c r="K159" s="473"/>
      <c r="L159" s="473"/>
      <c r="M159" s="473"/>
      <c r="N159" s="473"/>
      <c r="O159" s="473"/>
      <c r="P159" s="473"/>
      <c r="Q159" s="473"/>
      <c r="R159" s="473"/>
      <c r="S159" s="547"/>
      <c r="T159" s="547"/>
      <c r="U159" s="547"/>
      <c r="V159" s="547"/>
      <c r="W159" s="547"/>
      <c r="X159" s="547"/>
      <c r="Y159" s="422"/>
      <c r="Z159" s="425"/>
      <c r="AA159" s="425"/>
      <c r="AB159" s="425"/>
      <c r="AC159" s="425"/>
      <c r="AD159" s="425"/>
      <c r="AE159" s="425"/>
      <c r="AF159" s="425"/>
      <c r="AG159" s="425"/>
      <c r="AH159" s="425"/>
      <c r="AI159" s="425"/>
      <c r="AJ159" s="425"/>
      <c r="AK159" s="425"/>
      <c r="AL159" s="425"/>
      <c r="AM159" s="425"/>
      <c r="AN159" s="425"/>
      <c r="AO159" s="425"/>
      <c r="AP159" s="425"/>
      <c r="AQ159" s="425"/>
      <c r="AR159" s="425"/>
      <c r="AS159" s="425"/>
      <c r="AT159" s="425"/>
      <c r="AU159" s="425"/>
      <c r="AV159" s="425"/>
      <c r="AW159" s="425"/>
      <c r="AX159" s="425"/>
      <c r="AY159" s="426"/>
    </row>
    <row r="160" spans="2:51" ht="18" customHeight="1">
      <c r="B160" s="1945" t="str">
        <f>+$B$6</f>
        <v>戸建形式住宅</v>
      </c>
      <c r="C160" s="588" t="s">
        <v>23</v>
      </c>
      <c r="D160" s="1046" t="s">
        <v>5652</v>
      </c>
      <c r="E160" s="1047" t="s">
        <v>5652</v>
      </c>
      <c r="F160" s="1047" t="s">
        <v>5652</v>
      </c>
      <c r="G160" s="1047" t="s">
        <v>5652</v>
      </c>
      <c r="H160" s="1047" t="s">
        <v>5652</v>
      </c>
      <c r="I160" s="1048" t="s">
        <v>5652</v>
      </c>
      <c r="J160" s="830"/>
      <c r="K160" s="831"/>
      <c r="L160" s="451"/>
      <c r="M160" s="451"/>
      <c r="N160" s="451"/>
      <c r="O160" s="451"/>
      <c r="P160" s="451"/>
      <c r="Q160" s="451"/>
      <c r="R160" s="451"/>
      <c r="S160" s="548"/>
      <c r="T160" s="549"/>
      <c r="U160" s="548"/>
      <c r="V160" s="549"/>
      <c r="W160" s="548"/>
      <c r="X160" s="549"/>
      <c r="Y160" s="422"/>
      <c r="Z160" s="425"/>
      <c r="AA160" s="425"/>
      <c r="AB160" s="425"/>
      <c r="AC160" s="425"/>
      <c r="AD160" s="425"/>
      <c r="AE160" s="425"/>
      <c r="AF160" s="425"/>
      <c r="AG160" s="425"/>
      <c r="AH160" s="425"/>
      <c r="AI160" s="425"/>
      <c r="AJ160" s="425"/>
      <c r="AK160" s="425"/>
      <c r="AL160" s="425"/>
      <c r="AM160" s="425"/>
      <c r="AN160" s="425"/>
      <c r="AO160" s="425"/>
      <c r="AP160" s="425"/>
      <c r="AQ160" s="425"/>
      <c r="AR160" s="425"/>
      <c r="AS160" s="425"/>
      <c r="AT160" s="425"/>
      <c r="AU160" s="425"/>
      <c r="AV160" s="425"/>
      <c r="AW160" s="425"/>
      <c r="AX160" s="425"/>
      <c r="AY160" s="426"/>
    </row>
    <row r="161" spans="2:51" ht="18" customHeight="1">
      <c r="B161" s="1946" t="str">
        <f>+$B$7</f>
        <v>集合形式住宅</v>
      </c>
      <c r="C161" s="430">
        <v>47090</v>
      </c>
      <c r="D161" s="437" t="s">
        <v>375</v>
      </c>
      <c r="E161" s="432">
        <v>1.5</v>
      </c>
      <c r="F161" s="432" t="s">
        <v>324</v>
      </c>
      <c r="G161" s="432">
        <v>1</v>
      </c>
      <c r="H161" s="432" t="s">
        <v>376</v>
      </c>
      <c r="I161" s="433">
        <v>0.8</v>
      </c>
      <c r="J161" s="451"/>
      <c r="K161" s="831"/>
      <c r="L161" s="451"/>
      <c r="M161" s="451"/>
      <c r="N161" s="451"/>
      <c r="O161" s="451"/>
      <c r="P161" s="451"/>
      <c r="Q161" s="451"/>
      <c r="R161" s="451"/>
      <c r="S161" s="548"/>
      <c r="T161" s="580"/>
      <c r="U161" s="548"/>
      <c r="V161" s="580"/>
      <c r="W161" s="548"/>
      <c r="X161" s="580"/>
      <c r="Y161" s="422"/>
      <c r="Z161" s="425"/>
      <c r="AA161" s="425"/>
      <c r="AB161" s="425"/>
      <c r="AC161" s="425"/>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5"/>
      <c r="AY161" s="426"/>
    </row>
    <row r="162" spans="2:51" ht="18" customHeight="1">
      <c r="B162" s="1946" t="str">
        <f>+$B$8</f>
        <v>事務所・店舗</v>
      </c>
      <c r="C162" s="430">
        <v>47090</v>
      </c>
      <c r="D162" s="437" t="s">
        <v>375</v>
      </c>
      <c r="E162" s="432">
        <v>1.5</v>
      </c>
      <c r="F162" s="432" t="s">
        <v>324</v>
      </c>
      <c r="G162" s="432">
        <v>1</v>
      </c>
      <c r="H162" s="432" t="s">
        <v>376</v>
      </c>
      <c r="I162" s="433">
        <v>0.8</v>
      </c>
      <c r="J162" s="451"/>
      <c r="K162" s="831"/>
      <c r="L162" s="451"/>
      <c r="M162" s="451"/>
      <c r="N162" s="451"/>
      <c r="O162" s="451"/>
      <c r="P162" s="451"/>
      <c r="Q162" s="451"/>
      <c r="R162" s="451"/>
      <c r="S162" s="548"/>
      <c r="T162" s="549"/>
      <c r="U162" s="548"/>
      <c r="V162" s="549"/>
      <c r="W162" s="548"/>
      <c r="X162" s="549"/>
      <c r="Y162" s="422"/>
      <c r="Z162" s="425"/>
      <c r="AA162" s="425"/>
      <c r="AB162" s="425"/>
      <c r="AC162" s="425"/>
      <c r="AD162" s="425"/>
      <c r="AE162" s="425"/>
      <c r="AF162" s="425"/>
      <c r="AG162" s="425"/>
      <c r="AH162" s="425"/>
      <c r="AI162" s="425"/>
      <c r="AJ162" s="425"/>
      <c r="AK162" s="425"/>
      <c r="AL162" s="425"/>
      <c r="AM162" s="425"/>
      <c r="AN162" s="425"/>
      <c r="AO162" s="425"/>
      <c r="AP162" s="425"/>
      <c r="AQ162" s="425"/>
      <c r="AR162" s="425"/>
      <c r="AS162" s="425"/>
      <c r="AT162" s="425"/>
      <c r="AU162" s="425"/>
      <c r="AV162" s="425"/>
      <c r="AW162" s="425"/>
      <c r="AX162" s="425"/>
      <c r="AY162" s="426"/>
    </row>
    <row r="163" spans="2:51" ht="18" customHeight="1">
      <c r="B163" s="1946" t="str">
        <f>+$B$9</f>
        <v>病院・ホテル</v>
      </c>
      <c r="C163" s="430">
        <v>47090</v>
      </c>
      <c r="D163" s="437" t="s">
        <v>375</v>
      </c>
      <c r="E163" s="432">
        <v>1.5</v>
      </c>
      <c r="F163" s="432" t="s">
        <v>324</v>
      </c>
      <c r="G163" s="432">
        <v>1</v>
      </c>
      <c r="H163" s="432" t="s">
        <v>376</v>
      </c>
      <c r="I163" s="433">
        <v>0.8</v>
      </c>
      <c r="J163" s="451"/>
      <c r="K163" s="831"/>
      <c r="L163" s="451"/>
      <c r="M163" s="451"/>
      <c r="N163" s="451"/>
      <c r="O163" s="451"/>
      <c r="P163" s="451"/>
      <c r="Q163" s="451"/>
      <c r="R163" s="451"/>
      <c r="S163" s="548"/>
      <c r="T163" s="549"/>
      <c r="U163" s="548"/>
      <c r="V163" s="549"/>
      <c r="W163" s="548"/>
      <c r="X163" s="549"/>
      <c r="Y163" s="422"/>
      <c r="Z163" s="425"/>
      <c r="AA163" s="425"/>
      <c r="AB163" s="425"/>
      <c r="AC163" s="425"/>
      <c r="AD163" s="425"/>
      <c r="AE163" s="425"/>
      <c r="AF163" s="425"/>
      <c r="AG163" s="425"/>
      <c r="AH163" s="425"/>
      <c r="AI163" s="425"/>
      <c r="AJ163" s="425"/>
      <c r="AK163" s="425"/>
      <c r="AL163" s="425"/>
      <c r="AM163" s="425"/>
      <c r="AN163" s="425"/>
      <c r="AO163" s="425"/>
      <c r="AP163" s="425"/>
      <c r="AQ163" s="425"/>
      <c r="AR163" s="425"/>
      <c r="AS163" s="425"/>
      <c r="AT163" s="425"/>
      <c r="AU163" s="425"/>
      <c r="AV163" s="425"/>
      <c r="AW163" s="425"/>
      <c r="AX163" s="425"/>
      <c r="AY163" s="426"/>
    </row>
    <row r="164" spans="2:51" ht="18" customHeight="1">
      <c r="B164" s="1947" t="str">
        <f>+$B$10</f>
        <v>工場・倉庫</v>
      </c>
      <c r="C164" s="430">
        <v>47090</v>
      </c>
      <c r="D164" s="445" t="s">
        <v>375</v>
      </c>
      <c r="E164" s="446">
        <v>1.5</v>
      </c>
      <c r="F164" s="446" t="s">
        <v>324</v>
      </c>
      <c r="G164" s="446">
        <v>1</v>
      </c>
      <c r="H164" s="446" t="s">
        <v>376</v>
      </c>
      <c r="I164" s="447">
        <v>0.8</v>
      </c>
      <c r="J164" s="739"/>
      <c r="K164" s="834"/>
      <c r="L164" s="739"/>
      <c r="M164" s="739"/>
      <c r="N164" s="739"/>
      <c r="O164" s="739"/>
      <c r="P164" s="739"/>
      <c r="Q164" s="739"/>
      <c r="R164" s="739"/>
      <c r="S164" s="853"/>
      <c r="T164" s="552"/>
      <c r="U164" s="551"/>
      <c r="V164" s="552"/>
      <c r="W164" s="551"/>
      <c r="X164" s="552"/>
      <c r="Y164" s="568"/>
      <c r="Z164" s="425"/>
      <c r="AA164" s="425"/>
      <c r="AB164" s="425"/>
      <c r="AC164" s="425"/>
      <c r="AD164" s="425"/>
      <c r="AE164" s="425"/>
      <c r="AF164" s="425"/>
      <c r="AG164" s="425"/>
      <c r="AH164" s="425"/>
      <c r="AI164" s="425"/>
      <c r="AJ164" s="425"/>
      <c r="AK164" s="425"/>
      <c r="AL164" s="425"/>
      <c r="AM164" s="425"/>
      <c r="AN164" s="425"/>
      <c r="AO164" s="425"/>
      <c r="AP164" s="425"/>
      <c r="AQ164" s="425"/>
      <c r="AR164" s="425"/>
      <c r="AS164" s="425"/>
      <c r="AT164" s="425"/>
      <c r="AU164" s="425"/>
      <c r="AV164" s="425"/>
      <c r="AW164" s="425"/>
      <c r="AX164" s="425"/>
      <c r="AY164" s="426"/>
    </row>
    <row r="165" spans="2:51" ht="18" customHeight="1">
      <c r="B165" s="1941" t="s">
        <v>311</v>
      </c>
      <c r="C165" s="1917" t="s">
        <v>5372</v>
      </c>
      <c r="D165" s="3638" t="s">
        <v>689</v>
      </c>
      <c r="E165" s="3641"/>
      <c r="F165" s="3641"/>
      <c r="G165" s="3641"/>
      <c r="H165" s="3641"/>
      <c r="I165" s="3641"/>
      <c r="J165" s="3641"/>
      <c r="K165" s="3642"/>
      <c r="L165" s="837"/>
      <c r="M165" s="837"/>
      <c r="N165" s="837"/>
      <c r="O165" s="837"/>
      <c r="P165" s="837"/>
      <c r="Q165" s="837"/>
      <c r="R165" s="837"/>
      <c r="S165" s="840"/>
      <c r="T165" s="545"/>
      <c r="U165" s="545"/>
      <c r="V165" s="545"/>
      <c r="W165" s="545"/>
      <c r="X165" s="545"/>
      <c r="Y165" s="543"/>
      <c r="Z165" s="423"/>
      <c r="AA165" s="423"/>
      <c r="AB165" s="423"/>
      <c r="AC165" s="423"/>
      <c r="AD165" s="423"/>
      <c r="AE165" s="423"/>
      <c r="AF165" s="423"/>
      <c r="AG165" s="423"/>
      <c r="AH165" s="423"/>
      <c r="AI165" s="423"/>
      <c r="AJ165" s="423"/>
      <c r="AK165" s="423"/>
      <c r="AL165" s="423"/>
      <c r="AM165" s="423"/>
      <c r="AN165" s="423"/>
      <c r="AO165" s="423"/>
      <c r="AP165" s="423"/>
      <c r="AQ165" s="423"/>
      <c r="AR165" s="423"/>
      <c r="AS165" s="423"/>
      <c r="AT165" s="423"/>
      <c r="AU165" s="423"/>
      <c r="AV165" s="423"/>
      <c r="AW165" s="423"/>
      <c r="AX165" s="423"/>
      <c r="AY165" s="424"/>
    </row>
    <row r="166" spans="2:51" ht="18" customHeight="1">
      <c r="B166" s="1942"/>
      <c r="C166" s="1894" t="s">
        <v>5373</v>
      </c>
      <c r="D166" s="1908" t="s">
        <v>318</v>
      </c>
      <c r="E166" s="1899"/>
      <c r="F166" s="1901" t="s">
        <v>319</v>
      </c>
      <c r="G166" s="1899"/>
      <c r="H166" s="3677" t="s">
        <v>320</v>
      </c>
      <c r="I166" s="3678"/>
      <c r="J166" s="3677" t="s">
        <v>320</v>
      </c>
      <c r="K166" s="3679"/>
      <c r="L166" s="473"/>
      <c r="M166" s="473"/>
      <c r="N166" s="473"/>
      <c r="O166" s="473"/>
      <c r="P166" s="473"/>
      <c r="Q166" s="473"/>
      <c r="R166" s="473"/>
      <c r="S166" s="547"/>
      <c r="T166" s="547"/>
      <c r="U166" s="547"/>
      <c r="V166" s="547"/>
      <c r="W166" s="547"/>
      <c r="X166" s="547"/>
      <c r="Y166" s="422"/>
      <c r="Z166" s="425"/>
      <c r="AA166" s="425"/>
      <c r="AB166" s="425"/>
      <c r="AC166" s="425"/>
      <c r="AD166" s="425"/>
      <c r="AE166" s="425"/>
      <c r="AF166" s="425"/>
      <c r="AG166" s="425"/>
      <c r="AH166" s="425"/>
      <c r="AI166" s="425"/>
      <c r="AJ166" s="425"/>
      <c r="AK166" s="425"/>
      <c r="AL166" s="425"/>
      <c r="AM166" s="425"/>
      <c r="AN166" s="425"/>
      <c r="AO166" s="425"/>
      <c r="AP166" s="425"/>
      <c r="AQ166" s="425"/>
      <c r="AR166" s="425"/>
      <c r="AS166" s="425"/>
      <c r="AT166" s="425"/>
      <c r="AU166" s="425"/>
      <c r="AV166" s="425"/>
      <c r="AW166" s="425"/>
      <c r="AX166" s="425"/>
      <c r="AY166" s="426"/>
    </row>
    <row r="167" spans="2:51" ht="18" customHeight="1">
      <c r="B167" s="1945" t="str">
        <f>+$B$6</f>
        <v>戸建形式住宅</v>
      </c>
      <c r="C167" s="588" t="s">
        <v>23</v>
      </c>
      <c r="D167" s="1046" t="s">
        <v>5652</v>
      </c>
      <c r="E167" s="1047" t="s">
        <v>5652</v>
      </c>
      <c r="F167" s="1047" t="s">
        <v>5652</v>
      </c>
      <c r="G167" s="1047" t="s">
        <v>5652</v>
      </c>
      <c r="H167" s="1047" t="s">
        <v>5652</v>
      </c>
      <c r="I167" s="1055" t="s">
        <v>5652</v>
      </c>
      <c r="J167" s="1055" t="s">
        <v>5652</v>
      </c>
      <c r="K167" s="1056" t="s">
        <v>5652</v>
      </c>
      <c r="L167" s="451"/>
      <c r="M167" s="451"/>
      <c r="N167" s="451"/>
      <c r="O167" s="451"/>
      <c r="P167" s="451"/>
      <c r="Q167" s="451"/>
      <c r="R167" s="451"/>
      <c r="S167" s="548"/>
      <c r="T167" s="549"/>
      <c r="U167" s="548"/>
      <c r="V167" s="549"/>
      <c r="W167" s="548"/>
      <c r="X167" s="549"/>
      <c r="Y167" s="422"/>
      <c r="Z167" s="425"/>
      <c r="AA167" s="425"/>
      <c r="AB167" s="425"/>
      <c r="AC167" s="425"/>
      <c r="AD167" s="425"/>
      <c r="AE167" s="425"/>
      <c r="AF167" s="425"/>
      <c r="AG167" s="425"/>
      <c r="AH167" s="425"/>
      <c r="AI167" s="425"/>
      <c r="AJ167" s="425"/>
      <c r="AK167" s="425"/>
      <c r="AL167" s="425"/>
      <c r="AM167" s="425"/>
      <c r="AN167" s="425"/>
      <c r="AO167" s="425"/>
      <c r="AP167" s="425"/>
      <c r="AQ167" s="425"/>
      <c r="AR167" s="425"/>
      <c r="AS167" s="425"/>
      <c r="AT167" s="425"/>
      <c r="AU167" s="425"/>
      <c r="AV167" s="425"/>
      <c r="AW167" s="425"/>
      <c r="AX167" s="425"/>
      <c r="AY167" s="426"/>
    </row>
    <row r="168" spans="2:51" ht="18" customHeight="1">
      <c r="B168" s="1946" t="str">
        <f>+$B$7</f>
        <v>集合形式住宅</v>
      </c>
      <c r="C168" s="430">
        <v>54290</v>
      </c>
      <c r="D168" s="431" t="s">
        <v>375</v>
      </c>
      <c r="E168" s="432">
        <v>1.5</v>
      </c>
      <c r="F168" s="432" t="s">
        <v>324</v>
      </c>
      <c r="G168" s="432">
        <v>1</v>
      </c>
      <c r="H168" s="432" t="s">
        <v>376</v>
      </c>
      <c r="I168" s="436">
        <v>0.7</v>
      </c>
      <c r="J168" s="432" t="s">
        <v>5461</v>
      </c>
      <c r="K168" s="433">
        <v>0.55000000000000004</v>
      </c>
      <c r="L168" s="451"/>
      <c r="M168" s="451"/>
      <c r="N168" s="451"/>
      <c r="O168" s="451"/>
      <c r="P168" s="451"/>
      <c r="Q168" s="451"/>
      <c r="R168" s="451"/>
      <c r="S168" s="548"/>
      <c r="T168" s="580"/>
      <c r="U168" s="548"/>
      <c r="V168" s="580"/>
      <c r="W168" s="548"/>
      <c r="X168" s="580"/>
      <c r="Y168" s="422"/>
      <c r="Z168" s="425"/>
      <c r="AA168" s="425"/>
      <c r="AB168" s="425"/>
      <c r="AC168" s="425"/>
      <c r="AD168" s="425"/>
      <c r="AE168" s="425"/>
      <c r="AF168" s="425"/>
      <c r="AG168" s="425"/>
      <c r="AH168" s="425"/>
      <c r="AI168" s="425"/>
      <c r="AJ168" s="425"/>
      <c r="AK168" s="425"/>
      <c r="AL168" s="425"/>
      <c r="AM168" s="425"/>
      <c r="AN168" s="425"/>
      <c r="AO168" s="425"/>
      <c r="AP168" s="425"/>
      <c r="AQ168" s="425"/>
      <c r="AR168" s="425"/>
      <c r="AS168" s="425"/>
      <c r="AT168" s="425"/>
      <c r="AU168" s="425"/>
      <c r="AV168" s="425"/>
      <c r="AW168" s="425"/>
      <c r="AX168" s="425"/>
      <c r="AY168" s="426"/>
    </row>
    <row r="169" spans="2:51" ht="18" customHeight="1">
      <c r="B169" s="1946" t="str">
        <f>+$B$8</f>
        <v>事務所・店舗</v>
      </c>
      <c r="C169" s="430">
        <v>54290</v>
      </c>
      <c r="D169" s="431" t="s">
        <v>375</v>
      </c>
      <c r="E169" s="432">
        <v>1.5</v>
      </c>
      <c r="F169" s="432" t="s">
        <v>324</v>
      </c>
      <c r="G169" s="432">
        <v>1</v>
      </c>
      <c r="H169" s="432" t="s">
        <v>376</v>
      </c>
      <c r="I169" s="436">
        <v>0.7</v>
      </c>
      <c r="J169" s="432" t="s">
        <v>5461</v>
      </c>
      <c r="K169" s="433">
        <v>0.55000000000000004</v>
      </c>
      <c r="L169" s="451"/>
      <c r="M169" s="451"/>
      <c r="N169" s="451"/>
      <c r="O169" s="451"/>
      <c r="P169" s="451"/>
      <c r="Q169" s="451"/>
      <c r="R169" s="451"/>
      <c r="S169" s="548"/>
      <c r="T169" s="549"/>
      <c r="U169" s="548"/>
      <c r="V169" s="549"/>
      <c r="W169" s="548"/>
      <c r="X169" s="549"/>
      <c r="Y169" s="422"/>
      <c r="Z169" s="425"/>
      <c r="AA169" s="425"/>
      <c r="AB169" s="425"/>
      <c r="AC169" s="425"/>
      <c r="AD169" s="425"/>
      <c r="AE169" s="425"/>
      <c r="AF169" s="425"/>
      <c r="AG169" s="425"/>
      <c r="AH169" s="425"/>
      <c r="AI169" s="425"/>
      <c r="AJ169" s="425"/>
      <c r="AK169" s="425"/>
      <c r="AL169" s="425"/>
      <c r="AM169" s="425"/>
      <c r="AN169" s="425"/>
      <c r="AO169" s="425"/>
      <c r="AP169" s="425"/>
      <c r="AQ169" s="425"/>
      <c r="AR169" s="425"/>
      <c r="AS169" s="425"/>
      <c r="AT169" s="425"/>
      <c r="AU169" s="425"/>
      <c r="AV169" s="425"/>
      <c r="AW169" s="425"/>
      <c r="AX169" s="425"/>
      <c r="AY169" s="426"/>
    </row>
    <row r="170" spans="2:51" ht="18" customHeight="1">
      <c r="B170" s="1946" t="str">
        <f>+$B$9</f>
        <v>病院・ホテル</v>
      </c>
      <c r="C170" s="430">
        <v>54290</v>
      </c>
      <c r="D170" s="431" t="s">
        <v>375</v>
      </c>
      <c r="E170" s="432">
        <v>1.5</v>
      </c>
      <c r="F170" s="432" t="s">
        <v>324</v>
      </c>
      <c r="G170" s="432">
        <v>1</v>
      </c>
      <c r="H170" s="432" t="s">
        <v>376</v>
      </c>
      <c r="I170" s="436">
        <v>0.7</v>
      </c>
      <c r="J170" s="432" t="s">
        <v>5461</v>
      </c>
      <c r="K170" s="433">
        <v>0.55000000000000004</v>
      </c>
      <c r="L170" s="451"/>
      <c r="M170" s="451"/>
      <c r="N170" s="451"/>
      <c r="O170" s="451"/>
      <c r="P170" s="451"/>
      <c r="Q170" s="451"/>
      <c r="R170" s="451"/>
      <c r="S170" s="548"/>
      <c r="T170" s="549"/>
      <c r="U170" s="548"/>
      <c r="V170" s="549"/>
      <c r="W170" s="548"/>
      <c r="X170" s="549"/>
      <c r="Y170" s="422"/>
      <c r="Z170" s="425"/>
      <c r="AA170" s="425"/>
      <c r="AB170" s="425"/>
      <c r="AC170" s="425"/>
      <c r="AD170" s="425"/>
      <c r="AE170" s="425"/>
      <c r="AF170" s="425"/>
      <c r="AG170" s="425"/>
      <c r="AH170" s="425"/>
      <c r="AI170" s="425"/>
      <c r="AJ170" s="425"/>
      <c r="AK170" s="425"/>
      <c r="AL170" s="425"/>
      <c r="AM170" s="425"/>
      <c r="AN170" s="425"/>
      <c r="AO170" s="425"/>
      <c r="AP170" s="425"/>
      <c r="AQ170" s="425"/>
      <c r="AR170" s="425"/>
      <c r="AS170" s="425"/>
      <c r="AT170" s="425"/>
      <c r="AU170" s="425"/>
      <c r="AV170" s="425"/>
      <c r="AW170" s="425"/>
      <c r="AX170" s="425"/>
      <c r="AY170" s="426"/>
    </row>
    <row r="171" spans="2:51" ht="18" customHeight="1">
      <c r="B171" s="1947" t="str">
        <f>+$B$10</f>
        <v>工場・倉庫</v>
      </c>
      <c r="C171" s="430">
        <v>54290</v>
      </c>
      <c r="D171" s="823" t="s">
        <v>375</v>
      </c>
      <c r="E171" s="446">
        <v>1.5</v>
      </c>
      <c r="F171" s="446" t="s">
        <v>324</v>
      </c>
      <c r="G171" s="446">
        <v>1</v>
      </c>
      <c r="H171" s="446" t="s">
        <v>376</v>
      </c>
      <c r="I171" s="479">
        <v>0.7</v>
      </c>
      <c r="J171" s="446" t="s">
        <v>5461</v>
      </c>
      <c r="K171" s="447">
        <v>0.55000000000000004</v>
      </c>
      <c r="L171" s="739"/>
      <c r="M171" s="739"/>
      <c r="N171" s="739"/>
      <c r="O171" s="739"/>
      <c r="P171" s="739"/>
      <c r="Q171" s="739"/>
      <c r="R171" s="739"/>
      <c r="S171" s="853"/>
      <c r="T171" s="552"/>
      <c r="U171" s="551"/>
      <c r="V171" s="552"/>
      <c r="W171" s="551"/>
      <c r="X171" s="552"/>
      <c r="Y171" s="568"/>
      <c r="Z171" s="425"/>
      <c r="AA171" s="425"/>
      <c r="AB171" s="425"/>
      <c r="AC171" s="425"/>
      <c r="AD171" s="425"/>
      <c r="AE171" s="425"/>
      <c r="AF171" s="425"/>
      <c r="AG171" s="425"/>
      <c r="AH171" s="425"/>
      <c r="AI171" s="425"/>
      <c r="AJ171" s="425"/>
      <c r="AK171" s="425"/>
      <c r="AL171" s="425"/>
      <c r="AM171" s="425"/>
      <c r="AN171" s="425"/>
      <c r="AO171" s="425"/>
      <c r="AP171" s="425"/>
      <c r="AQ171" s="425"/>
      <c r="AR171" s="425"/>
      <c r="AS171" s="425"/>
      <c r="AT171" s="425"/>
      <c r="AU171" s="425"/>
      <c r="AV171" s="425"/>
      <c r="AW171" s="425"/>
      <c r="AX171" s="425"/>
      <c r="AY171" s="426"/>
    </row>
    <row r="172" spans="2:51" ht="18" customHeight="1">
      <c r="B172" s="1941" t="s">
        <v>311</v>
      </c>
      <c r="C172" s="1916" t="s">
        <v>5471</v>
      </c>
      <c r="D172" s="1918" t="s">
        <v>5609</v>
      </c>
      <c r="E172" s="1919"/>
      <c r="F172" s="1919"/>
      <c r="G172" s="1919"/>
      <c r="H172" s="1919"/>
      <c r="I172" s="1920"/>
      <c r="J172" s="1918" t="s">
        <v>689</v>
      </c>
      <c r="K172" s="1919"/>
      <c r="L172" s="1919"/>
      <c r="M172" s="1919"/>
      <c r="N172" s="1919"/>
      <c r="O172" s="1920"/>
      <c r="P172" s="468"/>
      <c r="Q172" s="468"/>
      <c r="R172" s="468"/>
      <c r="S172" s="465"/>
      <c r="T172" s="468"/>
      <c r="U172" s="465"/>
      <c r="V172" s="455"/>
      <c r="W172" s="455"/>
      <c r="X172" s="455"/>
      <c r="Y172" s="455"/>
      <c r="Z172" s="455"/>
      <c r="AA172" s="455"/>
      <c r="AB172" s="423"/>
      <c r="AC172" s="423"/>
      <c r="AD172" s="423"/>
      <c r="AE172" s="423"/>
      <c r="AF172" s="423"/>
      <c r="AG172" s="423"/>
      <c r="AH172" s="423"/>
      <c r="AI172" s="423"/>
      <c r="AJ172" s="423"/>
      <c r="AK172" s="423"/>
      <c r="AL172" s="423"/>
      <c r="AM172" s="423"/>
      <c r="AN172" s="423"/>
      <c r="AO172" s="423"/>
      <c r="AP172" s="423"/>
      <c r="AQ172" s="423"/>
      <c r="AR172" s="423"/>
      <c r="AS172" s="423"/>
      <c r="AT172" s="423"/>
      <c r="AU172" s="423"/>
      <c r="AV172" s="423"/>
      <c r="AW172" s="423"/>
      <c r="AX172" s="423"/>
      <c r="AY172" s="424"/>
    </row>
    <row r="173" spans="2:51" ht="18" customHeight="1">
      <c r="B173" s="1942"/>
      <c r="C173" s="1907" t="s">
        <v>5374</v>
      </c>
      <c r="D173" s="1908" t="s">
        <v>318</v>
      </c>
      <c r="E173" s="1899"/>
      <c r="F173" s="1901" t="s">
        <v>319</v>
      </c>
      <c r="G173" s="1899"/>
      <c r="H173" s="1901" t="s">
        <v>320</v>
      </c>
      <c r="I173" s="1921"/>
      <c r="J173" s="1908" t="s">
        <v>318</v>
      </c>
      <c r="K173" s="1899"/>
      <c r="L173" s="1901" t="s">
        <v>319</v>
      </c>
      <c r="M173" s="1899"/>
      <c r="N173" s="1901" t="s">
        <v>320</v>
      </c>
      <c r="O173" s="1921"/>
      <c r="P173" s="581"/>
      <c r="Q173" s="469"/>
      <c r="R173" s="469"/>
      <c r="S173" s="467"/>
      <c r="T173" s="469"/>
      <c r="U173" s="467"/>
      <c r="V173" s="451"/>
      <c r="W173" s="451"/>
      <c r="X173" s="451"/>
      <c r="Y173" s="451"/>
      <c r="Z173" s="451"/>
      <c r="AA173" s="451"/>
      <c r="AB173" s="425"/>
      <c r="AC173" s="425"/>
      <c r="AD173" s="425"/>
      <c r="AE173" s="425"/>
      <c r="AF173" s="425"/>
      <c r="AG173" s="425"/>
      <c r="AH173" s="425"/>
      <c r="AI173" s="425"/>
      <c r="AJ173" s="425"/>
      <c r="AK173" s="425"/>
      <c r="AL173" s="425"/>
      <c r="AM173" s="425"/>
      <c r="AN173" s="425"/>
      <c r="AO173" s="425"/>
      <c r="AP173" s="425"/>
      <c r="AQ173" s="425"/>
      <c r="AR173" s="425"/>
      <c r="AS173" s="425"/>
      <c r="AT173" s="425"/>
      <c r="AU173" s="425"/>
      <c r="AV173" s="425"/>
      <c r="AW173" s="425"/>
      <c r="AX173" s="425"/>
      <c r="AY173" s="426"/>
    </row>
    <row r="174" spans="2:51" ht="18" customHeight="1">
      <c r="B174" s="1945" t="str">
        <f>+$B$6</f>
        <v>戸建形式住宅</v>
      </c>
      <c r="C174" s="588" t="s">
        <v>23</v>
      </c>
      <c r="D174" s="1046" t="s">
        <v>5652</v>
      </c>
      <c r="E174" s="1047" t="s">
        <v>5652</v>
      </c>
      <c r="F174" s="1047" t="s">
        <v>5652</v>
      </c>
      <c r="G174" s="1047" t="s">
        <v>5652</v>
      </c>
      <c r="H174" s="1047" t="s">
        <v>5652</v>
      </c>
      <c r="I174" s="1048" t="s">
        <v>5652</v>
      </c>
      <c r="J174" s="1046" t="s">
        <v>5652</v>
      </c>
      <c r="K174" s="1047" t="s">
        <v>5652</v>
      </c>
      <c r="L174" s="1047" t="s">
        <v>5652</v>
      </c>
      <c r="M174" s="1047" t="s">
        <v>5652</v>
      </c>
      <c r="N174" s="1047" t="s">
        <v>5652</v>
      </c>
      <c r="O174" s="1048" t="s">
        <v>5652</v>
      </c>
      <c r="P174" s="469"/>
      <c r="Q174" s="469"/>
      <c r="R174" s="469"/>
      <c r="S174" s="467"/>
      <c r="T174" s="469"/>
      <c r="U174" s="467"/>
      <c r="V174" s="451"/>
      <c r="W174" s="451"/>
      <c r="X174" s="451"/>
      <c r="Y174" s="451"/>
      <c r="Z174" s="451"/>
      <c r="AA174" s="451"/>
      <c r="AB174" s="425"/>
      <c r="AC174" s="425"/>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5"/>
      <c r="AY174" s="426"/>
    </row>
    <row r="175" spans="2:51" ht="18" customHeight="1">
      <c r="B175" s="1946" t="str">
        <f>+$B$7</f>
        <v>集合形式住宅</v>
      </c>
      <c r="C175" s="430">
        <v>61950</v>
      </c>
      <c r="D175" s="431" t="s">
        <v>1051</v>
      </c>
      <c r="E175" s="432" t="s">
        <v>1051</v>
      </c>
      <c r="F175" s="435">
        <v>50</v>
      </c>
      <c r="G175" s="432">
        <v>1</v>
      </c>
      <c r="H175" s="435">
        <v>45</v>
      </c>
      <c r="I175" s="433">
        <v>0.9</v>
      </c>
      <c r="J175" s="437" t="s">
        <v>375</v>
      </c>
      <c r="K175" s="432">
        <v>1.3</v>
      </c>
      <c r="L175" s="432" t="s">
        <v>324</v>
      </c>
      <c r="M175" s="432">
        <v>1</v>
      </c>
      <c r="N175" s="432" t="s">
        <v>376</v>
      </c>
      <c r="O175" s="433">
        <v>0.7</v>
      </c>
      <c r="P175" s="469"/>
      <c r="Q175" s="469"/>
      <c r="R175" s="469"/>
      <c r="S175" s="467"/>
      <c r="T175" s="469"/>
      <c r="U175" s="467"/>
      <c r="V175" s="451"/>
      <c r="W175" s="451"/>
      <c r="X175" s="451"/>
      <c r="Y175" s="451"/>
      <c r="Z175" s="451"/>
      <c r="AA175" s="451"/>
      <c r="AB175" s="425"/>
      <c r="AC175" s="425"/>
      <c r="AD175" s="425"/>
      <c r="AE175" s="425"/>
      <c r="AF175" s="425"/>
      <c r="AG175" s="425"/>
      <c r="AH175" s="425"/>
      <c r="AI175" s="425"/>
      <c r="AJ175" s="425"/>
      <c r="AK175" s="425"/>
      <c r="AL175" s="425"/>
      <c r="AM175" s="425"/>
      <c r="AN175" s="425"/>
      <c r="AO175" s="425"/>
      <c r="AP175" s="425"/>
      <c r="AQ175" s="425"/>
      <c r="AR175" s="425"/>
      <c r="AS175" s="425"/>
      <c r="AT175" s="425"/>
      <c r="AU175" s="425"/>
      <c r="AV175" s="425"/>
      <c r="AW175" s="425"/>
      <c r="AX175" s="425"/>
      <c r="AY175" s="426"/>
    </row>
    <row r="176" spans="2:51" ht="18" customHeight="1">
      <c r="B176" s="1946" t="str">
        <f>+$B$8</f>
        <v>事務所・店舗</v>
      </c>
      <c r="C176" s="430">
        <v>61950</v>
      </c>
      <c r="D176" s="431" t="s">
        <v>1051</v>
      </c>
      <c r="E176" s="432" t="s">
        <v>1051</v>
      </c>
      <c r="F176" s="435">
        <v>50</v>
      </c>
      <c r="G176" s="432">
        <v>1</v>
      </c>
      <c r="H176" s="435">
        <v>45</v>
      </c>
      <c r="I176" s="433">
        <v>0.9</v>
      </c>
      <c r="J176" s="437" t="s">
        <v>375</v>
      </c>
      <c r="K176" s="432">
        <v>1.3</v>
      </c>
      <c r="L176" s="432" t="s">
        <v>324</v>
      </c>
      <c r="M176" s="432">
        <v>1</v>
      </c>
      <c r="N176" s="432" t="s">
        <v>376</v>
      </c>
      <c r="O176" s="433">
        <v>0.7</v>
      </c>
      <c r="P176" s="469"/>
      <c r="Q176" s="469"/>
      <c r="R176" s="469"/>
      <c r="S176" s="467"/>
      <c r="T176" s="469"/>
      <c r="U176" s="467"/>
      <c r="V176" s="451"/>
      <c r="W176" s="451"/>
      <c r="X176" s="451"/>
      <c r="Y176" s="451"/>
      <c r="Z176" s="451"/>
      <c r="AA176" s="451"/>
      <c r="AB176" s="425"/>
      <c r="AC176" s="425"/>
      <c r="AD176" s="425"/>
      <c r="AE176" s="425"/>
      <c r="AF176" s="425"/>
      <c r="AG176" s="425"/>
      <c r="AH176" s="425"/>
      <c r="AI176" s="425"/>
      <c r="AJ176" s="425"/>
      <c r="AK176" s="425"/>
      <c r="AL176" s="425"/>
      <c r="AM176" s="425"/>
      <c r="AN176" s="425"/>
      <c r="AO176" s="425"/>
      <c r="AP176" s="425"/>
      <c r="AQ176" s="425"/>
      <c r="AR176" s="425"/>
      <c r="AS176" s="425"/>
      <c r="AT176" s="425"/>
      <c r="AU176" s="425"/>
      <c r="AV176" s="425"/>
      <c r="AW176" s="425"/>
      <c r="AX176" s="425"/>
      <c r="AY176" s="426"/>
    </row>
    <row r="177" spans="2:51" ht="18" customHeight="1">
      <c r="B177" s="1946" t="str">
        <f>+$B$9</f>
        <v>病院・ホテル</v>
      </c>
      <c r="C177" s="430">
        <v>61950</v>
      </c>
      <c r="D177" s="431" t="s">
        <v>1051</v>
      </c>
      <c r="E177" s="432" t="s">
        <v>1051</v>
      </c>
      <c r="F177" s="435">
        <v>50</v>
      </c>
      <c r="G177" s="432">
        <v>1</v>
      </c>
      <c r="H177" s="435">
        <v>45</v>
      </c>
      <c r="I177" s="433">
        <v>0.9</v>
      </c>
      <c r="J177" s="437" t="s">
        <v>375</v>
      </c>
      <c r="K177" s="432">
        <v>1.3</v>
      </c>
      <c r="L177" s="432" t="s">
        <v>324</v>
      </c>
      <c r="M177" s="432">
        <v>1</v>
      </c>
      <c r="N177" s="432" t="s">
        <v>376</v>
      </c>
      <c r="O177" s="433">
        <v>0.7</v>
      </c>
      <c r="P177" s="469"/>
      <c r="Q177" s="469"/>
      <c r="R177" s="469"/>
      <c r="S177" s="467"/>
      <c r="T177" s="469"/>
      <c r="U177" s="467"/>
      <c r="V177" s="451"/>
      <c r="W177" s="451"/>
      <c r="X177" s="451"/>
      <c r="Y177" s="451"/>
      <c r="Z177" s="451"/>
      <c r="AA177" s="451"/>
      <c r="AB177" s="425"/>
      <c r="AC177" s="425"/>
      <c r="AD177" s="425"/>
      <c r="AE177" s="425"/>
      <c r="AF177" s="425"/>
      <c r="AG177" s="425"/>
      <c r="AH177" s="425"/>
      <c r="AI177" s="425"/>
      <c r="AJ177" s="425"/>
      <c r="AK177" s="425"/>
      <c r="AL177" s="425"/>
      <c r="AM177" s="425"/>
      <c r="AN177" s="425"/>
      <c r="AO177" s="425"/>
      <c r="AP177" s="425"/>
      <c r="AQ177" s="425"/>
      <c r="AR177" s="425"/>
      <c r="AS177" s="425"/>
      <c r="AT177" s="425"/>
      <c r="AU177" s="425"/>
      <c r="AV177" s="425"/>
      <c r="AW177" s="425"/>
      <c r="AX177" s="425"/>
      <c r="AY177" s="426"/>
    </row>
    <row r="178" spans="2:51" ht="18" customHeight="1">
      <c r="B178" s="1947" t="str">
        <f>+$B$10</f>
        <v>工場・倉庫</v>
      </c>
      <c r="C178" s="430">
        <v>61950</v>
      </c>
      <c r="D178" s="441" t="s">
        <v>1051</v>
      </c>
      <c r="E178" s="442" t="s">
        <v>1051</v>
      </c>
      <c r="F178" s="435">
        <v>50</v>
      </c>
      <c r="G178" s="442">
        <v>1</v>
      </c>
      <c r="H178" s="435">
        <v>45</v>
      </c>
      <c r="I178" s="443">
        <v>0.9</v>
      </c>
      <c r="J178" s="437" t="s">
        <v>375</v>
      </c>
      <c r="K178" s="432">
        <v>1.3</v>
      </c>
      <c r="L178" s="432" t="s">
        <v>324</v>
      </c>
      <c r="M178" s="432">
        <v>1</v>
      </c>
      <c r="N178" s="432" t="s">
        <v>376</v>
      </c>
      <c r="O178" s="433">
        <v>0.7</v>
      </c>
      <c r="P178" s="469"/>
      <c r="Q178" s="469"/>
      <c r="R178" s="469"/>
      <c r="S178" s="467"/>
      <c r="T178" s="469"/>
      <c r="U178" s="467"/>
      <c r="V178" s="451"/>
      <c r="W178" s="451"/>
      <c r="X178" s="451"/>
      <c r="Y178" s="451"/>
      <c r="Z178" s="451"/>
      <c r="AA178" s="451"/>
      <c r="AB178" s="425"/>
      <c r="AC178" s="425"/>
      <c r="AD178" s="425"/>
      <c r="AE178" s="425"/>
      <c r="AF178" s="425"/>
      <c r="AG178" s="425"/>
      <c r="AH178" s="425"/>
      <c r="AI178" s="425"/>
      <c r="AJ178" s="425"/>
      <c r="AK178" s="425"/>
      <c r="AL178" s="425"/>
      <c r="AM178" s="425"/>
      <c r="AN178" s="425"/>
      <c r="AO178" s="425"/>
      <c r="AP178" s="425"/>
      <c r="AQ178" s="425"/>
      <c r="AR178" s="425"/>
      <c r="AS178" s="425"/>
      <c r="AT178" s="425"/>
      <c r="AU178" s="425"/>
      <c r="AV178" s="425"/>
      <c r="AW178" s="425"/>
      <c r="AX178" s="425"/>
      <c r="AY178" s="426"/>
    </row>
    <row r="179" spans="2:51" ht="18" customHeight="1">
      <c r="B179" s="1941" t="s">
        <v>311</v>
      </c>
      <c r="C179" s="1916" t="s">
        <v>5380</v>
      </c>
      <c r="D179" s="1918" t="s">
        <v>1139</v>
      </c>
      <c r="E179" s="1919"/>
      <c r="F179" s="1919"/>
      <c r="G179" s="1919"/>
      <c r="H179" s="1919"/>
      <c r="I179" s="1920"/>
      <c r="J179" s="1918" t="s">
        <v>689</v>
      </c>
      <c r="K179" s="1919"/>
      <c r="L179" s="1919"/>
      <c r="M179" s="1919"/>
      <c r="N179" s="1919"/>
      <c r="O179" s="1920"/>
      <c r="P179" s="1922"/>
      <c r="Q179" s="1923"/>
      <c r="R179" s="468"/>
      <c r="S179" s="465"/>
      <c r="T179" s="468"/>
      <c r="U179" s="465"/>
      <c r="V179" s="455"/>
      <c r="W179" s="455"/>
      <c r="X179" s="455"/>
      <c r="Y179" s="455"/>
      <c r="Z179" s="455"/>
      <c r="AA179" s="455"/>
      <c r="AB179" s="423"/>
      <c r="AC179" s="423"/>
      <c r="AD179" s="423"/>
      <c r="AE179" s="423"/>
      <c r="AF179" s="423"/>
      <c r="AG179" s="423"/>
      <c r="AH179" s="423"/>
      <c r="AI179" s="423"/>
      <c r="AJ179" s="423"/>
      <c r="AK179" s="423"/>
      <c r="AL179" s="423"/>
      <c r="AM179" s="423"/>
      <c r="AN179" s="423"/>
      <c r="AO179" s="423"/>
      <c r="AP179" s="423"/>
      <c r="AQ179" s="423"/>
      <c r="AR179" s="423"/>
      <c r="AS179" s="423"/>
      <c r="AT179" s="423"/>
      <c r="AU179" s="423"/>
      <c r="AV179" s="423"/>
      <c r="AW179" s="423"/>
      <c r="AX179" s="423"/>
      <c r="AY179" s="424"/>
    </row>
    <row r="180" spans="2:51" ht="18" customHeight="1">
      <c r="B180" s="1942"/>
      <c r="C180" s="1907" t="s">
        <v>5381</v>
      </c>
      <c r="D180" s="1908" t="s">
        <v>318</v>
      </c>
      <c r="E180" s="1899"/>
      <c r="F180" s="1901" t="s">
        <v>319</v>
      </c>
      <c r="G180" s="1899"/>
      <c r="H180" s="1901" t="s">
        <v>320</v>
      </c>
      <c r="I180" s="1921"/>
      <c r="J180" s="1924" t="s">
        <v>318</v>
      </c>
      <c r="K180" s="1925"/>
      <c r="L180" s="1926" t="s">
        <v>5672</v>
      </c>
      <c r="M180" s="1925"/>
      <c r="N180" s="1926" t="s">
        <v>5670</v>
      </c>
      <c r="O180" s="1899"/>
      <c r="P180" s="1901" t="s">
        <v>320</v>
      </c>
      <c r="Q180" s="1927"/>
      <c r="R180" s="469"/>
      <c r="S180" s="467"/>
      <c r="T180" s="469"/>
      <c r="U180" s="467"/>
      <c r="V180" s="451"/>
      <c r="W180" s="451"/>
      <c r="X180" s="451"/>
      <c r="Y180" s="451"/>
      <c r="Z180" s="451"/>
      <c r="AA180" s="451"/>
      <c r="AB180" s="425"/>
      <c r="AC180" s="425"/>
      <c r="AD180" s="425"/>
      <c r="AE180" s="425"/>
      <c r="AF180" s="425"/>
      <c r="AG180" s="425"/>
      <c r="AH180" s="425"/>
      <c r="AI180" s="425"/>
      <c r="AJ180" s="425"/>
      <c r="AK180" s="425"/>
      <c r="AL180" s="425"/>
      <c r="AM180" s="425"/>
      <c r="AN180" s="425"/>
      <c r="AO180" s="425"/>
      <c r="AP180" s="425"/>
      <c r="AQ180" s="425"/>
      <c r="AR180" s="425"/>
      <c r="AS180" s="425"/>
      <c r="AT180" s="425"/>
      <c r="AU180" s="425"/>
      <c r="AV180" s="425"/>
      <c r="AW180" s="425"/>
      <c r="AX180" s="425"/>
      <c r="AY180" s="426"/>
    </row>
    <row r="181" spans="2:51" ht="18" customHeight="1">
      <c r="B181" s="1945" t="str">
        <f>+$B$6</f>
        <v>戸建形式住宅</v>
      </c>
      <c r="C181" s="588" t="s">
        <v>23</v>
      </c>
      <c r="D181" s="1046" t="s">
        <v>5652</v>
      </c>
      <c r="E181" s="1047" t="s">
        <v>5652</v>
      </c>
      <c r="F181" s="1047" t="s">
        <v>5652</v>
      </c>
      <c r="G181" s="1047" t="s">
        <v>5652</v>
      </c>
      <c r="H181" s="1047" t="s">
        <v>5652</v>
      </c>
      <c r="I181" s="1048" t="s">
        <v>5652</v>
      </c>
      <c r="J181" s="1046" t="s">
        <v>5652</v>
      </c>
      <c r="K181" s="1047" t="s">
        <v>5652</v>
      </c>
      <c r="L181" s="1047" t="s">
        <v>5652</v>
      </c>
      <c r="M181" s="1047" t="s">
        <v>5652</v>
      </c>
      <c r="N181" s="1047" t="s">
        <v>5652</v>
      </c>
      <c r="O181" s="1047" t="s">
        <v>5652</v>
      </c>
      <c r="P181" s="1055" t="s">
        <v>23</v>
      </c>
      <c r="Q181" s="1048" t="s">
        <v>23</v>
      </c>
      <c r="R181" s="469"/>
      <c r="S181" s="467"/>
      <c r="T181" s="469"/>
      <c r="U181" s="467"/>
      <c r="V181" s="451"/>
      <c r="W181" s="451"/>
      <c r="X181" s="451"/>
      <c r="Y181" s="451"/>
      <c r="Z181" s="451"/>
      <c r="AA181" s="451"/>
      <c r="AB181" s="425"/>
      <c r="AC181" s="425"/>
      <c r="AD181" s="425"/>
      <c r="AE181" s="425"/>
      <c r="AF181" s="425"/>
      <c r="AG181" s="425"/>
      <c r="AH181" s="425"/>
      <c r="AI181" s="425"/>
      <c r="AJ181" s="425"/>
      <c r="AK181" s="425"/>
      <c r="AL181" s="425"/>
      <c r="AM181" s="425"/>
      <c r="AN181" s="425"/>
      <c r="AO181" s="425"/>
      <c r="AP181" s="425"/>
      <c r="AQ181" s="425"/>
      <c r="AR181" s="425"/>
      <c r="AS181" s="425"/>
      <c r="AT181" s="425"/>
      <c r="AU181" s="425"/>
      <c r="AV181" s="425"/>
      <c r="AW181" s="425"/>
      <c r="AX181" s="425"/>
      <c r="AY181" s="426"/>
    </row>
    <row r="182" spans="2:51" ht="18" customHeight="1">
      <c r="B182" s="1946" t="str">
        <f>+$B$7</f>
        <v>集合形式住宅</v>
      </c>
      <c r="C182" s="430">
        <v>78370</v>
      </c>
      <c r="D182" s="1197">
        <v>120</v>
      </c>
      <c r="E182" s="432">
        <v>1.4</v>
      </c>
      <c r="F182" s="435">
        <v>75</v>
      </c>
      <c r="G182" s="432">
        <v>1</v>
      </c>
      <c r="H182" s="435">
        <v>60</v>
      </c>
      <c r="I182" s="433">
        <v>0.9</v>
      </c>
      <c r="J182" s="437" t="s">
        <v>375</v>
      </c>
      <c r="K182" s="432">
        <v>2</v>
      </c>
      <c r="L182" s="559" t="s">
        <v>5672</v>
      </c>
      <c r="M182" s="432">
        <v>1</v>
      </c>
      <c r="N182" s="559" t="s">
        <v>5670</v>
      </c>
      <c r="O182" s="432">
        <v>0.9</v>
      </c>
      <c r="P182" s="432" t="s">
        <v>376</v>
      </c>
      <c r="Q182" s="433">
        <v>0.7</v>
      </c>
      <c r="R182" s="469"/>
      <c r="S182" s="467"/>
      <c r="T182" s="469"/>
      <c r="U182" s="467"/>
      <c r="V182" s="451"/>
      <c r="W182" s="451"/>
      <c r="X182" s="451"/>
      <c r="Y182" s="451"/>
      <c r="Z182" s="451"/>
      <c r="AA182" s="451"/>
      <c r="AB182" s="425"/>
      <c r="AC182" s="425"/>
      <c r="AD182" s="425"/>
      <c r="AE182" s="425"/>
      <c r="AF182" s="425"/>
      <c r="AG182" s="425"/>
      <c r="AH182" s="425"/>
      <c r="AI182" s="425"/>
      <c r="AJ182" s="425"/>
      <c r="AK182" s="425"/>
      <c r="AL182" s="425"/>
      <c r="AM182" s="425"/>
      <c r="AN182" s="425"/>
      <c r="AO182" s="425"/>
      <c r="AP182" s="425"/>
      <c r="AQ182" s="425"/>
      <c r="AR182" s="425"/>
      <c r="AS182" s="425"/>
      <c r="AT182" s="425"/>
      <c r="AU182" s="425"/>
      <c r="AV182" s="425"/>
      <c r="AW182" s="425"/>
      <c r="AX182" s="425"/>
      <c r="AY182" s="426"/>
    </row>
    <row r="183" spans="2:51" ht="18" customHeight="1">
      <c r="B183" s="1946" t="str">
        <f>+$B$8</f>
        <v>事務所・店舗</v>
      </c>
      <c r="C183" s="430">
        <v>78370</v>
      </c>
      <c r="D183" s="1197">
        <v>120</v>
      </c>
      <c r="E183" s="432">
        <v>1.4</v>
      </c>
      <c r="F183" s="435">
        <v>75</v>
      </c>
      <c r="G183" s="432">
        <v>1</v>
      </c>
      <c r="H183" s="435">
        <v>60</v>
      </c>
      <c r="I183" s="433">
        <v>0.9</v>
      </c>
      <c r="J183" s="1204" t="s">
        <v>375</v>
      </c>
      <c r="K183" s="428">
        <v>2</v>
      </c>
      <c r="L183" s="1071" t="s">
        <v>5672</v>
      </c>
      <c r="M183" s="428">
        <v>1</v>
      </c>
      <c r="N183" s="1071" t="s">
        <v>5670</v>
      </c>
      <c r="O183" s="428">
        <v>0.9</v>
      </c>
      <c r="P183" s="428" t="s">
        <v>376</v>
      </c>
      <c r="Q183" s="429">
        <v>0.7</v>
      </c>
      <c r="R183" s="469"/>
      <c r="S183" s="467"/>
      <c r="T183" s="469"/>
      <c r="U183" s="467"/>
      <c r="V183" s="451"/>
      <c r="W183" s="451"/>
      <c r="X183" s="451"/>
      <c r="Y183" s="451"/>
      <c r="Z183" s="451"/>
      <c r="AA183" s="451"/>
      <c r="AB183" s="425"/>
      <c r="AC183" s="425"/>
      <c r="AD183" s="425"/>
      <c r="AE183" s="425"/>
      <c r="AF183" s="425"/>
      <c r="AG183" s="425"/>
      <c r="AH183" s="425"/>
      <c r="AI183" s="425"/>
      <c r="AJ183" s="425"/>
      <c r="AK183" s="425"/>
      <c r="AL183" s="425"/>
      <c r="AM183" s="425"/>
      <c r="AN183" s="425"/>
      <c r="AO183" s="425"/>
      <c r="AP183" s="425"/>
      <c r="AQ183" s="425"/>
      <c r="AR183" s="425"/>
      <c r="AS183" s="425"/>
      <c r="AT183" s="425"/>
      <c r="AU183" s="425"/>
      <c r="AV183" s="425"/>
      <c r="AW183" s="425"/>
      <c r="AX183" s="425"/>
      <c r="AY183" s="426"/>
    </row>
    <row r="184" spans="2:51" ht="18" customHeight="1">
      <c r="B184" s="1946" t="str">
        <f>+$B$9</f>
        <v>病院・ホテル</v>
      </c>
      <c r="C184" s="1205">
        <f>+C182</f>
        <v>78370</v>
      </c>
      <c r="D184" s="1206">
        <f t="shared" ref="D184:O184" si="4">+D182</f>
        <v>120</v>
      </c>
      <c r="E184" s="1207">
        <f t="shared" si="4"/>
        <v>1.4</v>
      </c>
      <c r="F184" s="1208">
        <f t="shared" si="4"/>
        <v>75</v>
      </c>
      <c r="G184" s="1207">
        <f t="shared" si="4"/>
        <v>1</v>
      </c>
      <c r="H184" s="1208">
        <f t="shared" si="4"/>
        <v>60</v>
      </c>
      <c r="I184" s="433">
        <f t="shared" si="4"/>
        <v>0.9</v>
      </c>
      <c r="J184" s="1209" t="str">
        <f t="shared" si="4"/>
        <v>良い</v>
      </c>
      <c r="K184" s="1207">
        <f t="shared" si="4"/>
        <v>2</v>
      </c>
      <c r="L184" s="1207" t="str">
        <f t="shared" si="4"/>
        <v>普通(ｼｬﾜｰ有)</v>
      </c>
      <c r="M184" s="1207">
        <f t="shared" si="4"/>
        <v>1</v>
      </c>
      <c r="N184" s="1207" t="str">
        <f t="shared" ref="N184" si="5">+N182</f>
        <v>普通(ｼｬﾜｰ無)</v>
      </c>
      <c r="O184" s="1207">
        <f t="shared" si="4"/>
        <v>0.9</v>
      </c>
      <c r="P184" s="1207" t="str">
        <f t="shared" ref="P184:Q184" si="6">+P182</f>
        <v>悪い</v>
      </c>
      <c r="Q184" s="1210">
        <f t="shared" si="6"/>
        <v>0.7</v>
      </c>
      <c r="R184" s="469"/>
      <c r="S184" s="467"/>
      <c r="T184" s="469"/>
      <c r="U184" s="467"/>
      <c r="V184" s="451"/>
      <c r="W184" s="451"/>
      <c r="X184" s="451"/>
      <c r="Y184" s="451"/>
      <c r="Z184" s="451"/>
      <c r="AA184" s="451"/>
      <c r="AB184" s="425"/>
      <c r="AC184" s="425"/>
      <c r="AD184" s="425"/>
      <c r="AE184" s="425"/>
      <c r="AF184" s="425"/>
      <c r="AG184" s="425"/>
      <c r="AH184" s="425"/>
      <c r="AI184" s="425"/>
      <c r="AJ184" s="425"/>
      <c r="AK184" s="425"/>
      <c r="AL184" s="425"/>
      <c r="AM184" s="425"/>
      <c r="AN184" s="425"/>
      <c r="AO184" s="425"/>
      <c r="AP184" s="425"/>
      <c r="AQ184" s="425"/>
      <c r="AR184" s="425"/>
      <c r="AS184" s="425"/>
      <c r="AT184" s="425"/>
      <c r="AU184" s="425"/>
      <c r="AV184" s="425"/>
      <c r="AW184" s="425"/>
      <c r="AX184" s="425"/>
      <c r="AY184" s="426"/>
    </row>
    <row r="185" spans="2:51" ht="18" customHeight="1">
      <c r="B185" s="1947" t="str">
        <f>+$B$10</f>
        <v>工場・倉庫</v>
      </c>
      <c r="C185" s="1211">
        <f>+C182</f>
        <v>78370</v>
      </c>
      <c r="D185" s="1212">
        <f t="shared" ref="D185:O185" si="7">+D182</f>
        <v>120</v>
      </c>
      <c r="E185" s="1213">
        <f t="shared" si="7"/>
        <v>1.4</v>
      </c>
      <c r="F185" s="1214">
        <f t="shared" si="7"/>
        <v>75</v>
      </c>
      <c r="G185" s="1213">
        <f t="shared" si="7"/>
        <v>1</v>
      </c>
      <c r="H185" s="1214">
        <f t="shared" si="7"/>
        <v>60</v>
      </c>
      <c r="I185" s="443">
        <f t="shared" si="7"/>
        <v>0.9</v>
      </c>
      <c r="J185" s="1209" t="str">
        <f t="shared" si="7"/>
        <v>良い</v>
      </c>
      <c r="K185" s="1207">
        <f t="shared" si="7"/>
        <v>2</v>
      </c>
      <c r="L185" s="1207" t="str">
        <f t="shared" si="7"/>
        <v>普通(ｼｬﾜｰ有)</v>
      </c>
      <c r="M185" s="1207">
        <f t="shared" si="7"/>
        <v>1</v>
      </c>
      <c r="N185" s="1207" t="str">
        <f t="shared" ref="N185" si="8">+N182</f>
        <v>普通(ｼｬﾜｰ無)</v>
      </c>
      <c r="O185" s="1215">
        <f t="shared" si="7"/>
        <v>0.9</v>
      </c>
      <c r="P185" s="1215" t="str">
        <f t="shared" ref="P185:Q185" si="9">+P182</f>
        <v>悪い</v>
      </c>
      <c r="Q185" s="1210">
        <f t="shared" si="9"/>
        <v>0.7</v>
      </c>
      <c r="R185" s="469"/>
      <c r="S185" s="467"/>
      <c r="T185" s="469"/>
      <c r="U185" s="467"/>
      <c r="V185" s="451"/>
      <c r="W185" s="451"/>
      <c r="X185" s="451"/>
      <c r="Y185" s="451"/>
      <c r="Z185" s="451"/>
      <c r="AA185" s="451"/>
      <c r="AB185" s="425"/>
      <c r="AC185" s="425"/>
      <c r="AD185" s="425"/>
      <c r="AE185" s="425"/>
      <c r="AF185" s="425"/>
      <c r="AG185" s="425"/>
      <c r="AH185" s="425"/>
      <c r="AI185" s="425"/>
      <c r="AJ185" s="425"/>
      <c r="AK185" s="425"/>
      <c r="AL185" s="425"/>
      <c r="AM185" s="425"/>
      <c r="AN185" s="425"/>
      <c r="AO185" s="425"/>
      <c r="AP185" s="425"/>
      <c r="AQ185" s="425"/>
      <c r="AR185" s="425"/>
      <c r="AS185" s="425"/>
      <c r="AT185" s="425"/>
      <c r="AU185" s="425"/>
      <c r="AV185" s="425"/>
      <c r="AW185" s="425"/>
      <c r="AX185" s="425"/>
      <c r="AY185" s="426"/>
    </row>
    <row r="186" spans="2:51" ht="18" customHeight="1">
      <c r="B186" s="1941" t="s">
        <v>311</v>
      </c>
      <c r="C186" s="1928" t="s">
        <v>1522</v>
      </c>
      <c r="D186" s="1918" t="s">
        <v>1523</v>
      </c>
      <c r="E186" s="1919"/>
      <c r="F186" s="1919"/>
      <c r="G186" s="1919"/>
      <c r="H186" s="1919"/>
      <c r="I186" s="1920"/>
      <c r="J186" s="1918" t="s">
        <v>1524</v>
      </c>
      <c r="K186" s="1919"/>
      <c r="L186" s="1919"/>
      <c r="M186" s="1919"/>
      <c r="N186" s="1919"/>
      <c r="O186" s="1920"/>
      <c r="P186" s="468"/>
      <c r="Q186" s="468"/>
      <c r="R186" s="468"/>
      <c r="S186" s="465"/>
      <c r="T186" s="468"/>
      <c r="U186" s="465"/>
      <c r="V186" s="455"/>
      <c r="W186" s="455"/>
      <c r="X186" s="455"/>
      <c r="Y186" s="455"/>
      <c r="Z186" s="455"/>
      <c r="AA186" s="455"/>
      <c r="AB186" s="423"/>
      <c r="AC186" s="423"/>
      <c r="AD186" s="423"/>
      <c r="AE186" s="423"/>
      <c r="AF186" s="423"/>
      <c r="AG186" s="423"/>
      <c r="AH186" s="423"/>
      <c r="AI186" s="423"/>
      <c r="AJ186" s="423"/>
      <c r="AK186" s="423"/>
      <c r="AL186" s="423"/>
      <c r="AM186" s="423"/>
      <c r="AN186" s="423"/>
      <c r="AO186" s="423"/>
      <c r="AP186" s="423"/>
      <c r="AQ186" s="423"/>
      <c r="AR186" s="423"/>
      <c r="AS186" s="423"/>
      <c r="AT186" s="423"/>
      <c r="AU186" s="423"/>
      <c r="AV186" s="423"/>
      <c r="AW186" s="423"/>
      <c r="AX186" s="423"/>
      <c r="AY186" s="424"/>
    </row>
    <row r="187" spans="2:51" ht="18" customHeight="1">
      <c r="B187" s="1942"/>
      <c r="C187" s="1907" t="s">
        <v>371</v>
      </c>
      <c r="D187" s="1908" t="s">
        <v>318</v>
      </c>
      <c r="E187" s="1899"/>
      <c r="F187" s="1901" t="s">
        <v>319</v>
      </c>
      <c r="G187" s="1899"/>
      <c r="H187" s="1901" t="s">
        <v>320</v>
      </c>
      <c r="I187" s="1921"/>
      <c r="J187" s="1908" t="s">
        <v>318</v>
      </c>
      <c r="K187" s="1899"/>
      <c r="L187" s="1901" t="s">
        <v>319</v>
      </c>
      <c r="M187" s="1899"/>
      <c r="N187" s="1901" t="s">
        <v>320</v>
      </c>
      <c r="O187" s="1921"/>
      <c r="P187" s="581" t="s">
        <v>5708</v>
      </c>
      <c r="Q187" s="469"/>
      <c r="R187" s="469"/>
      <c r="S187" s="467"/>
      <c r="T187" s="469"/>
      <c r="U187" s="467"/>
      <c r="V187" s="451"/>
      <c r="W187" s="451"/>
      <c r="X187" s="451"/>
      <c r="Y187" s="451"/>
      <c r="Z187" s="451"/>
      <c r="AA187" s="451"/>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5"/>
      <c r="AY187" s="426"/>
    </row>
    <row r="188" spans="2:51" ht="18" customHeight="1">
      <c r="B188" s="1945" t="str">
        <f>+$B$6</f>
        <v>戸建形式住宅</v>
      </c>
      <c r="C188" s="588" t="s">
        <v>23</v>
      </c>
      <c r="D188" s="1046" t="s">
        <v>5652</v>
      </c>
      <c r="E188" s="1047" t="s">
        <v>5652</v>
      </c>
      <c r="F188" s="1047" t="s">
        <v>5652</v>
      </c>
      <c r="G188" s="1047" t="s">
        <v>5652</v>
      </c>
      <c r="H188" s="1047" t="s">
        <v>5652</v>
      </c>
      <c r="I188" s="1048" t="s">
        <v>5652</v>
      </c>
      <c r="J188" s="1046" t="s">
        <v>5652</v>
      </c>
      <c r="K188" s="1047" t="s">
        <v>5652</v>
      </c>
      <c r="L188" s="1047" t="s">
        <v>5652</v>
      </c>
      <c r="M188" s="1047" t="s">
        <v>5652</v>
      </c>
      <c r="N188" s="1047" t="s">
        <v>5652</v>
      </c>
      <c r="O188" s="1048" t="s">
        <v>5652</v>
      </c>
      <c r="P188" s="469"/>
      <c r="Q188" s="469"/>
      <c r="R188" s="469"/>
      <c r="S188" s="467"/>
      <c r="T188" s="469"/>
      <c r="U188" s="467"/>
      <c r="V188" s="451"/>
      <c r="W188" s="451"/>
      <c r="X188" s="451"/>
      <c r="Y188" s="451"/>
      <c r="Z188" s="451"/>
      <c r="AA188" s="451"/>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25"/>
      <c r="AY188" s="426"/>
    </row>
    <row r="189" spans="2:51" ht="18" customHeight="1">
      <c r="B189" s="1946" t="str">
        <f>+$B$7</f>
        <v>集合形式住宅</v>
      </c>
      <c r="C189" s="430">
        <v>325860</v>
      </c>
      <c r="D189" s="431" t="s">
        <v>372</v>
      </c>
      <c r="E189" s="432">
        <v>1.5</v>
      </c>
      <c r="F189" s="432" t="s">
        <v>373</v>
      </c>
      <c r="G189" s="432">
        <v>1</v>
      </c>
      <c r="H189" s="432" t="s">
        <v>374</v>
      </c>
      <c r="I189" s="433">
        <v>0.8</v>
      </c>
      <c r="J189" s="437" t="s">
        <v>375</v>
      </c>
      <c r="K189" s="432">
        <v>1.5</v>
      </c>
      <c r="L189" s="432" t="s">
        <v>324</v>
      </c>
      <c r="M189" s="432">
        <v>1</v>
      </c>
      <c r="N189" s="432" t="s">
        <v>376</v>
      </c>
      <c r="O189" s="433">
        <v>0.9</v>
      </c>
      <c r="P189" s="469"/>
      <c r="Q189" s="469"/>
      <c r="R189" s="469"/>
      <c r="S189" s="467"/>
      <c r="T189" s="469"/>
      <c r="U189" s="467"/>
      <c r="V189" s="451"/>
      <c r="W189" s="451"/>
      <c r="X189" s="451"/>
      <c r="Y189" s="451"/>
      <c r="Z189" s="451"/>
      <c r="AA189" s="451"/>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25"/>
      <c r="AY189" s="426"/>
    </row>
    <row r="190" spans="2:51" ht="18" customHeight="1">
      <c r="B190" s="1946" t="str">
        <f>+$B$8</f>
        <v>事務所・店舗</v>
      </c>
      <c r="C190" s="430">
        <v>325860</v>
      </c>
      <c r="D190" s="431" t="s">
        <v>372</v>
      </c>
      <c r="E190" s="432">
        <v>1.5</v>
      </c>
      <c r="F190" s="432" t="s">
        <v>373</v>
      </c>
      <c r="G190" s="432">
        <v>1</v>
      </c>
      <c r="H190" s="432" t="s">
        <v>374</v>
      </c>
      <c r="I190" s="433">
        <v>0.8</v>
      </c>
      <c r="J190" s="1204" t="s">
        <v>375</v>
      </c>
      <c r="K190" s="428">
        <v>1.5</v>
      </c>
      <c r="L190" s="428" t="s">
        <v>324</v>
      </c>
      <c r="M190" s="428">
        <v>1</v>
      </c>
      <c r="N190" s="428" t="s">
        <v>376</v>
      </c>
      <c r="O190" s="429">
        <v>0.9</v>
      </c>
      <c r="P190" s="469"/>
      <c r="Q190" s="469"/>
      <c r="R190" s="469"/>
      <c r="S190" s="467"/>
      <c r="T190" s="469"/>
      <c r="U190" s="467"/>
      <c r="V190" s="451"/>
      <c r="W190" s="451"/>
      <c r="X190" s="451"/>
      <c r="Y190" s="451"/>
      <c r="Z190" s="451"/>
      <c r="AA190" s="451"/>
      <c r="AB190" s="425"/>
      <c r="AC190" s="425"/>
      <c r="AD190" s="425"/>
      <c r="AE190" s="425"/>
      <c r="AF190" s="425"/>
      <c r="AG190" s="425"/>
      <c r="AH190" s="425"/>
      <c r="AI190" s="425"/>
      <c r="AJ190" s="425"/>
      <c r="AK190" s="425"/>
      <c r="AL190" s="425"/>
      <c r="AM190" s="425"/>
      <c r="AN190" s="425"/>
      <c r="AO190" s="425"/>
      <c r="AP190" s="425"/>
      <c r="AQ190" s="425"/>
      <c r="AR190" s="425"/>
      <c r="AS190" s="425"/>
      <c r="AT190" s="425"/>
      <c r="AU190" s="425"/>
      <c r="AV190" s="425"/>
      <c r="AW190" s="425"/>
      <c r="AX190" s="425"/>
      <c r="AY190" s="426"/>
    </row>
    <row r="191" spans="2:51" ht="18" customHeight="1">
      <c r="B191" s="1946" t="str">
        <f>+$B$9</f>
        <v>病院・ホテル</v>
      </c>
      <c r="C191" s="430">
        <v>325860</v>
      </c>
      <c r="D191" s="431" t="s">
        <v>372</v>
      </c>
      <c r="E191" s="432">
        <v>1.5</v>
      </c>
      <c r="F191" s="432" t="s">
        <v>373</v>
      </c>
      <c r="G191" s="432">
        <v>1</v>
      </c>
      <c r="H191" s="432" t="s">
        <v>374</v>
      </c>
      <c r="I191" s="433">
        <v>0.8</v>
      </c>
      <c r="J191" s="437" t="s">
        <v>375</v>
      </c>
      <c r="K191" s="432">
        <v>1.5</v>
      </c>
      <c r="L191" s="432" t="s">
        <v>324</v>
      </c>
      <c r="M191" s="432">
        <v>1</v>
      </c>
      <c r="N191" s="432" t="s">
        <v>376</v>
      </c>
      <c r="O191" s="433">
        <v>0.9</v>
      </c>
      <c r="P191" s="469"/>
      <c r="Q191" s="469"/>
      <c r="R191" s="469"/>
      <c r="S191" s="467"/>
      <c r="T191" s="469"/>
      <c r="U191" s="467"/>
      <c r="V191" s="451"/>
      <c r="W191" s="451"/>
      <c r="X191" s="451"/>
      <c r="Y191" s="451"/>
      <c r="Z191" s="451"/>
      <c r="AA191" s="451"/>
      <c r="AB191" s="425"/>
      <c r="AC191" s="425"/>
      <c r="AD191" s="425"/>
      <c r="AE191" s="425"/>
      <c r="AF191" s="425"/>
      <c r="AG191" s="425"/>
      <c r="AH191" s="425"/>
      <c r="AI191" s="425"/>
      <c r="AJ191" s="425"/>
      <c r="AK191" s="425"/>
      <c r="AL191" s="425"/>
      <c r="AM191" s="425"/>
      <c r="AN191" s="425"/>
      <c r="AO191" s="425"/>
      <c r="AP191" s="425"/>
      <c r="AQ191" s="425"/>
      <c r="AR191" s="425"/>
      <c r="AS191" s="425"/>
      <c r="AT191" s="425"/>
      <c r="AU191" s="425"/>
      <c r="AV191" s="425"/>
      <c r="AW191" s="425"/>
      <c r="AX191" s="425"/>
      <c r="AY191" s="426"/>
    </row>
    <row r="192" spans="2:51" ht="18" customHeight="1">
      <c r="B192" s="1947" t="str">
        <f>+$B$10</f>
        <v>工場・倉庫</v>
      </c>
      <c r="C192" s="430">
        <v>325860</v>
      </c>
      <c r="D192" s="441" t="s">
        <v>372</v>
      </c>
      <c r="E192" s="442">
        <v>1.5</v>
      </c>
      <c r="F192" s="442" t="s">
        <v>373</v>
      </c>
      <c r="G192" s="442">
        <v>1</v>
      </c>
      <c r="H192" s="442" t="s">
        <v>374</v>
      </c>
      <c r="I192" s="443">
        <v>0.8</v>
      </c>
      <c r="J192" s="437" t="s">
        <v>375</v>
      </c>
      <c r="K192" s="432">
        <v>1.5</v>
      </c>
      <c r="L192" s="432" t="s">
        <v>324</v>
      </c>
      <c r="M192" s="432">
        <v>1</v>
      </c>
      <c r="N192" s="432" t="s">
        <v>376</v>
      </c>
      <c r="O192" s="433">
        <v>0.9</v>
      </c>
      <c r="P192" s="469"/>
      <c r="Q192" s="469"/>
      <c r="R192" s="469"/>
      <c r="S192" s="467"/>
      <c r="T192" s="469"/>
      <c r="U192" s="467"/>
      <c r="V192" s="451"/>
      <c r="W192" s="451"/>
      <c r="X192" s="451"/>
      <c r="Y192" s="451"/>
      <c r="Z192" s="451"/>
      <c r="AA192" s="451"/>
      <c r="AB192" s="425"/>
      <c r="AC192" s="425"/>
      <c r="AD192" s="425"/>
      <c r="AE192" s="425"/>
      <c r="AF192" s="425"/>
      <c r="AG192" s="425"/>
      <c r="AH192" s="425"/>
      <c r="AI192" s="425"/>
      <c r="AJ192" s="425"/>
      <c r="AK192" s="425"/>
      <c r="AL192" s="425"/>
      <c r="AM192" s="425"/>
      <c r="AN192" s="425"/>
      <c r="AO192" s="425"/>
      <c r="AP192" s="425"/>
      <c r="AQ192" s="425"/>
      <c r="AR192" s="425"/>
      <c r="AS192" s="425"/>
      <c r="AT192" s="425"/>
      <c r="AU192" s="425"/>
      <c r="AV192" s="425"/>
      <c r="AW192" s="425"/>
      <c r="AX192" s="425"/>
      <c r="AY192" s="426"/>
    </row>
    <row r="193" spans="2:51" ht="18" customHeight="1">
      <c r="B193" s="1941" t="s">
        <v>311</v>
      </c>
      <c r="C193" s="1928" t="s">
        <v>1525</v>
      </c>
      <c r="D193" s="1929" t="s">
        <v>1526</v>
      </c>
      <c r="E193" s="1930"/>
      <c r="F193" s="1885"/>
      <c r="G193" s="1885"/>
      <c r="H193" s="1885"/>
      <c r="I193" s="1893"/>
      <c r="J193" s="1931" t="s">
        <v>1527</v>
      </c>
      <c r="K193" s="1930"/>
      <c r="L193" s="1885"/>
      <c r="M193" s="1885"/>
      <c r="N193" s="1885"/>
      <c r="O193" s="1893"/>
      <c r="P193" s="468"/>
      <c r="Q193" s="468"/>
      <c r="R193" s="468"/>
      <c r="S193" s="465"/>
      <c r="T193" s="468"/>
      <c r="U193" s="465"/>
      <c r="V193" s="455"/>
      <c r="W193" s="455"/>
      <c r="X193" s="455"/>
      <c r="Y193" s="455"/>
      <c r="Z193" s="455"/>
      <c r="AA193" s="455"/>
      <c r="AB193" s="423"/>
      <c r="AC193" s="423"/>
      <c r="AD193" s="423"/>
      <c r="AE193" s="423"/>
      <c r="AF193" s="423"/>
      <c r="AG193" s="423"/>
      <c r="AH193" s="423"/>
      <c r="AI193" s="423"/>
      <c r="AJ193" s="423"/>
      <c r="AK193" s="423"/>
      <c r="AL193" s="423"/>
      <c r="AM193" s="423"/>
      <c r="AN193" s="423"/>
      <c r="AO193" s="423"/>
      <c r="AP193" s="423"/>
      <c r="AQ193" s="423"/>
      <c r="AR193" s="423"/>
      <c r="AS193" s="423"/>
      <c r="AT193" s="423"/>
      <c r="AU193" s="423"/>
      <c r="AV193" s="423"/>
      <c r="AW193" s="423"/>
      <c r="AX193" s="423"/>
      <c r="AY193" s="424"/>
    </row>
    <row r="194" spans="2:51" ht="18" customHeight="1">
      <c r="B194" s="1942"/>
      <c r="C194" s="1907" t="s">
        <v>377</v>
      </c>
      <c r="D194" s="1908" t="s">
        <v>318</v>
      </c>
      <c r="E194" s="1899"/>
      <c r="F194" s="1901" t="s">
        <v>319</v>
      </c>
      <c r="G194" s="1899"/>
      <c r="H194" s="1901" t="s">
        <v>320</v>
      </c>
      <c r="I194" s="1921"/>
      <c r="J194" s="1908" t="s">
        <v>318</v>
      </c>
      <c r="K194" s="1899"/>
      <c r="L194" s="1901" t="s">
        <v>319</v>
      </c>
      <c r="M194" s="1899"/>
      <c r="N194" s="1901" t="s">
        <v>320</v>
      </c>
      <c r="O194" s="1921"/>
      <c r="P194" s="581" t="s">
        <v>5708</v>
      </c>
      <c r="Q194" s="469"/>
      <c r="R194" s="469"/>
      <c r="S194" s="467"/>
      <c r="T194" s="469"/>
      <c r="U194" s="467"/>
      <c r="V194" s="451"/>
      <c r="W194" s="451"/>
      <c r="X194" s="451"/>
      <c r="Y194" s="451"/>
      <c r="Z194" s="451"/>
      <c r="AA194" s="451"/>
      <c r="AB194" s="425"/>
      <c r="AC194" s="425"/>
      <c r="AD194" s="425"/>
      <c r="AE194" s="425"/>
      <c r="AF194" s="425"/>
      <c r="AG194" s="425"/>
      <c r="AH194" s="425"/>
      <c r="AI194" s="425"/>
      <c r="AJ194" s="425"/>
      <c r="AK194" s="425"/>
      <c r="AL194" s="425"/>
      <c r="AM194" s="425"/>
      <c r="AN194" s="425"/>
      <c r="AO194" s="425"/>
      <c r="AP194" s="425"/>
      <c r="AQ194" s="425"/>
      <c r="AR194" s="425"/>
      <c r="AS194" s="425"/>
      <c r="AT194" s="425"/>
      <c r="AU194" s="425"/>
      <c r="AV194" s="425"/>
      <c r="AW194" s="425"/>
      <c r="AX194" s="425"/>
      <c r="AY194" s="426"/>
    </row>
    <row r="195" spans="2:51" ht="18" customHeight="1">
      <c r="B195" s="1945" t="str">
        <f>+$B$6</f>
        <v>戸建形式住宅</v>
      </c>
      <c r="C195" s="588" t="s">
        <v>23</v>
      </c>
      <c r="D195" s="1046" t="s">
        <v>5652</v>
      </c>
      <c r="E195" s="1047" t="s">
        <v>5652</v>
      </c>
      <c r="F195" s="1047" t="s">
        <v>5652</v>
      </c>
      <c r="G195" s="1047" t="s">
        <v>5652</v>
      </c>
      <c r="H195" s="1047" t="s">
        <v>5652</v>
      </c>
      <c r="I195" s="1048" t="s">
        <v>5652</v>
      </c>
      <c r="J195" s="1046" t="s">
        <v>5652</v>
      </c>
      <c r="K195" s="1047" t="s">
        <v>5652</v>
      </c>
      <c r="L195" s="1047" t="s">
        <v>5652</v>
      </c>
      <c r="M195" s="1047" t="s">
        <v>5652</v>
      </c>
      <c r="N195" s="1047" t="s">
        <v>5652</v>
      </c>
      <c r="O195" s="1048" t="s">
        <v>5652</v>
      </c>
      <c r="P195" s="469"/>
      <c r="Q195" s="469"/>
      <c r="R195" s="469"/>
      <c r="S195" s="467"/>
      <c r="T195" s="469"/>
      <c r="U195" s="467"/>
      <c r="V195" s="451"/>
      <c r="W195" s="451"/>
      <c r="X195" s="451"/>
      <c r="Y195" s="451"/>
      <c r="Z195" s="451"/>
      <c r="AA195" s="451"/>
      <c r="AB195" s="425"/>
      <c r="AC195" s="425"/>
      <c r="AD195" s="425"/>
      <c r="AE195" s="425"/>
      <c r="AF195" s="425"/>
      <c r="AG195" s="425"/>
      <c r="AH195" s="425"/>
      <c r="AI195" s="425"/>
      <c r="AJ195" s="425"/>
      <c r="AK195" s="425"/>
      <c r="AL195" s="425"/>
      <c r="AM195" s="425"/>
      <c r="AN195" s="425"/>
      <c r="AO195" s="425"/>
      <c r="AP195" s="425"/>
      <c r="AQ195" s="425"/>
      <c r="AR195" s="425"/>
      <c r="AS195" s="425"/>
      <c r="AT195" s="425"/>
      <c r="AU195" s="425"/>
      <c r="AV195" s="425"/>
      <c r="AW195" s="425"/>
      <c r="AX195" s="425"/>
      <c r="AY195" s="426"/>
    </row>
    <row r="196" spans="2:51" ht="18" customHeight="1">
      <c r="B196" s="1946" t="str">
        <f>+$B$7</f>
        <v>集合形式住宅</v>
      </c>
      <c r="C196" s="430">
        <v>63360</v>
      </c>
      <c r="D196" s="431" t="s">
        <v>372</v>
      </c>
      <c r="E196" s="432">
        <v>1.5</v>
      </c>
      <c r="F196" s="432" t="s">
        <v>373</v>
      </c>
      <c r="G196" s="432">
        <v>1</v>
      </c>
      <c r="H196" s="432" t="s">
        <v>374</v>
      </c>
      <c r="I196" s="433">
        <v>0.8</v>
      </c>
      <c r="J196" s="437" t="s">
        <v>375</v>
      </c>
      <c r="K196" s="432">
        <v>1.5</v>
      </c>
      <c r="L196" s="432" t="s">
        <v>324</v>
      </c>
      <c r="M196" s="432">
        <v>1</v>
      </c>
      <c r="N196" s="432" t="s">
        <v>376</v>
      </c>
      <c r="O196" s="433">
        <v>0.9</v>
      </c>
      <c r="P196" s="469"/>
      <c r="Q196" s="469"/>
      <c r="R196" s="469"/>
      <c r="S196" s="467"/>
      <c r="T196" s="469"/>
      <c r="U196" s="467"/>
      <c r="V196" s="451"/>
      <c r="W196" s="451"/>
      <c r="X196" s="451"/>
      <c r="Y196" s="451"/>
      <c r="Z196" s="451"/>
      <c r="AA196" s="451"/>
      <c r="AB196" s="425"/>
      <c r="AC196" s="425"/>
      <c r="AD196" s="425"/>
      <c r="AE196" s="425"/>
      <c r="AF196" s="425"/>
      <c r="AG196" s="425"/>
      <c r="AH196" s="425"/>
      <c r="AI196" s="425"/>
      <c r="AJ196" s="425"/>
      <c r="AK196" s="425"/>
      <c r="AL196" s="425"/>
      <c r="AM196" s="425"/>
      <c r="AN196" s="425"/>
      <c r="AO196" s="425"/>
      <c r="AP196" s="425"/>
      <c r="AQ196" s="425"/>
      <c r="AR196" s="425"/>
      <c r="AS196" s="425"/>
      <c r="AT196" s="425"/>
      <c r="AU196" s="425"/>
      <c r="AV196" s="425"/>
      <c r="AW196" s="425"/>
      <c r="AX196" s="425"/>
      <c r="AY196" s="426"/>
    </row>
    <row r="197" spans="2:51" ht="18" customHeight="1">
      <c r="B197" s="1946" t="str">
        <f>+$B$8</f>
        <v>事務所・店舗</v>
      </c>
      <c r="C197" s="430">
        <v>63360</v>
      </c>
      <c r="D197" s="431" t="s">
        <v>372</v>
      </c>
      <c r="E197" s="432">
        <v>1.5</v>
      </c>
      <c r="F197" s="432" t="s">
        <v>373</v>
      </c>
      <c r="G197" s="432">
        <v>1</v>
      </c>
      <c r="H197" s="432" t="s">
        <v>374</v>
      </c>
      <c r="I197" s="433">
        <v>0.8</v>
      </c>
      <c r="J197" s="1204" t="s">
        <v>375</v>
      </c>
      <c r="K197" s="428">
        <v>1.5</v>
      </c>
      <c r="L197" s="428" t="s">
        <v>324</v>
      </c>
      <c r="M197" s="428">
        <v>1</v>
      </c>
      <c r="N197" s="428" t="s">
        <v>376</v>
      </c>
      <c r="O197" s="429">
        <v>0.9</v>
      </c>
      <c r="P197" s="469"/>
      <c r="Q197" s="469"/>
      <c r="R197" s="469"/>
      <c r="S197" s="467"/>
      <c r="T197" s="469"/>
      <c r="U197" s="467"/>
      <c r="V197" s="451"/>
      <c r="W197" s="451"/>
      <c r="X197" s="451"/>
      <c r="Y197" s="451"/>
      <c r="Z197" s="451"/>
      <c r="AA197" s="451"/>
      <c r="AB197" s="425"/>
      <c r="AC197" s="425"/>
      <c r="AD197" s="425"/>
      <c r="AE197" s="425"/>
      <c r="AF197" s="425"/>
      <c r="AG197" s="425"/>
      <c r="AH197" s="425"/>
      <c r="AI197" s="425"/>
      <c r="AJ197" s="425"/>
      <c r="AK197" s="425"/>
      <c r="AL197" s="425"/>
      <c r="AM197" s="425"/>
      <c r="AN197" s="425"/>
      <c r="AO197" s="425"/>
      <c r="AP197" s="425"/>
      <c r="AQ197" s="425"/>
      <c r="AR197" s="425"/>
      <c r="AS197" s="425"/>
      <c r="AT197" s="425"/>
      <c r="AU197" s="425"/>
      <c r="AV197" s="425"/>
      <c r="AW197" s="425"/>
      <c r="AX197" s="425"/>
      <c r="AY197" s="426"/>
    </row>
    <row r="198" spans="2:51" ht="18" customHeight="1">
      <c r="B198" s="1946" t="str">
        <f>+$B$9</f>
        <v>病院・ホテル</v>
      </c>
      <c r="C198" s="430">
        <v>63360</v>
      </c>
      <c r="D198" s="431" t="s">
        <v>372</v>
      </c>
      <c r="E198" s="432">
        <v>1.5</v>
      </c>
      <c r="F198" s="432" t="s">
        <v>373</v>
      </c>
      <c r="G198" s="432">
        <v>1</v>
      </c>
      <c r="H198" s="432" t="s">
        <v>374</v>
      </c>
      <c r="I198" s="433">
        <v>0.8</v>
      </c>
      <c r="J198" s="437" t="s">
        <v>375</v>
      </c>
      <c r="K198" s="432">
        <v>1.5</v>
      </c>
      <c r="L198" s="432" t="s">
        <v>324</v>
      </c>
      <c r="M198" s="432">
        <v>1</v>
      </c>
      <c r="N198" s="432" t="s">
        <v>376</v>
      </c>
      <c r="O198" s="433">
        <v>0.9</v>
      </c>
      <c r="P198" s="469"/>
      <c r="Q198" s="469"/>
      <c r="R198" s="469"/>
      <c r="S198" s="467"/>
      <c r="T198" s="469"/>
      <c r="U198" s="467"/>
      <c r="V198" s="451"/>
      <c r="W198" s="451"/>
      <c r="X198" s="451"/>
      <c r="Y198" s="451"/>
      <c r="Z198" s="451"/>
      <c r="AA198" s="451"/>
      <c r="AB198" s="425"/>
      <c r="AC198" s="425"/>
      <c r="AD198" s="425"/>
      <c r="AE198" s="425"/>
      <c r="AF198" s="425"/>
      <c r="AG198" s="425"/>
      <c r="AH198" s="425"/>
      <c r="AI198" s="425"/>
      <c r="AJ198" s="425"/>
      <c r="AK198" s="425"/>
      <c r="AL198" s="425"/>
      <c r="AM198" s="425"/>
      <c r="AN198" s="425"/>
      <c r="AO198" s="425"/>
      <c r="AP198" s="425"/>
      <c r="AQ198" s="425"/>
      <c r="AR198" s="425"/>
      <c r="AS198" s="425"/>
      <c r="AT198" s="425"/>
      <c r="AU198" s="425"/>
      <c r="AV198" s="425"/>
      <c r="AW198" s="425"/>
      <c r="AX198" s="425"/>
      <c r="AY198" s="426"/>
    </row>
    <row r="199" spans="2:51" ht="18" customHeight="1">
      <c r="B199" s="1947" t="str">
        <f>+$B$10</f>
        <v>工場・倉庫</v>
      </c>
      <c r="C199" s="430">
        <v>63360</v>
      </c>
      <c r="D199" s="441" t="s">
        <v>372</v>
      </c>
      <c r="E199" s="442">
        <v>1.5</v>
      </c>
      <c r="F199" s="442" t="s">
        <v>373</v>
      </c>
      <c r="G199" s="442">
        <v>1</v>
      </c>
      <c r="H199" s="442" t="s">
        <v>374</v>
      </c>
      <c r="I199" s="443">
        <v>0.8</v>
      </c>
      <c r="J199" s="437" t="s">
        <v>375</v>
      </c>
      <c r="K199" s="432">
        <v>1.5</v>
      </c>
      <c r="L199" s="432" t="s">
        <v>324</v>
      </c>
      <c r="M199" s="432">
        <v>1</v>
      </c>
      <c r="N199" s="432" t="s">
        <v>376</v>
      </c>
      <c r="O199" s="433">
        <v>0.9</v>
      </c>
      <c r="P199" s="469"/>
      <c r="Q199" s="469"/>
      <c r="R199" s="469"/>
      <c r="S199" s="467"/>
      <c r="T199" s="469"/>
      <c r="U199" s="467"/>
      <c r="V199" s="451"/>
      <c r="W199" s="451"/>
      <c r="X199" s="451"/>
      <c r="Y199" s="451"/>
      <c r="Z199" s="451"/>
      <c r="AA199" s="451"/>
      <c r="AB199" s="425"/>
      <c r="AC199" s="425"/>
      <c r="AD199" s="425"/>
      <c r="AE199" s="425"/>
      <c r="AF199" s="425"/>
      <c r="AG199" s="425"/>
      <c r="AH199" s="425"/>
      <c r="AI199" s="425"/>
      <c r="AJ199" s="425"/>
      <c r="AK199" s="425"/>
      <c r="AL199" s="425"/>
      <c r="AM199" s="425"/>
      <c r="AN199" s="425"/>
      <c r="AO199" s="425"/>
      <c r="AP199" s="425"/>
      <c r="AQ199" s="425"/>
      <c r="AR199" s="425"/>
      <c r="AS199" s="425"/>
      <c r="AT199" s="425"/>
      <c r="AU199" s="425"/>
      <c r="AV199" s="425"/>
      <c r="AW199" s="425"/>
      <c r="AX199" s="425"/>
      <c r="AY199" s="426"/>
    </row>
    <row r="200" spans="2:51" ht="18" customHeight="1">
      <c r="B200" s="1941" t="s">
        <v>311</v>
      </c>
      <c r="C200" s="1916" t="s">
        <v>378</v>
      </c>
      <c r="D200" s="1888" t="s">
        <v>379</v>
      </c>
      <c r="E200" s="1889"/>
      <c r="F200" s="1889"/>
      <c r="G200" s="1889"/>
      <c r="H200" s="1889"/>
      <c r="I200" s="1891"/>
      <c r="J200" s="1888" t="s">
        <v>380</v>
      </c>
      <c r="K200" s="1889"/>
      <c r="L200" s="1889"/>
      <c r="M200" s="1889"/>
      <c r="N200" s="1889"/>
      <c r="O200" s="1891"/>
      <c r="P200" s="1887" t="s">
        <v>381</v>
      </c>
      <c r="Q200" s="1888"/>
      <c r="R200" s="1889"/>
      <c r="S200" s="1889"/>
      <c r="T200" s="1889"/>
      <c r="U200" s="1889"/>
      <c r="V200" s="1889"/>
      <c r="W200" s="1890"/>
      <c r="X200" s="1891"/>
      <c r="Y200" s="423"/>
      <c r="Z200" s="423"/>
      <c r="AA200" s="423"/>
      <c r="AB200" s="423"/>
      <c r="AC200" s="423"/>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3"/>
      <c r="AY200" s="424"/>
    </row>
    <row r="201" spans="2:51" ht="18" customHeight="1">
      <c r="B201" s="1942"/>
      <c r="C201" s="1907" t="s">
        <v>48</v>
      </c>
      <c r="D201" s="1899" t="s">
        <v>318</v>
      </c>
      <c r="E201" s="1900"/>
      <c r="F201" s="1900" t="s">
        <v>319</v>
      </c>
      <c r="G201" s="1900"/>
      <c r="H201" s="1900" t="s">
        <v>320</v>
      </c>
      <c r="I201" s="1902"/>
      <c r="J201" s="1899" t="s">
        <v>318</v>
      </c>
      <c r="K201" s="1900"/>
      <c r="L201" s="1900" t="s">
        <v>319</v>
      </c>
      <c r="M201" s="1900"/>
      <c r="N201" s="1900" t="s">
        <v>320</v>
      </c>
      <c r="O201" s="1902"/>
      <c r="P201" s="1898" t="s">
        <v>318</v>
      </c>
      <c r="Q201" s="1899"/>
      <c r="R201" s="1900"/>
      <c r="S201" s="1900" t="s">
        <v>319</v>
      </c>
      <c r="T201" s="1900"/>
      <c r="U201" s="1900"/>
      <c r="V201" s="1900" t="s">
        <v>320</v>
      </c>
      <c r="W201" s="1901"/>
      <c r="X201" s="1902"/>
      <c r="Y201" s="582" t="s">
        <v>5613</v>
      </c>
      <c r="Z201" s="425"/>
      <c r="AA201" s="425"/>
      <c r="AB201" s="425"/>
      <c r="AC201" s="425"/>
      <c r="AD201" s="425"/>
      <c r="AE201" s="425"/>
      <c r="AF201" s="425"/>
      <c r="AG201" s="425"/>
      <c r="AH201" s="425"/>
      <c r="AI201" s="425"/>
      <c r="AJ201" s="425"/>
      <c r="AK201" s="425"/>
      <c r="AL201" s="425"/>
      <c r="AM201" s="425"/>
      <c r="AN201" s="425"/>
      <c r="AO201" s="425"/>
      <c r="AP201" s="425"/>
      <c r="AQ201" s="425"/>
      <c r="AR201" s="425"/>
      <c r="AS201" s="425"/>
      <c r="AT201" s="425"/>
      <c r="AU201" s="425"/>
      <c r="AV201" s="425"/>
      <c r="AW201" s="425"/>
      <c r="AX201" s="425"/>
      <c r="AY201" s="426"/>
    </row>
    <row r="202" spans="2:51" ht="18" customHeight="1">
      <c r="B202" s="1945" t="str">
        <f>+$B$6</f>
        <v>戸建形式住宅</v>
      </c>
      <c r="C202" s="588" t="s">
        <v>23</v>
      </c>
      <c r="D202" s="1046" t="s">
        <v>5652</v>
      </c>
      <c r="E202" s="1047" t="s">
        <v>5652</v>
      </c>
      <c r="F202" s="1047" t="s">
        <v>5652</v>
      </c>
      <c r="G202" s="1047" t="s">
        <v>5652</v>
      </c>
      <c r="H202" s="1047" t="s">
        <v>5652</v>
      </c>
      <c r="I202" s="1048" t="s">
        <v>5652</v>
      </c>
      <c r="J202" s="1046" t="s">
        <v>5652</v>
      </c>
      <c r="K202" s="1047" t="s">
        <v>5652</v>
      </c>
      <c r="L202" s="1047" t="s">
        <v>5652</v>
      </c>
      <c r="M202" s="1047" t="s">
        <v>5652</v>
      </c>
      <c r="N202" s="1047" t="s">
        <v>5652</v>
      </c>
      <c r="O202" s="1048" t="s">
        <v>5652</v>
      </c>
      <c r="P202" s="1046" t="s">
        <v>5652</v>
      </c>
      <c r="Q202" s="1047" t="s">
        <v>5652</v>
      </c>
      <c r="R202" s="1047" t="s">
        <v>5652</v>
      </c>
      <c r="S202" s="1047" t="s">
        <v>5652</v>
      </c>
      <c r="T202" s="1047" t="s">
        <v>5652</v>
      </c>
      <c r="U202" s="1055" t="s">
        <v>5652</v>
      </c>
      <c r="V202" s="1055" t="s">
        <v>5652</v>
      </c>
      <c r="W202" s="1055" t="s">
        <v>5652</v>
      </c>
      <c r="X202" s="1056" t="s">
        <v>5652</v>
      </c>
      <c r="Y202" s="425"/>
      <c r="Z202" s="425"/>
      <c r="AA202" s="425"/>
      <c r="AB202" s="425"/>
      <c r="AC202" s="425"/>
      <c r="AD202" s="425"/>
      <c r="AE202" s="425"/>
      <c r="AF202" s="425"/>
      <c r="AG202" s="425"/>
      <c r="AH202" s="425"/>
      <c r="AI202" s="425"/>
      <c r="AJ202" s="425"/>
      <c r="AK202" s="425"/>
      <c r="AL202" s="425"/>
      <c r="AM202" s="425"/>
      <c r="AN202" s="425"/>
      <c r="AO202" s="425"/>
      <c r="AP202" s="425"/>
      <c r="AQ202" s="425"/>
      <c r="AR202" s="425"/>
      <c r="AS202" s="425"/>
      <c r="AT202" s="425"/>
      <c r="AU202" s="425"/>
      <c r="AV202" s="425"/>
      <c r="AW202" s="425"/>
      <c r="AX202" s="425"/>
      <c r="AY202" s="426"/>
    </row>
    <row r="203" spans="2:51" ht="18" customHeight="1">
      <c r="B203" s="1946" t="str">
        <f>+$B$7</f>
        <v>集合形式住宅</v>
      </c>
      <c r="C203" s="430">
        <v>374580</v>
      </c>
      <c r="D203" s="431" t="s">
        <v>382</v>
      </c>
      <c r="E203" s="432">
        <v>1.3</v>
      </c>
      <c r="F203" s="432" t="s">
        <v>383</v>
      </c>
      <c r="G203" s="432">
        <v>1</v>
      </c>
      <c r="H203" s="432" t="s">
        <v>1051</v>
      </c>
      <c r="I203" s="432" t="s">
        <v>1051</v>
      </c>
      <c r="J203" s="437" t="s">
        <v>741</v>
      </c>
      <c r="K203" s="432">
        <v>1.2</v>
      </c>
      <c r="L203" s="432" t="s">
        <v>712</v>
      </c>
      <c r="M203" s="432">
        <v>1</v>
      </c>
      <c r="N203" s="432" t="s">
        <v>743</v>
      </c>
      <c r="O203" s="433">
        <v>0.9</v>
      </c>
      <c r="P203" s="437" t="s">
        <v>5459</v>
      </c>
      <c r="Q203" s="1286">
        <v>38400</v>
      </c>
      <c r="R203" s="432">
        <v>1.25</v>
      </c>
      <c r="S203" s="432" t="s">
        <v>385</v>
      </c>
      <c r="T203" s="1249">
        <v>25200</v>
      </c>
      <c r="U203" s="432">
        <v>1</v>
      </c>
      <c r="V203" s="432" t="s">
        <v>386</v>
      </c>
      <c r="W203" s="1287">
        <v>19200</v>
      </c>
      <c r="X203" s="433">
        <v>0.9</v>
      </c>
      <c r="Y203" s="425"/>
      <c r="Z203" s="425"/>
      <c r="AA203" s="425"/>
      <c r="AB203" s="425"/>
      <c r="AC203" s="425"/>
      <c r="AD203" s="425"/>
      <c r="AE203" s="425"/>
      <c r="AF203" s="425"/>
      <c r="AG203" s="425"/>
      <c r="AH203" s="425"/>
      <c r="AI203" s="425"/>
      <c r="AJ203" s="425"/>
      <c r="AK203" s="425"/>
      <c r="AL203" s="425"/>
      <c r="AM203" s="425"/>
      <c r="AN203" s="425"/>
      <c r="AO203" s="425"/>
      <c r="AP203" s="425"/>
      <c r="AQ203" s="425"/>
      <c r="AR203" s="425"/>
      <c r="AS203" s="425"/>
      <c r="AT203" s="425"/>
      <c r="AU203" s="425"/>
      <c r="AV203" s="425"/>
      <c r="AW203" s="425"/>
      <c r="AX203" s="425"/>
      <c r="AY203" s="426"/>
    </row>
    <row r="204" spans="2:51" ht="18" customHeight="1">
      <c r="B204" s="1946" t="str">
        <f>+$B$8</f>
        <v>事務所・店舗</v>
      </c>
      <c r="C204" s="430">
        <f>C203</f>
        <v>374580</v>
      </c>
      <c r="D204" s="431" t="str">
        <f>D203</f>
        <v>洗面・便器付</v>
      </c>
      <c r="E204" s="431">
        <f t="shared" ref="E204:G204" si="10">E203</f>
        <v>1.3</v>
      </c>
      <c r="F204" s="431" t="str">
        <f t="shared" si="10"/>
        <v>シャワー付</v>
      </c>
      <c r="G204" s="431">
        <f t="shared" si="10"/>
        <v>1</v>
      </c>
      <c r="H204" s="432" t="s">
        <v>1051</v>
      </c>
      <c r="I204" s="432" t="s">
        <v>1051</v>
      </c>
      <c r="J204" s="437" t="str">
        <f>J203</f>
        <v>良い</v>
      </c>
      <c r="K204" s="431">
        <f t="shared" ref="K204:X204" si="11">K203</f>
        <v>1.2</v>
      </c>
      <c r="L204" s="431" t="str">
        <f t="shared" si="11"/>
        <v>普通</v>
      </c>
      <c r="M204" s="431">
        <f t="shared" si="11"/>
        <v>1</v>
      </c>
      <c r="N204" s="431" t="str">
        <f t="shared" si="11"/>
        <v>悪い</v>
      </c>
      <c r="O204" s="1255">
        <f t="shared" si="11"/>
        <v>0.9</v>
      </c>
      <c r="P204" s="437" t="str">
        <f t="shared" si="11"/>
        <v>240cm*160cm</v>
      </c>
      <c r="Q204" s="1197">
        <f t="shared" si="11"/>
        <v>38400</v>
      </c>
      <c r="R204" s="431">
        <f t="shared" si="11"/>
        <v>1.25</v>
      </c>
      <c r="S204" s="431" t="str">
        <f t="shared" si="11"/>
        <v>180cm*140cm</v>
      </c>
      <c r="T204" s="1197">
        <f t="shared" si="11"/>
        <v>25200</v>
      </c>
      <c r="U204" s="431">
        <f t="shared" si="11"/>
        <v>1</v>
      </c>
      <c r="V204" s="431" t="str">
        <f t="shared" si="11"/>
        <v>160cm*120cm</v>
      </c>
      <c r="W204" s="1197">
        <f t="shared" si="11"/>
        <v>19200</v>
      </c>
      <c r="X204" s="1255">
        <f t="shared" si="11"/>
        <v>0.9</v>
      </c>
      <c r="Y204" s="425"/>
      <c r="Z204" s="425"/>
      <c r="AA204" s="425"/>
      <c r="AB204" s="425"/>
      <c r="AC204" s="425"/>
      <c r="AD204" s="425"/>
      <c r="AE204" s="425"/>
      <c r="AF204" s="425"/>
      <c r="AG204" s="425"/>
      <c r="AH204" s="425"/>
      <c r="AI204" s="425"/>
      <c r="AJ204" s="425"/>
      <c r="AK204" s="425"/>
      <c r="AL204" s="425"/>
      <c r="AM204" s="425"/>
      <c r="AN204" s="425"/>
      <c r="AO204" s="425"/>
      <c r="AP204" s="425"/>
      <c r="AQ204" s="425"/>
      <c r="AR204" s="425"/>
      <c r="AS204" s="425"/>
      <c r="AT204" s="425"/>
      <c r="AU204" s="425"/>
      <c r="AV204" s="425"/>
      <c r="AW204" s="425"/>
      <c r="AX204" s="425"/>
      <c r="AY204" s="426"/>
    </row>
    <row r="205" spans="2:51" ht="18" customHeight="1">
      <c r="B205" s="1946" t="str">
        <f>+$B$9</f>
        <v>病院・ホテル</v>
      </c>
      <c r="C205" s="430">
        <v>374580</v>
      </c>
      <c r="D205" s="431" t="s">
        <v>382</v>
      </c>
      <c r="E205" s="432">
        <v>1.3</v>
      </c>
      <c r="F205" s="432" t="s">
        <v>383</v>
      </c>
      <c r="G205" s="432">
        <v>1</v>
      </c>
      <c r="H205" s="432" t="s">
        <v>1051</v>
      </c>
      <c r="I205" s="432" t="s">
        <v>1051</v>
      </c>
      <c r="J205" s="437" t="s">
        <v>741</v>
      </c>
      <c r="K205" s="432">
        <v>1.2</v>
      </c>
      <c r="L205" s="432" t="s">
        <v>712</v>
      </c>
      <c r="M205" s="432">
        <v>1</v>
      </c>
      <c r="N205" s="432" t="s">
        <v>743</v>
      </c>
      <c r="O205" s="433">
        <v>0.9</v>
      </c>
      <c r="P205" s="437" t="s">
        <v>5469</v>
      </c>
      <c r="Q205" s="1286">
        <v>38400</v>
      </c>
      <c r="R205" s="432">
        <v>1.25</v>
      </c>
      <c r="S205" s="432" t="s">
        <v>385</v>
      </c>
      <c r="T205" s="1249">
        <v>25200</v>
      </c>
      <c r="U205" s="432">
        <v>1</v>
      </c>
      <c r="V205" s="432" t="s">
        <v>5470</v>
      </c>
      <c r="W205" s="1287">
        <v>19200</v>
      </c>
      <c r="X205" s="433">
        <v>0.9</v>
      </c>
      <c r="Y205" s="425"/>
      <c r="Z205" s="425"/>
      <c r="AA205" s="425"/>
      <c r="AB205" s="425"/>
      <c r="AC205" s="425"/>
      <c r="AD205" s="425"/>
      <c r="AE205" s="425"/>
      <c r="AF205" s="425"/>
      <c r="AG205" s="425"/>
      <c r="AH205" s="425"/>
      <c r="AI205" s="425"/>
      <c r="AJ205" s="425"/>
      <c r="AK205" s="425"/>
      <c r="AL205" s="425"/>
      <c r="AM205" s="425"/>
      <c r="AN205" s="425"/>
      <c r="AO205" s="425"/>
      <c r="AP205" s="425"/>
      <c r="AQ205" s="425"/>
      <c r="AR205" s="425"/>
      <c r="AS205" s="425"/>
      <c r="AT205" s="425"/>
      <c r="AU205" s="425"/>
      <c r="AV205" s="425"/>
      <c r="AW205" s="425"/>
      <c r="AX205" s="425"/>
      <c r="AY205" s="426"/>
    </row>
    <row r="206" spans="2:51" ht="18" customHeight="1">
      <c r="B206" s="1947" t="str">
        <f>+$B$10</f>
        <v>工場・倉庫</v>
      </c>
      <c r="C206" s="1211">
        <f>+C203</f>
        <v>374580</v>
      </c>
      <c r="D206" s="823" t="str">
        <f>D203</f>
        <v>洗面・便器付</v>
      </c>
      <c r="E206" s="446">
        <f>E203</f>
        <v>1.3</v>
      </c>
      <c r="F206" s="446" t="str">
        <f>F203</f>
        <v>シャワー付</v>
      </c>
      <c r="G206" s="446">
        <f>G203</f>
        <v>1</v>
      </c>
      <c r="H206" s="432" t="s">
        <v>1051</v>
      </c>
      <c r="I206" s="432" t="s">
        <v>1051</v>
      </c>
      <c r="J206" s="445" t="str">
        <f t="shared" ref="J206:X206" si="12">J203</f>
        <v>良い</v>
      </c>
      <c r="K206" s="446">
        <f t="shared" si="12"/>
        <v>1.2</v>
      </c>
      <c r="L206" s="446" t="str">
        <f t="shared" si="12"/>
        <v>普通</v>
      </c>
      <c r="M206" s="446">
        <f t="shared" si="12"/>
        <v>1</v>
      </c>
      <c r="N206" s="446" t="str">
        <f t="shared" si="12"/>
        <v>悪い</v>
      </c>
      <c r="O206" s="447">
        <f t="shared" si="12"/>
        <v>0.9</v>
      </c>
      <c r="P206" s="445" t="str">
        <f t="shared" si="12"/>
        <v>240cm*160cm</v>
      </c>
      <c r="Q206" s="1300">
        <f t="shared" si="12"/>
        <v>38400</v>
      </c>
      <c r="R206" s="446">
        <f t="shared" si="12"/>
        <v>1.25</v>
      </c>
      <c r="S206" s="446" t="str">
        <f t="shared" si="12"/>
        <v>180cm*140cm</v>
      </c>
      <c r="T206" s="1301">
        <f t="shared" si="12"/>
        <v>25200</v>
      </c>
      <c r="U206" s="446">
        <f t="shared" si="12"/>
        <v>1</v>
      </c>
      <c r="V206" s="446" t="str">
        <f t="shared" si="12"/>
        <v>160cm*120cm</v>
      </c>
      <c r="W206" s="1302">
        <f t="shared" si="12"/>
        <v>19200</v>
      </c>
      <c r="X206" s="447">
        <f t="shared" si="12"/>
        <v>0.9</v>
      </c>
      <c r="Y206" s="425"/>
      <c r="Z206" s="425"/>
      <c r="AA206" s="425"/>
      <c r="AB206" s="425"/>
      <c r="AC206" s="425"/>
      <c r="AD206" s="425"/>
      <c r="AE206" s="425"/>
      <c r="AF206" s="425"/>
      <c r="AG206" s="425"/>
      <c r="AH206" s="425"/>
      <c r="AI206" s="425"/>
      <c r="AJ206" s="425"/>
      <c r="AK206" s="425"/>
      <c r="AL206" s="425"/>
      <c r="AM206" s="425"/>
      <c r="AN206" s="425"/>
      <c r="AO206" s="425"/>
      <c r="AP206" s="425"/>
      <c r="AQ206" s="425"/>
      <c r="AR206" s="425"/>
      <c r="AS206" s="425"/>
      <c r="AT206" s="425"/>
      <c r="AU206" s="425"/>
      <c r="AV206" s="425"/>
      <c r="AW206" s="425"/>
      <c r="AX206" s="425"/>
      <c r="AY206" s="426"/>
    </row>
    <row r="207" spans="2:51" ht="18" customHeight="1">
      <c r="B207" s="1941" t="s">
        <v>311</v>
      </c>
      <c r="C207" s="1916" t="s">
        <v>387</v>
      </c>
      <c r="D207" s="1888" t="s">
        <v>388</v>
      </c>
      <c r="E207" s="1889"/>
      <c r="F207" s="1889"/>
      <c r="G207" s="1889"/>
      <c r="H207" s="1889"/>
      <c r="I207" s="1891"/>
      <c r="J207" s="1887" t="s">
        <v>389</v>
      </c>
      <c r="K207" s="1888"/>
      <c r="L207" s="1889"/>
      <c r="M207" s="1889"/>
      <c r="N207" s="1889"/>
      <c r="O207" s="1889"/>
      <c r="P207" s="1889"/>
      <c r="Q207" s="1890"/>
      <c r="R207" s="1891"/>
      <c r="S207" s="423"/>
      <c r="T207" s="423"/>
      <c r="U207" s="423"/>
      <c r="V207" s="423"/>
      <c r="W207" s="423"/>
      <c r="X207" s="423"/>
      <c r="Y207" s="423"/>
      <c r="Z207" s="423"/>
      <c r="AA207" s="423"/>
      <c r="AB207" s="423"/>
      <c r="AC207" s="423"/>
      <c r="AD207" s="423"/>
      <c r="AE207" s="423"/>
      <c r="AF207" s="423"/>
      <c r="AG207" s="423"/>
      <c r="AH207" s="423"/>
      <c r="AI207" s="423"/>
      <c r="AJ207" s="423"/>
      <c r="AK207" s="423"/>
      <c r="AL207" s="423"/>
      <c r="AM207" s="423"/>
      <c r="AN207" s="423"/>
      <c r="AO207" s="423"/>
      <c r="AP207" s="423"/>
      <c r="AQ207" s="423"/>
      <c r="AR207" s="423"/>
      <c r="AS207" s="423"/>
      <c r="AT207" s="423"/>
      <c r="AU207" s="423"/>
      <c r="AV207" s="423"/>
      <c r="AW207" s="423"/>
      <c r="AX207" s="423"/>
      <c r="AY207" s="424"/>
    </row>
    <row r="208" spans="2:51" ht="18" customHeight="1">
      <c r="B208" s="1942"/>
      <c r="C208" s="1907" t="s">
        <v>49</v>
      </c>
      <c r="D208" s="1899" t="s">
        <v>318</v>
      </c>
      <c r="E208" s="1900"/>
      <c r="F208" s="1900" t="s">
        <v>319</v>
      </c>
      <c r="G208" s="1900"/>
      <c r="H208" s="1900" t="s">
        <v>320</v>
      </c>
      <c r="I208" s="1902"/>
      <c r="J208" s="1898" t="s">
        <v>318</v>
      </c>
      <c r="K208" s="1899"/>
      <c r="L208" s="1900"/>
      <c r="M208" s="1900" t="s">
        <v>319</v>
      </c>
      <c r="N208" s="1900"/>
      <c r="O208" s="1900"/>
      <c r="P208" s="1900" t="s">
        <v>320</v>
      </c>
      <c r="Q208" s="1901"/>
      <c r="R208" s="1902"/>
      <c r="S208" s="582" t="s">
        <v>5614</v>
      </c>
      <c r="T208" s="425"/>
      <c r="U208" s="425"/>
      <c r="V208" s="425"/>
      <c r="W208" s="425"/>
      <c r="X208" s="425"/>
      <c r="Y208" s="425"/>
      <c r="Z208" s="425"/>
      <c r="AA208" s="425"/>
      <c r="AB208" s="425"/>
      <c r="AC208" s="425"/>
      <c r="AD208" s="425"/>
      <c r="AE208" s="425"/>
      <c r="AF208" s="425"/>
      <c r="AG208" s="425"/>
      <c r="AH208" s="425"/>
      <c r="AI208" s="425"/>
      <c r="AJ208" s="425"/>
      <c r="AK208" s="425"/>
      <c r="AL208" s="425"/>
      <c r="AM208" s="425"/>
      <c r="AN208" s="425"/>
      <c r="AO208" s="425"/>
      <c r="AP208" s="425"/>
      <c r="AQ208" s="425"/>
      <c r="AR208" s="425"/>
      <c r="AS208" s="425"/>
      <c r="AT208" s="425"/>
      <c r="AU208" s="425"/>
      <c r="AV208" s="425"/>
      <c r="AW208" s="425"/>
      <c r="AX208" s="425"/>
      <c r="AY208" s="426"/>
    </row>
    <row r="209" spans="2:51" ht="18" customHeight="1">
      <c r="B209" s="1945" t="str">
        <f>+$B$6</f>
        <v>戸建形式住宅</v>
      </c>
      <c r="C209" s="588" t="s">
        <v>23</v>
      </c>
      <c r="D209" s="1046" t="s">
        <v>5652</v>
      </c>
      <c r="E209" s="1047" t="s">
        <v>5652</v>
      </c>
      <c r="F209" s="1047" t="s">
        <v>5652</v>
      </c>
      <c r="G209" s="1047" t="s">
        <v>5652</v>
      </c>
      <c r="H209" s="1047" t="s">
        <v>5652</v>
      </c>
      <c r="I209" s="1048" t="s">
        <v>5652</v>
      </c>
      <c r="J209" s="1046" t="s">
        <v>5652</v>
      </c>
      <c r="K209" s="1047" t="s">
        <v>5652</v>
      </c>
      <c r="L209" s="1047" t="s">
        <v>5652</v>
      </c>
      <c r="M209" s="1047" t="s">
        <v>5652</v>
      </c>
      <c r="N209" s="1047" t="s">
        <v>5652</v>
      </c>
      <c r="O209" s="1055" t="s">
        <v>5652</v>
      </c>
      <c r="P209" s="1055" t="s">
        <v>5652</v>
      </c>
      <c r="Q209" s="1055" t="s">
        <v>5652</v>
      </c>
      <c r="R209" s="1056" t="s">
        <v>5652</v>
      </c>
      <c r="S209" s="425"/>
      <c r="T209" s="425"/>
      <c r="U209" s="425"/>
      <c r="V209" s="425"/>
      <c r="W209" s="425"/>
      <c r="X209" s="425"/>
      <c r="Y209" s="425"/>
      <c r="Z209" s="425"/>
      <c r="AA209" s="425"/>
      <c r="AB209" s="425"/>
      <c r="AC209" s="425"/>
      <c r="AD209" s="425"/>
      <c r="AE209" s="425"/>
      <c r="AF209" s="425"/>
      <c r="AG209" s="425"/>
      <c r="AH209" s="425"/>
      <c r="AI209" s="425"/>
      <c r="AJ209" s="425"/>
      <c r="AK209" s="425"/>
      <c r="AL209" s="425"/>
      <c r="AM209" s="425"/>
      <c r="AN209" s="425"/>
      <c r="AO209" s="425"/>
      <c r="AP209" s="425"/>
      <c r="AQ209" s="425"/>
      <c r="AR209" s="425"/>
      <c r="AS209" s="425"/>
      <c r="AT209" s="425"/>
      <c r="AU209" s="425"/>
      <c r="AV209" s="425"/>
      <c r="AW209" s="425"/>
      <c r="AX209" s="425"/>
      <c r="AY209" s="426"/>
    </row>
    <row r="210" spans="2:51" ht="18" customHeight="1">
      <c r="B210" s="1946" t="str">
        <f>+$B$7</f>
        <v>集合形式住宅</v>
      </c>
      <c r="C210" s="430">
        <v>262350</v>
      </c>
      <c r="D210" s="431" t="s">
        <v>741</v>
      </c>
      <c r="E210" s="432">
        <v>1.2</v>
      </c>
      <c r="F210" s="432" t="s">
        <v>712</v>
      </c>
      <c r="G210" s="432">
        <v>1</v>
      </c>
      <c r="H210" s="432" t="s">
        <v>743</v>
      </c>
      <c r="I210" s="433">
        <v>0.9</v>
      </c>
      <c r="J210" s="1247" t="s">
        <v>384</v>
      </c>
      <c r="K210" s="1286">
        <v>32000</v>
      </c>
      <c r="L210" s="1303">
        <v>1.3</v>
      </c>
      <c r="M210" s="1249" t="s">
        <v>390</v>
      </c>
      <c r="N210" s="1249">
        <v>25600</v>
      </c>
      <c r="O210" s="432">
        <v>1</v>
      </c>
      <c r="P210" s="1304" t="s">
        <v>5384</v>
      </c>
      <c r="Q210" s="1305" t="s">
        <v>1051</v>
      </c>
      <c r="R210" s="1306" t="s">
        <v>1051</v>
      </c>
      <c r="S210" s="425"/>
      <c r="T210" s="425"/>
      <c r="U210" s="425"/>
      <c r="V210" s="425"/>
      <c r="W210" s="425"/>
      <c r="X210" s="425"/>
      <c r="Y210" s="425"/>
      <c r="Z210" s="425"/>
      <c r="AA210" s="425"/>
      <c r="AB210" s="425"/>
      <c r="AC210" s="425"/>
      <c r="AD210" s="425"/>
      <c r="AE210" s="425"/>
      <c r="AF210" s="425"/>
      <c r="AG210" s="425"/>
      <c r="AH210" s="425"/>
      <c r="AI210" s="425"/>
      <c r="AJ210" s="425"/>
      <c r="AK210" s="425"/>
      <c r="AL210" s="425"/>
      <c r="AM210" s="425"/>
      <c r="AN210" s="425"/>
      <c r="AO210" s="425"/>
      <c r="AP210" s="425"/>
      <c r="AQ210" s="425"/>
      <c r="AR210" s="425"/>
      <c r="AS210" s="425"/>
      <c r="AT210" s="425"/>
      <c r="AU210" s="425"/>
      <c r="AV210" s="425"/>
      <c r="AW210" s="425"/>
      <c r="AX210" s="425"/>
      <c r="AY210" s="426"/>
    </row>
    <row r="211" spans="2:51" ht="18" customHeight="1">
      <c r="B211" s="1946" t="str">
        <f>+$B$8</f>
        <v>事務所・店舗</v>
      </c>
      <c r="C211" s="1205">
        <f>+C210</f>
        <v>262350</v>
      </c>
      <c r="D211" s="1242" t="str">
        <f t="shared" ref="D211:R211" si="13">+D210</f>
        <v>良い</v>
      </c>
      <c r="E211" s="1207">
        <f t="shared" si="13"/>
        <v>1.2</v>
      </c>
      <c r="F211" s="1207" t="str">
        <f t="shared" si="13"/>
        <v>普通</v>
      </c>
      <c r="G211" s="1207">
        <f t="shared" si="13"/>
        <v>1</v>
      </c>
      <c r="H211" s="1207" t="str">
        <f t="shared" si="13"/>
        <v>悪い</v>
      </c>
      <c r="I211" s="1210">
        <f t="shared" si="13"/>
        <v>0.9</v>
      </c>
      <c r="J211" s="1244" t="str">
        <f t="shared" si="13"/>
        <v>200cm*160cm</v>
      </c>
      <c r="K211" s="1245">
        <f t="shared" si="13"/>
        <v>32000</v>
      </c>
      <c r="L211" s="1207">
        <f t="shared" si="13"/>
        <v>1.3</v>
      </c>
      <c r="M211" s="1246" t="str">
        <f t="shared" si="13"/>
        <v>160cm*160cm</v>
      </c>
      <c r="N211" s="1246">
        <f t="shared" si="13"/>
        <v>25600</v>
      </c>
      <c r="O211" s="1207">
        <f t="shared" si="13"/>
        <v>1</v>
      </c>
      <c r="P211" s="1246" t="str">
        <f t="shared" si="13"/>
        <v>-</v>
      </c>
      <c r="Q211" s="1307" t="str">
        <f t="shared" si="13"/>
        <v>-</v>
      </c>
      <c r="R211" s="1210" t="str">
        <f t="shared" si="13"/>
        <v>-</v>
      </c>
      <c r="S211" s="425"/>
      <c r="T211" s="425"/>
      <c r="U211" s="425"/>
      <c r="V211" s="425"/>
      <c r="W211" s="425"/>
      <c r="X211" s="425"/>
      <c r="Y211" s="425"/>
      <c r="Z211" s="425"/>
      <c r="AA211" s="425"/>
      <c r="AB211" s="425"/>
      <c r="AC211" s="425"/>
      <c r="AD211" s="425"/>
      <c r="AE211" s="425"/>
      <c r="AF211" s="425"/>
      <c r="AG211" s="425"/>
      <c r="AH211" s="425"/>
      <c r="AI211" s="425"/>
      <c r="AJ211" s="425"/>
      <c r="AK211" s="425"/>
      <c r="AL211" s="425"/>
      <c r="AM211" s="425"/>
      <c r="AN211" s="425"/>
      <c r="AO211" s="425"/>
      <c r="AP211" s="425"/>
      <c r="AQ211" s="425"/>
      <c r="AR211" s="425"/>
      <c r="AS211" s="425"/>
      <c r="AT211" s="425"/>
      <c r="AU211" s="425"/>
      <c r="AV211" s="425"/>
      <c r="AW211" s="425"/>
      <c r="AX211" s="425"/>
      <c r="AY211" s="426"/>
    </row>
    <row r="212" spans="2:51" ht="18" customHeight="1">
      <c r="B212" s="1946" t="str">
        <f>+$B$9</f>
        <v>病院・ホテル</v>
      </c>
      <c r="C212" s="1205">
        <f>+C210</f>
        <v>262350</v>
      </c>
      <c r="D212" s="1242" t="str">
        <f t="shared" ref="D212:R212" si="14">+D210</f>
        <v>良い</v>
      </c>
      <c r="E212" s="1207">
        <f t="shared" si="14"/>
        <v>1.2</v>
      </c>
      <c r="F212" s="1207" t="str">
        <f t="shared" si="14"/>
        <v>普通</v>
      </c>
      <c r="G212" s="1207">
        <f t="shared" si="14"/>
        <v>1</v>
      </c>
      <c r="H212" s="1207" t="str">
        <f t="shared" si="14"/>
        <v>悪い</v>
      </c>
      <c r="I212" s="1210">
        <f t="shared" si="14"/>
        <v>0.9</v>
      </c>
      <c r="J212" s="1244" t="str">
        <f t="shared" si="14"/>
        <v>200cm*160cm</v>
      </c>
      <c r="K212" s="1245">
        <f t="shared" si="14"/>
        <v>32000</v>
      </c>
      <c r="L212" s="1207">
        <f t="shared" si="14"/>
        <v>1.3</v>
      </c>
      <c r="M212" s="1246" t="str">
        <f t="shared" si="14"/>
        <v>160cm*160cm</v>
      </c>
      <c r="N212" s="1246">
        <f t="shared" si="14"/>
        <v>25600</v>
      </c>
      <c r="O212" s="1207">
        <f t="shared" si="14"/>
        <v>1</v>
      </c>
      <c r="P212" s="1246" t="str">
        <f t="shared" si="14"/>
        <v>-</v>
      </c>
      <c r="Q212" s="1307" t="str">
        <f t="shared" si="14"/>
        <v>-</v>
      </c>
      <c r="R212" s="1210" t="str">
        <f t="shared" si="14"/>
        <v>-</v>
      </c>
      <c r="S212" s="425"/>
      <c r="T212" s="425"/>
      <c r="U212" s="425"/>
      <c r="V212" s="425"/>
      <c r="W212" s="425"/>
      <c r="X212" s="425"/>
      <c r="Y212" s="425"/>
      <c r="Z212" s="425"/>
      <c r="AA212" s="425"/>
      <c r="AB212" s="425"/>
      <c r="AC212" s="425"/>
      <c r="AD212" s="425"/>
      <c r="AE212" s="425"/>
      <c r="AF212" s="425"/>
      <c r="AG212" s="425"/>
      <c r="AH212" s="425"/>
      <c r="AI212" s="425"/>
      <c r="AJ212" s="425"/>
      <c r="AK212" s="425"/>
      <c r="AL212" s="425"/>
      <c r="AM212" s="425"/>
      <c r="AN212" s="425"/>
      <c r="AO212" s="425"/>
      <c r="AP212" s="425"/>
      <c r="AQ212" s="425"/>
      <c r="AR212" s="425"/>
      <c r="AS212" s="425"/>
      <c r="AT212" s="425"/>
      <c r="AU212" s="425"/>
      <c r="AV212" s="425"/>
      <c r="AW212" s="425"/>
      <c r="AX212" s="425"/>
      <c r="AY212" s="426"/>
    </row>
    <row r="213" spans="2:51" ht="18" customHeight="1">
      <c r="B213" s="1947" t="str">
        <f>+$B$10</f>
        <v>工場・倉庫</v>
      </c>
      <c r="C213" s="1308">
        <f>+C210</f>
        <v>262350</v>
      </c>
      <c r="D213" s="1309" t="str">
        <f t="shared" ref="D213:R213" si="15">+D210</f>
        <v>良い</v>
      </c>
      <c r="E213" s="1213">
        <f t="shared" si="15"/>
        <v>1.2</v>
      </c>
      <c r="F213" s="1213" t="str">
        <f t="shared" si="15"/>
        <v>普通</v>
      </c>
      <c r="G213" s="1213">
        <f t="shared" si="15"/>
        <v>1</v>
      </c>
      <c r="H213" s="1213" t="str">
        <f t="shared" si="15"/>
        <v>悪い</v>
      </c>
      <c r="I213" s="1310">
        <f t="shared" si="15"/>
        <v>0.9</v>
      </c>
      <c r="J213" s="1311" t="str">
        <f t="shared" si="15"/>
        <v>200cm*160cm</v>
      </c>
      <c r="K213" s="1312">
        <f t="shared" si="15"/>
        <v>32000</v>
      </c>
      <c r="L213" s="1215">
        <f t="shared" si="15"/>
        <v>1.3</v>
      </c>
      <c r="M213" s="1313" t="str">
        <f t="shared" si="15"/>
        <v>160cm*160cm</v>
      </c>
      <c r="N213" s="1313">
        <f t="shared" si="15"/>
        <v>25600</v>
      </c>
      <c r="O213" s="1215">
        <f t="shared" si="15"/>
        <v>1</v>
      </c>
      <c r="P213" s="1313" t="str">
        <f t="shared" si="15"/>
        <v>-</v>
      </c>
      <c r="Q213" s="1314" t="str">
        <f t="shared" si="15"/>
        <v>-</v>
      </c>
      <c r="R213" s="1315" t="str">
        <f t="shared" si="15"/>
        <v>-</v>
      </c>
      <c r="S213" s="425"/>
      <c r="T213" s="425"/>
      <c r="U213" s="425"/>
      <c r="V213" s="425"/>
      <c r="W213" s="425"/>
      <c r="X213" s="425"/>
      <c r="Y213" s="425"/>
      <c r="Z213" s="425"/>
      <c r="AA213" s="425"/>
      <c r="AB213" s="425"/>
      <c r="AC213" s="425"/>
      <c r="AD213" s="425"/>
      <c r="AE213" s="425"/>
      <c r="AF213" s="425"/>
      <c r="AG213" s="425"/>
      <c r="AH213" s="425"/>
      <c r="AI213" s="425"/>
      <c r="AJ213" s="425"/>
      <c r="AK213" s="425"/>
      <c r="AL213" s="425"/>
      <c r="AM213" s="425"/>
      <c r="AN213" s="425"/>
      <c r="AO213" s="425"/>
      <c r="AP213" s="425"/>
      <c r="AQ213" s="425"/>
      <c r="AR213" s="425"/>
      <c r="AS213" s="425"/>
      <c r="AT213" s="425"/>
      <c r="AU213" s="425"/>
      <c r="AV213" s="425"/>
      <c r="AW213" s="425"/>
      <c r="AX213" s="425"/>
      <c r="AY213" s="426"/>
    </row>
    <row r="214" spans="2:51" ht="18" customHeight="1">
      <c r="B214" s="1941" t="s">
        <v>311</v>
      </c>
      <c r="C214" s="1917" t="s">
        <v>160</v>
      </c>
      <c r="D214" s="1888" t="s">
        <v>391</v>
      </c>
      <c r="E214" s="1889"/>
      <c r="F214" s="1889"/>
      <c r="G214" s="1889"/>
      <c r="H214" s="1889"/>
      <c r="I214" s="1891"/>
      <c r="J214" s="837" t="s">
        <v>392</v>
      </c>
      <c r="K214" s="471"/>
      <c r="L214" s="471"/>
      <c r="M214" s="471"/>
      <c r="N214" s="471"/>
      <c r="O214" s="471"/>
      <c r="P214" s="471"/>
      <c r="Q214" s="471"/>
      <c r="R214" s="471"/>
      <c r="S214" s="455"/>
      <c r="T214" s="455"/>
      <c r="U214" s="455"/>
      <c r="V214" s="455"/>
      <c r="W214" s="455"/>
      <c r="X214" s="455"/>
      <c r="Y214" s="423"/>
      <c r="Z214" s="423"/>
      <c r="AA214" s="423"/>
      <c r="AB214" s="423"/>
      <c r="AC214" s="423"/>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3"/>
      <c r="AY214" s="424"/>
    </row>
    <row r="215" spans="2:51" ht="18" customHeight="1">
      <c r="B215" s="1942"/>
      <c r="C215" s="1894" t="s">
        <v>393</v>
      </c>
      <c r="D215" s="1899" t="s">
        <v>318</v>
      </c>
      <c r="E215" s="1900"/>
      <c r="F215" s="1900" t="s">
        <v>319</v>
      </c>
      <c r="G215" s="1900"/>
      <c r="H215" s="1900" t="s">
        <v>320</v>
      </c>
      <c r="I215" s="1902"/>
      <c r="J215" s="582" t="s">
        <v>5613</v>
      </c>
      <c r="K215" s="473"/>
      <c r="L215" s="473"/>
      <c r="M215" s="473"/>
      <c r="N215" s="473"/>
      <c r="O215" s="473"/>
      <c r="P215" s="473"/>
      <c r="Q215" s="473"/>
      <c r="R215" s="473"/>
      <c r="S215" s="451"/>
      <c r="T215" s="451"/>
      <c r="U215" s="451"/>
      <c r="V215" s="451"/>
      <c r="W215" s="451"/>
      <c r="X215" s="451"/>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5"/>
      <c r="AY215" s="426"/>
    </row>
    <row r="216" spans="2:51" ht="18" customHeight="1">
      <c r="B216" s="1945" t="str">
        <f>+$B$6</f>
        <v>戸建形式住宅</v>
      </c>
      <c r="C216" s="588" t="s">
        <v>23</v>
      </c>
      <c r="D216" s="1046" t="s">
        <v>5652</v>
      </c>
      <c r="E216" s="1047" t="s">
        <v>5652</v>
      </c>
      <c r="F216" s="1047" t="s">
        <v>5652</v>
      </c>
      <c r="G216" s="1047" t="s">
        <v>5652</v>
      </c>
      <c r="H216" s="1047" t="s">
        <v>5652</v>
      </c>
      <c r="I216" s="1048" t="s">
        <v>5652</v>
      </c>
      <c r="J216" s="474"/>
      <c r="K216" s="475"/>
      <c r="L216" s="451"/>
      <c r="M216" s="475"/>
      <c r="N216" s="475"/>
      <c r="O216" s="451"/>
      <c r="P216" s="475"/>
      <c r="Q216" s="475"/>
      <c r="R216" s="451"/>
      <c r="S216" s="451"/>
      <c r="T216" s="451"/>
      <c r="U216" s="451"/>
      <c r="V216" s="451"/>
      <c r="W216" s="451"/>
      <c r="X216" s="451"/>
      <c r="Y216" s="425"/>
      <c r="Z216" s="425"/>
      <c r="AA216" s="425"/>
      <c r="AB216" s="425"/>
      <c r="AC216" s="425"/>
      <c r="AD216" s="425"/>
      <c r="AE216" s="425"/>
      <c r="AF216" s="425"/>
      <c r="AG216" s="425"/>
      <c r="AH216" s="425"/>
      <c r="AI216" s="425"/>
      <c r="AJ216" s="425"/>
      <c r="AK216" s="425"/>
      <c r="AL216" s="425"/>
      <c r="AM216" s="425"/>
      <c r="AN216" s="425"/>
      <c r="AO216" s="425"/>
      <c r="AP216" s="425"/>
      <c r="AQ216" s="425"/>
      <c r="AR216" s="425"/>
      <c r="AS216" s="425"/>
      <c r="AT216" s="425"/>
      <c r="AU216" s="425"/>
      <c r="AV216" s="425"/>
      <c r="AW216" s="425"/>
      <c r="AX216" s="425"/>
      <c r="AY216" s="426"/>
    </row>
    <row r="217" spans="2:51" ht="18" customHeight="1">
      <c r="B217" s="1946" t="str">
        <f>+$B$7</f>
        <v>集合形式住宅</v>
      </c>
      <c r="C217" s="430">
        <v>54850</v>
      </c>
      <c r="D217" s="431" t="s">
        <v>741</v>
      </c>
      <c r="E217" s="432">
        <v>1.2</v>
      </c>
      <c r="F217" s="432" t="s">
        <v>712</v>
      </c>
      <c r="G217" s="432">
        <v>1</v>
      </c>
      <c r="H217" s="432" t="s">
        <v>743</v>
      </c>
      <c r="I217" s="436">
        <v>0.9</v>
      </c>
      <c r="J217" s="474"/>
      <c r="K217" s="475"/>
      <c r="L217" s="451"/>
      <c r="M217" s="475"/>
      <c r="N217" s="475"/>
      <c r="O217" s="451"/>
      <c r="P217" s="475"/>
      <c r="Q217" s="475"/>
      <c r="R217" s="451"/>
      <c r="S217" s="451"/>
      <c r="T217" s="451"/>
      <c r="U217" s="451"/>
      <c r="V217" s="451"/>
      <c r="W217" s="451"/>
      <c r="X217" s="451"/>
      <c r="Y217" s="425"/>
      <c r="Z217" s="425"/>
      <c r="AA217" s="425"/>
      <c r="AB217" s="425"/>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5"/>
      <c r="AY217" s="426"/>
    </row>
    <row r="218" spans="2:51" ht="18" customHeight="1">
      <c r="B218" s="1946" t="str">
        <f>+$B$8</f>
        <v>事務所・店舗</v>
      </c>
      <c r="C218" s="1205">
        <f>+C217</f>
        <v>54850</v>
      </c>
      <c r="D218" s="1242" t="str">
        <f t="shared" ref="D218:I218" si="16">+D217</f>
        <v>良い</v>
      </c>
      <c r="E218" s="1207">
        <f t="shared" si="16"/>
        <v>1.2</v>
      </c>
      <c r="F218" s="1207" t="str">
        <f t="shared" si="16"/>
        <v>普通</v>
      </c>
      <c r="G218" s="1207">
        <f t="shared" si="16"/>
        <v>1</v>
      </c>
      <c r="H218" s="1207" t="str">
        <f t="shared" si="16"/>
        <v>悪い</v>
      </c>
      <c r="I218" s="1210">
        <f t="shared" si="16"/>
        <v>0.9</v>
      </c>
      <c r="J218" s="474"/>
      <c r="K218" s="475"/>
      <c r="L218" s="451"/>
      <c r="M218" s="475"/>
      <c r="N218" s="475"/>
      <c r="O218" s="451"/>
      <c r="P218" s="475"/>
      <c r="Q218" s="475"/>
      <c r="R218" s="451"/>
      <c r="S218" s="451"/>
      <c r="T218" s="451"/>
      <c r="U218" s="451"/>
      <c r="V218" s="451"/>
      <c r="W218" s="451"/>
      <c r="X218" s="451"/>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5"/>
      <c r="AY218" s="426"/>
    </row>
    <row r="219" spans="2:51" ht="18" customHeight="1">
      <c r="B219" s="1946" t="str">
        <f>+$B$9</f>
        <v>病院・ホテル</v>
      </c>
      <c r="C219" s="1205">
        <f>+C217</f>
        <v>54850</v>
      </c>
      <c r="D219" s="1242" t="str">
        <f t="shared" ref="D219:I219" si="17">+D217</f>
        <v>良い</v>
      </c>
      <c r="E219" s="1207">
        <f t="shared" si="17"/>
        <v>1.2</v>
      </c>
      <c r="F219" s="1207" t="str">
        <f t="shared" si="17"/>
        <v>普通</v>
      </c>
      <c r="G219" s="1207">
        <f t="shared" si="17"/>
        <v>1</v>
      </c>
      <c r="H219" s="1207" t="str">
        <f t="shared" si="17"/>
        <v>悪い</v>
      </c>
      <c r="I219" s="1210">
        <f t="shared" si="17"/>
        <v>0.9</v>
      </c>
      <c r="J219" s="474"/>
      <c r="K219" s="475"/>
      <c r="L219" s="451"/>
      <c r="M219" s="475"/>
      <c r="N219" s="475"/>
      <c r="O219" s="451"/>
      <c r="P219" s="475"/>
      <c r="Q219" s="475"/>
      <c r="R219" s="451"/>
      <c r="S219" s="451"/>
      <c r="T219" s="451"/>
      <c r="U219" s="451"/>
      <c r="V219" s="451"/>
      <c r="W219" s="451"/>
      <c r="X219" s="451"/>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5"/>
      <c r="AY219" s="426"/>
    </row>
    <row r="220" spans="2:51" ht="18" customHeight="1">
      <c r="B220" s="1947" t="str">
        <f>+$B$10</f>
        <v>工場・倉庫</v>
      </c>
      <c r="C220" s="1308">
        <f>+C217</f>
        <v>54850</v>
      </c>
      <c r="D220" s="1309" t="str">
        <f t="shared" ref="D220:I220" si="18">+D217</f>
        <v>良い</v>
      </c>
      <c r="E220" s="1213">
        <f t="shared" si="18"/>
        <v>1.2</v>
      </c>
      <c r="F220" s="1213" t="str">
        <f t="shared" si="18"/>
        <v>普通</v>
      </c>
      <c r="G220" s="1213">
        <f t="shared" si="18"/>
        <v>1</v>
      </c>
      <c r="H220" s="1213" t="str">
        <f t="shared" si="18"/>
        <v>悪い</v>
      </c>
      <c r="I220" s="1310">
        <f t="shared" si="18"/>
        <v>0.9</v>
      </c>
      <c r="J220" s="476"/>
      <c r="K220" s="477"/>
      <c r="L220" s="478"/>
      <c r="M220" s="477"/>
      <c r="N220" s="477"/>
      <c r="O220" s="478"/>
      <c r="P220" s="477"/>
      <c r="Q220" s="477"/>
      <c r="R220" s="478"/>
      <c r="S220" s="451"/>
      <c r="T220" s="451"/>
      <c r="U220" s="451"/>
      <c r="V220" s="451"/>
      <c r="W220" s="451"/>
      <c r="X220" s="451"/>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5"/>
      <c r="AY220" s="426"/>
    </row>
    <row r="221" spans="2:51" ht="18" customHeight="1">
      <c r="B221" s="1941" t="s">
        <v>311</v>
      </c>
      <c r="C221" s="1916" t="s">
        <v>394</v>
      </c>
      <c r="D221" s="1888" t="s">
        <v>395</v>
      </c>
      <c r="E221" s="1889"/>
      <c r="F221" s="1889"/>
      <c r="G221" s="1889"/>
      <c r="H221" s="1889"/>
      <c r="I221" s="1890"/>
      <c r="J221" s="1914" t="s">
        <v>1137</v>
      </c>
      <c r="K221" s="1888"/>
      <c r="L221" s="1889"/>
      <c r="M221" s="1889"/>
      <c r="N221" s="1889"/>
      <c r="O221" s="1889"/>
      <c r="P221" s="1889"/>
      <c r="Q221" s="1890"/>
      <c r="R221" s="1891"/>
      <c r="S221" s="455"/>
      <c r="T221" s="455"/>
      <c r="U221" s="455"/>
      <c r="V221" s="455"/>
      <c r="W221" s="455"/>
      <c r="X221" s="455"/>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4"/>
    </row>
    <row r="222" spans="2:51" ht="18" customHeight="1">
      <c r="B222" s="1942"/>
      <c r="C222" s="1907" t="s">
        <v>50</v>
      </c>
      <c r="D222" s="1899" t="s">
        <v>318</v>
      </c>
      <c r="E222" s="1900"/>
      <c r="F222" s="1900" t="s">
        <v>319</v>
      </c>
      <c r="G222" s="1900"/>
      <c r="H222" s="1900" t="s">
        <v>320</v>
      </c>
      <c r="I222" s="1901"/>
      <c r="J222" s="1898" t="s">
        <v>318</v>
      </c>
      <c r="K222" s="1899"/>
      <c r="L222" s="1900"/>
      <c r="M222" s="1900" t="s">
        <v>319</v>
      </c>
      <c r="N222" s="1900"/>
      <c r="O222" s="1900"/>
      <c r="P222" s="1900" t="s">
        <v>320</v>
      </c>
      <c r="Q222" s="1901"/>
      <c r="R222" s="1902"/>
      <c r="S222" s="582" t="s">
        <v>5612</v>
      </c>
      <c r="T222" s="451"/>
      <c r="U222" s="451"/>
      <c r="V222" s="451"/>
      <c r="W222" s="451"/>
      <c r="X222" s="451"/>
      <c r="Y222" s="425"/>
      <c r="Z222" s="425"/>
      <c r="AA222" s="425"/>
      <c r="AB222" s="425"/>
      <c r="AC222" s="425"/>
      <c r="AD222" s="425"/>
      <c r="AE222" s="425"/>
      <c r="AF222" s="425"/>
      <c r="AG222" s="425"/>
      <c r="AH222" s="425"/>
      <c r="AI222" s="425"/>
      <c r="AJ222" s="425"/>
      <c r="AK222" s="425"/>
      <c r="AL222" s="425"/>
      <c r="AM222" s="425"/>
      <c r="AN222" s="425"/>
      <c r="AO222" s="425"/>
      <c r="AP222" s="425"/>
      <c r="AQ222" s="425"/>
      <c r="AR222" s="425"/>
      <c r="AS222" s="425"/>
      <c r="AT222" s="425"/>
      <c r="AU222" s="425"/>
      <c r="AV222" s="425"/>
      <c r="AW222" s="425"/>
      <c r="AX222" s="425"/>
      <c r="AY222" s="426"/>
    </row>
    <row r="223" spans="2:51" ht="18" customHeight="1">
      <c r="B223" s="1945" t="str">
        <f>+$B$6</f>
        <v>戸建形式住宅</v>
      </c>
      <c r="C223" s="588" t="s">
        <v>23</v>
      </c>
      <c r="D223" s="1046" t="s">
        <v>5652</v>
      </c>
      <c r="E223" s="1047" t="s">
        <v>5652</v>
      </c>
      <c r="F223" s="1047" t="s">
        <v>5652</v>
      </c>
      <c r="G223" s="1047" t="s">
        <v>5652</v>
      </c>
      <c r="H223" s="1047" t="s">
        <v>5652</v>
      </c>
      <c r="I223" s="1048" t="s">
        <v>5652</v>
      </c>
      <c r="J223" s="1046" t="s">
        <v>5652</v>
      </c>
      <c r="K223" s="1047" t="s">
        <v>5652</v>
      </c>
      <c r="L223" s="1047" t="s">
        <v>5652</v>
      </c>
      <c r="M223" s="1047" t="s">
        <v>5652</v>
      </c>
      <c r="N223" s="1047" t="s">
        <v>5652</v>
      </c>
      <c r="O223" s="1055" t="s">
        <v>5652</v>
      </c>
      <c r="P223" s="1055" t="s">
        <v>5652</v>
      </c>
      <c r="Q223" s="1055" t="s">
        <v>5652</v>
      </c>
      <c r="R223" s="1056" t="s">
        <v>5652</v>
      </c>
      <c r="S223" s="451"/>
      <c r="T223" s="451"/>
      <c r="U223" s="451"/>
      <c r="V223" s="451"/>
      <c r="W223" s="451"/>
      <c r="X223" s="451"/>
      <c r="Y223" s="425"/>
      <c r="Z223" s="425"/>
      <c r="AA223" s="425"/>
      <c r="AB223" s="425"/>
      <c r="AC223" s="425"/>
      <c r="AD223" s="425"/>
      <c r="AE223" s="425"/>
      <c r="AF223" s="425"/>
      <c r="AG223" s="425"/>
      <c r="AH223" s="425"/>
      <c r="AI223" s="425"/>
      <c r="AJ223" s="425"/>
      <c r="AK223" s="425"/>
      <c r="AL223" s="425"/>
      <c r="AM223" s="425"/>
      <c r="AN223" s="425"/>
      <c r="AO223" s="425"/>
      <c r="AP223" s="425"/>
      <c r="AQ223" s="425"/>
      <c r="AR223" s="425"/>
      <c r="AS223" s="425"/>
      <c r="AT223" s="425"/>
      <c r="AU223" s="425"/>
      <c r="AV223" s="425"/>
      <c r="AW223" s="425"/>
      <c r="AX223" s="425"/>
      <c r="AY223" s="426"/>
    </row>
    <row r="224" spans="2:51" ht="18" customHeight="1">
      <c r="B224" s="1946" t="str">
        <f>+$B$7</f>
        <v>集合形式住宅</v>
      </c>
      <c r="C224" s="430">
        <v>204320</v>
      </c>
      <c r="D224" s="431" t="s">
        <v>741</v>
      </c>
      <c r="E224" s="432">
        <v>1.2</v>
      </c>
      <c r="F224" s="432" t="s">
        <v>712</v>
      </c>
      <c r="G224" s="432">
        <v>1</v>
      </c>
      <c r="H224" s="432" t="s">
        <v>743</v>
      </c>
      <c r="I224" s="436">
        <v>0.9</v>
      </c>
      <c r="J224" s="1247" t="s">
        <v>864</v>
      </c>
      <c r="K224" s="1286">
        <v>12800</v>
      </c>
      <c r="L224" s="1303">
        <v>1.1000000000000001</v>
      </c>
      <c r="M224" s="1249" t="s">
        <v>865</v>
      </c>
      <c r="N224" s="1249">
        <v>9600</v>
      </c>
      <c r="O224" s="432">
        <v>1</v>
      </c>
      <c r="P224" s="1249" t="s">
        <v>866</v>
      </c>
      <c r="Q224" s="1287">
        <v>6400</v>
      </c>
      <c r="R224" s="433">
        <v>0.8</v>
      </c>
      <c r="S224" s="451"/>
      <c r="T224" s="451"/>
      <c r="U224" s="451"/>
      <c r="V224" s="451"/>
      <c r="W224" s="451"/>
      <c r="X224" s="451"/>
      <c r="Y224" s="425"/>
      <c r="Z224" s="425"/>
      <c r="AA224" s="425"/>
      <c r="AB224" s="425"/>
      <c r="AC224" s="425"/>
      <c r="AD224" s="425"/>
      <c r="AE224" s="425"/>
      <c r="AF224" s="425"/>
      <c r="AG224" s="425"/>
      <c r="AH224" s="425"/>
      <c r="AI224" s="425"/>
      <c r="AJ224" s="425"/>
      <c r="AK224" s="425"/>
      <c r="AL224" s="425"/>
      <c r="AM224" s="425"/>
      <c r="AN224" s="425"/>
      <c r="AO224" s="425"/>
      <c r="AP224" s="425"/>
      <c r="AQ224" s="425"/>
      <c r="AR224" s="425"/>
      <c r="AS224" s="425"/>
      <c r="AT224" s="425"/>
      <c r="AU224" s="425"/>
      <c r="AV224" s="425"/>
      <c r="AW224" s="425"/>
      <c r="AX224" s="425"/>
      <c r="AY224" s="426"/>
    </row>
    <row r="225" spans="2:51" ht="18" customHeight="1">
      <c r="B225" s="1946" t="str">
        <f>+$B$8</f>
        <v>事務所・店舗</v>
      </c>
      <c r="C225" s="1205">
        <f>+C224</f>
        <v>204320</v>
      </c>
      <c r="D225" s="1242" t="str">
        <f t="shared" ref="D225:R225" si="19">+D224</f>
        <v>良い</v>
      </c>
      <c r="E225" s="1207">
        <f t="shared" si="19"/>
        <v>1.2</v>
      </c>
      <c r="F225" s="1207" t="str">
        <f t="shared" si="19"/>
        <v>普通</v>
      </c>
      <c r="G225" s="1207">
        <f t="shared" si="19"/>
        <v>1</v>
      </c>
      <c r="H225" s="1207" t="str">
        <f t="shared" si="19"/>
        <v>悪い</v>
      </c>
      <c r="I225" s="1210">
        <f t="shared" si="19"/>
        <v>0.9</v>
      </c>
      <c r="J225" s="1244" t="str">
        <f t="shared" si="19"/>
        <v>160cm*80cm</v>
      </c>
      <c r="K225" s="1245">
        <f t="shared" si="19"/>
        <v>12800</v>
      </c>
      <c r="L225" s="1207">
        <f t="shared" si="19"/>
        <v>1.1000000000000001</v>
      </c>
      <c r="M225" s="1246" t="str">
        <f t="shared" si="19"/>
        <v>120cm*80cm</v>
      </c>
      <c r="N225" s="1246">
        <f t="shared" si="19"/>
        <v>9600</v>
      </c>
      <c r="O225" s="1207">
        <f t="shared" si="19"/>
        <v>1</v>
      </c>
      <c r="P225" s="1246" t="str">
        <f t="shared" si="19"/>
        <v>80cm*80cm</v>
      </c>
      <c r="Q225" s="1307">
        <f t="shared" si="19"/>
        <v>6400</v>
      </c>
      <c r="R225" s="1210">
        <f t="shared" si="19"/>
        <v>0.8</v>
      </c>
      <c r="S225" s="451"/>
      <c r="T225" s="451"/>
      <c r="U225" s="451"/>
      <c r="V225" s="451"/>
      <c r="W225" s="451"/>
      <c r="X225" s="451"/>
      <c r="Y225" s="425"/>
      <c r="Z225" s="425"/>
      <c r="AA225" s="425"/>
      <c r="AB225" s="425"/>
      <c r="AC225" s="425"/>
      <c r="AD225" s="425"/>
      <c r="AE225" s="425"/>
      <c r="AF225" s="425"/>
      <c r="AG225" s="425"/>
      <c r="AH225" s="425"/>
      <c r="AI225" s="425"/>
      <c r="AJ225" s="425"/>
      <c r="AK225" s="425"/>
      <c r="AL225" s="425"/>
      <c r="AM225" s="425"/>
      <c r="AN225" s="425"/>
      <c r="AO225" s="425"/>
      <c r="AP225" s="425"/>
      <c r="AQ225" s="425"/>
      <c r="AR225" s="425"/>
      <c r="AS225" s="425"/>
      <c r="AT225" s="425"/>
      <c r="AU225" s="425"/>
      <c r="AV225" s="425"/>
      <c r="AW225" s="425"/>
      <c r="AX225" s="425"/>
      <c r="AY225" s="426"/>
    </row>
    <row r="226" spans="2:51" ht="18" customHeight="1">
      <c r="B226" s="1946" t="str">
        <f>+$B$9</f>
        <v>病院・ホテル</v>
      </c>
      <c r="C226" s="1205">
        <f>+C224</f>
        <v>204320</v>
      </c>
      <c r="D226" s="1242" t="str">
        <f t="shared" ref="D226:R226" si="20">+D224</f>
        <v>良い</v>
      </c>
      <c r="E226" s="1207">
        <f t="shared" si="20"/>
        <v>1.2</v>
      </c>
      <c r="F226" s="1207" t="str">
        <f t="shared" si="20"/>
        <v>普通</v>
      </c>
      <c r="G226" s="1207">
        <f t="shared" si="20"/>
        <v>1</v>
      </c>
      <c r="H226" s="1207" t="str">
        <f t="shared" si="20"/>
        <v>悪い</v>
      </c>
      <c r="I226" s="1210">
        <f t="shared" si="20"/>
        <v>0.9</v>
      </c>
      <c r="J226" s="1244" t="str">
        <f t="shared" si="20"/>
        <v>160cm*80cm</v>
      </c>
      <c r="K226" s="1245">
        <f t="shared" si="20"/>
        <v>12800</v>
      </c>
      <c r="L226" s="1207">
        <f t="shared" si="20"/>
        <v>1.1000000000000001</v>
      </c>
      <c r="M226" s="1246" t="str">
        <f t="shared" si="20"/>
        <v>120cm*80cm</v>
      </c>
      <c r="N226" s="1246">
        <f t="shared" si="20"/>
        <v>9600</v>
      </c>
      <c r="O226" s="1207">
        <f t="shared" si="20"/>
        <v>1</v>
      </c>
      <c r="P226" s="1246" t="str">
        <f t="shared" si="20"/>
        <v>80cm*80cm</v>
      </c>
      <c r="Q226" s="1307">
        <f t="shared" si="20"/>
        <v>6400</v>
      </c>
      <c r="R226" s="1210">
        <f t="shared" si="20"/>
        <v>0.8</v>
      </c>
      <c r="S226" s="463"/>
      <c r="T226" s="451"/>
      <c r="U226" s="466"/>
      <c r="V226" s="451"/>
      <c r="W226" s="466"/>
      <c r="X226" s="451"/>
      <c r="Y226" s="451"/>
      <c r="Z226" s="451"/>
      <c r="AA226" s="451"/>
      <c r="AB226" s="451"/>
      <c r="AC226" s="451"/>
      <c r="AD226" s="451"/>
      <c r="AE226" s="451"/>
      <c r="AF226" s="451"/>
      <c r="AG226" s="451"/>
      <c r="AH226" s="451"/>
      <c r="AI226" s="451"/>
      <c r="AJ226" s="451"/>
      <c r="AK226" s="425"/>
      <c r="AL226" s="425"/>
      <c r="AM226" s="425"/>
      <c r="AN226" s="425"/>
      <c r="AO226" s="425"/>
      <c r="AP226" s="425"/>
      <c r="AQ226" s="425"/>
      <c r="AR226" s="425"/>
      <c r="AS226" s="425"/>
      <c r="AT226" s="425"/>
      <c r="AU226" s="425"/>
      <c r="AV226" s="425"/>
      <c r="AW226" s="425"/>
      <c r="AX226" s="425"/>
      <c r="AY226" s="426"/>
    </row>
    <row r="227" spans="2:51" ht="18" customHeight="1">
      <c r="B227" s="1947" t="str">
        <f>+$B$10</f>
        <v>工場・倉庫</v>
      </c>
      <c r="C227" s="1308">
        <f>+C224</f>
        <v>204320</v>
      </c>
      <c r="D227" s="1309" t="str">
        <f t="shared" ref="D227:R227" si="21">+D224</f>
        <v>良い</v>
      </c>
      <c r="E227" s="1213">
        <f t="shared" si="21"/>
        <v>1.2</v>
      </c>
      <c r="F227" s="1213" t="str">
        <f t="shared" si="21"/>
        <v>普通</v>
      </c>
      <c r="G227" s="1213">
        <f t="shared" si="21"/>
        <v>1</v>
      </c>
      <c r="H227" s="1213" t="str">
        <f t="shared" si="21"/>
        <v>悪い</v>
      </c>
      <c r="I227" s="1310">
        <f t="shared" si="21"/>
        <v>0.9</v>
      </c>
      <c r="J227" s="1311" t="str">
        <f t="shared" si="21"/>
        <v>160cm*80cm</v>
      </c>
      <c r="K227" s="1312">
        <f t="shared" si="21"/>
        <v>12800</v>
      </c>
      <c r="L227" s="1215">
        <f t="shared" si="21"/>
        <v>1.1000000000000001</v>
      </c>
      <c r="M227" s="1313" t="str">
        <f t="shared" si="21"/>
        <v>120cm*80cm</v>
      </c>
      <c r="N227" s="1313">
        <f t="shared" si="21"/>
        <v>9600</v>
      </c>
      <c r="O227" s="1215">
        <f t="shared" si="21"/>
        <v>1</v>
      </c>
      <c r="P227" s="1313" t="str">
        <f t="shared" si="21"/>
        <v>80cm*80cm</v>
      </c>
      <c r="Q227" s="1314">
        <f t="shared" si="21"/>
        <v>6400</v>
      </c>
      <c r="R227" s="1315">
        <f t="shared" si="21"/>
        <v>0.8</v>
      </c>
      <c r="S227" s="463"/>
      <c r="T227" s="451"/>
      <c r="U227" s="466"/>
      <c r="V227" s="451"/>
      <c r="W227" s="466"/>
      <c r="X227" s="451"/>
      <c r="Y227" s="451"/>
      <c r="Z227" s="451"/>
      <c r="AA227" s="451"/>
      <c r="AB227" s="451"/>
      <c r="AC227" s="451"/>
      <c r="AD227" s="451"/>
      <c r="AE227" s="451"/>
      <c r="AF227" s="451"/>
      <c r="AG227" s="451"/>
      <c r="AH227" s="451"/>
      <c r="AI227" s="451"/>
      <c r="AJ227" s="451"/>
      <c r="AK227" s="425"/>
      <c r="AL227" s="425"/>
      <c r="AM227" s="425"/>
      <c r="AN227" s="425"/>
      <c r="AO227" s="425"/>
      <c r="AP227" s="425"/>
      <c r="AQ227" s="425"/>
      <c r="AR227" s="425"/>
      <c r="AS227" s="425"/>
      <c r="AT227" s="425"/>
      <c r="AU227" s="425"/>
      <c r="AV227" s="425"/>
      <c r="AW227" s="425"/>
      <c r="AX227" s="425"/>
      <c r="AY227" s="426"/>
    </row>
    <row r="228" spans="2:51" ht="18" customHeight="1">
      <c r="B228" s="1941" t="s">
        <v>311</v>
      </c>
      <c r="C228" s="1916" t="s">
        <v>5412</v>
      </c>
      <c r="D228" s="1932" t="s">
        <v>5413</v>
      </c>
      <c r="E228" s="1889"/>
      <c r="F228" s="1889"/>
      <c r="G228" s="1889"/>
      <c r="H228" s="1889"/>
      <c r="I228" s="1890"/>
      <c r="J228" s="1914" t="s">
        <v>5610</v>
      </c>
      <c r="K228" s="1888"/>
      <c r="L228" s="1889"/>
      <c r="M228" s="1889"/>
      <c r="N228" s="1889"/>
      <c r="O228" s="1889"/>
      <c r="P228" s="1889"/>
      <c r="Q228" s="1890"/>
      <c r="R228" s="1891"/>
      <c r="S228" s="455"/>
      <c r="T228" s="455"/>
      <c r="U228" s="455"/>
      <c r="V228" s="455"/>
      <c r="W228" s="455"/>
      <c r="X228" s="455"/>
      <c r="Y228" s="423"/>
      <c r="Z228" s="423"/>
      <c r="AA228" s="423"/>
      <c r="AB228" s="423"/>
      <c r="AC228" s="423"/>
      <c r="AD228" s="423"/>
      <c r="AE228" s="423"/>
      <c r="AF228" s="423"/>
      <c r="AG228" s="423"/>
      <c r="AH228" s="423"/>
      <c r="AI228" s="423"/>
      <c r="AJ228" s="423"/>
      <c r="AK228" s="423"/>
      <c r="AL228" s="423"/>
      <c r="AM228" s="423"/>
      <c r="AN228" s="423"/>
      <c r="AO228" s="423"/>
      <c r="AP228" s="423"/>
      <c r="AQ228" s="423"/>
      <c r="AR228" s="423"/>
      <c r="AS228" s="423"/>
      <c r="AT228" s="423"/>
      <c r="AU228" s="423"/>
      <c r="AV228" s="423"/>
      <c r="AW228" s="423"/>
      <c r="AX228" s="423"/>
      <c r="AY228" s="424"/>
    </row>
    <row r="229" spans="2:51" ht="18" customHeight="1">
      <c r="B229" s="1942"/>
      <c r="C229" s="1907" t="s">
        <v>5411</v>
      </c>
      <c r="D229" s="1899" t="s">
        <v>318</v>
      </c>
      <c r="E229" s="1900"/>
      <c r="F229" s="1900" t="s">
        <v>319</v>
      </c>
      <c r="G229" s="1900"/>
      <c r="H229" s="1900" t="s">
        <v>320</v>
      </c>
      <c r="I229" s="1901"/>
      <c r="J229" s="1898" t="s">
        <v>318</v>
      </c>
      <c r="K229" s="1899"/>
      <c r="L229" s="1900"/>
      <c r="M229" s="1900" t="s">
        <v>319</v>
      </c>
      <c r="N229" s="1900"/>
      <c r="O229" s="1900"/>
      <c r="P229" s="1900" t="s">
        <v>320</v>
      </c>
      <c r="Q229" s="1901"/>
      <c r="R229" s="1902"/>
      <c r="S229" s="582" t="s">
        <v>5611</v>
      </c>
      <c r="T229" s="451"/>
      <c r="U229" s="451"/>
      <c r="V229" s="451"/>
      <c r="W229" s="451"/>
      <c r="X229" s="451"/>
      <c r="Y229" s="425"/>
      <c r="Z229" s="425"/>
      <c r="AA229" s="425"/>
      <c r="AB229" s="425"/>
      <c r="AC229" s="425"/>
      <c r="AD229" s="425"/>
      <c r="AE229" s="425"/>
      <c r="AF229" s="425"/>
      <c r="AG229" s="425"/>
      <c r="AH229" s="425"/>
      <c r="AI229" s="425"/>
      <c r="AJ229" s="425"/>
      <c r="AK229" s="425"/>
      <c r="AL229" s="425"/>
      <c r="AM229" s="425"/>
      <c r="AN229" s="425"/>
      <c r="AO229" s="425"/>
      <c r="AP229" s="425"/>
      <c r="AQ229" s="425"/>
      <c r="AR229" s="425"/>
      <c r="AS229" s="425"/>
      <c r="AT229" s="425"/>
      <c r="AU229" s="425"/>
      <c r="AV229" s="425"/>
      <c r="AW229" s="425"/>
      <c r="AX229" s="425"/>
      <c r="AY229" s="426"/>
    </row>
    <row r="230" spans="2:51" ht="18" customHeight="1">
      <c r="B230" s="1945" t="str">
        <f>+$B$6</f>
        <v>戸建形式住宅</v>
      </c>
      <c r="C230" s="588" t="s">
        <v>23</v>
      </c>
      <c r="D230" s="1046" t="s">
        <v>5652</v>
      </c>
      <c r="E230" s="1047" t="s">
        <v>5652</v>
      </c>
      <c r="F230" s="1047" t="s">
        <v>5652</v>
      </c>
      <c r="G230" s="1047" t="s">
        <v>5652</v>
      </c>
      <c r="H230" s="1047" t="s">
        <v>5652</v>
      </c>
      <c r="I230" s="1048" t="s">
        <v>5652</v>
      </c>
      <c r="J230" s="1046" t="s">
        <v>5652</v>
      </c>
      <c r="K230" s="1047" t="s">
        <v>5652</v>
      </c>
      <c r="L230" s="1047" t="s">
        <v>5652</v>
      </c>
      <c r="M230" s="1047" t="s">
        <v>5652</v>
      </c>
      <c r="N230" s="1047" t="s">
        <v>5652</v>
      </c>
      <c r="O230" s="1055" t="s">
        <v>5652</v>
      </c>
      <c r="P230" s="1055" t="s">
        <v>5652</v>
      </c>
      <c r="Q230" s="1055" t="s">
        <v>5652</v>
      </c>
      <c r="R230" s="1056" t="s">
        <v>5652</v>
      </c>
      <c r="S230" s="451"/>
      <c r="T230" s="451"/>
      <c r="U230" s="451"/>
      <c r="V230" s="451"/>
      <c r="W230" s="451"/>
      <c r="X230" s="451"/>
      <c r="Y230" s="425"/>
      <c r="Z230" s="425"/>
      <c r="AA230" s="425"/>
      <c r="AB230" s="425"/>
      <c r="AC230" s="425"/>
      <c r="AD230" s="425"/>
      <c r="AE230" s="425"/>
      <c r="AF230" s="425"/>
      <c r="AG230" s="425"/>
      <c r="AH230" s="425"/>
      <c r="AI230" s="425"/>
      <c r="AJ230" s="425"/>
      <c r="AK230" s="425"/>
      <c r="AL230" s="425"/>
      <c r="AM230" s="425"/>
      <c r="AN230" s="425"/>
      <c r="AO230" s="425"/>
      <c r="AP230" s="425"/>
      <c r="AQ230" s="425"/>
      <c r="AR230" s="425"/>
      <c r="AS230" s="425"/>
      <c r="AT230" s="425"/>
      <c r="AU230" s="425"/>
      <c r="AV230" s="425"/>
      <c r="AW230" s="425"/>
      <c r="AX230" s="425"/>
      <c r="AY230" s="426"/>
    </row>
    <row r="231" spans="2:51" ht="18" customHeight="1">
      <c r="B231" s="1946" t="str">
        <f>+$B$7</f>
        <v>集合形式住宅</v>
      </c>
      <c r="C231" s="1205">
        <f t="shared" ref="C231:J231" si="22">+C233</f>
        <v>58890</v>
      </c>
      <c r="D231" s="1242" t="str">
        <f t="shared" si="22"/>
        <v>良い</v>
      </c>
      <c r="E231" s="1207">
        <f t="shared" si="22"/>
        <v>1.4</v>
      </c>
      <c r="F231" s="1207" t="str">
        <f t="shared" si="22"/>
        <v>普通</v>
      </c>
      <c r="G231" s="1207">
        <f t="shared" si="22"/>
        <v>1</v>
      </c>
      <c r="H231" s="1207" t="str">
        <f t="shared" si="22"/>
        <v>悪い</v>
      </c>
      <c r="I231" s="1243">
        <f t="shared" si="22"/>
        <v>0.7</v>
      </c>
      <c r="J231" s="1244">
        <f t="shared" si="22"/>
        <v>150</v>
      </c>
      <c r="K231" s="1245" t="s">
        <v>5608</v>
      </c>
      <c r="L231" s="1207">
        <f>+L233</f>
        <v>1.1000000000000001</v>
      </c>
      <c r="M231" s="1246">
        <f>+M233</f>
        <v>120</v>
      </c>
      <c r="N231" s="1245" t="s">
        <v>5608</v>
      </c>
      <c r="O231" s="1207">
        <f>+O233</f>
        <v>1</v>
      </c>
      <c r="P231" s="1246">
        <f>+P233</f>
        <v>105</v>
      </c>
      <c r="Q231" s="1245" t="s">
        <v>5608</v>
      </c>
      <c r="R231" s="1210">
        <f>+R233</f>
        <v>0.95</v>
      </c>
      <c r="S231" s="451"/>
      <c r="T231" s="451"/>
      <c r="U231" s="451"/>
      <c r="V231" s="451"/>
      <c r="W231" s="451"/>
      <c r="X231" s="451"/>
      <c r="Y231" s="425"/>
      <c r="Z231" s="425"/>
      <c r="AA231" s="425"/>
      <c r="AB231" s="425"/>
      <c r="AC231" s="425"/>
      <c r="AD231" s="425"/>
      <c r="AE231" s="425"/>
      <c r="AF231" s="425"/>
      <c r="AG231" s="425"/>
      <c r="AH231" s="425"/>
      <c r="AI231" s="425"/>
      <c r="AJ231" s="425"/>
      <c r="AK231" s="425"/>
      <c r="AL231" s="425"/>
      <c r="AM231" s="425"/>
      <c r="AN231" s="425"/>
      <c r="AO231" s="425"/>
      <c r="AP231" s="425"/>
      <c r="AQ231" s="425"/>
      <c r="AR231" s="425"/>
      <c r="AS231" s="425"/>
      <c r="AT231" s="425"/>
      <c r="AU231" s="425"/>
      <c r="AV231" s="425"/>
      <c r="AW231" s="425"/>
      <c r="AX231" s="425"/>
      <c r="AY231" s="426"/>
    </row>
    <row r="232" spans="2:51" ht="18" customHeight="1">
      <c r="B232" s="1946" t="str">
        <f>+$B$8</f>
        <v>事務所・店舗</v>
      </c>
      <c r="C232" s="430">
        <f>C233</f>
        <v>58890</v>
      </c>
      <c r="D232" s="1242" t="str">
        <f>+D233</f>
        <v>良い</v>
      </c>
      <c r="E232" s="1207">
        <f t="shared" ref="E232:R232" si="23">+E233</f>
        <v>1.4</v>
      </c>
      <c r="F232" s="1207" t="str">
        <f t="shared" si="23"/>
        <v>普通</v>
      </c>
      <c r="G232" s="1207">
        <f t="shared" si="23"/>
        <v>1</v>
      </c>
      <c r="H232" s="1207" t="str">
        <f t="shared" si="23"/>
        <v>悪い</v>
      </c>
      <c r="I232" s="1243">
        <f t="shared" si="23"/>
        <v>0.7</v>
      </c>
      <c r="J232" s="1244">
        <f t="shared" si="23"/>
        <v>150</v>
      </c>
      <c r="K232" s="1245" t="s">
        <v>5608</v>
      </c>
      <c r="L232" s="1207">
        <f t="shared" si="23"/>
        <v>1.1000000000000001</v>
      </c>
      <c r="M232" s="1246">
        <f t="shared" si="23"/>
        <v>120</v>
      </c>
      <c r="N232" s="1245" t="s">
        <v>5608</v>
      </c>
      <c r="O232" s="1207">
        <f t="shared" si="23"/>
        <v>1</v>
      </c>
      <c r="P232" s="1246">
        <f t="shared" si="23"/>
        <v>105</v>
      </c>
      <c r="Q232" s="1245" t="s">
        <v>5608</v>
      </c>
      <c r="R232" s="1210">
        <f t="shared" si="23"/>
        <v>0.95</v>
      </c>
      <c r="S232" s="451"/>
      <c r="T232" s="451"/>
      <c r="U232" s="451"/>
      <c r="V232" s="451"/>
      <c r="W232" s="451"/>
      <c r="X232" s="451"/>
      <c r="Y232" s="425"/>
      <c r="Z232" s="425"/>
      <c r="AA232" s="425"/>
      <c r="AB232" s="425"/>
      <c r="AC232" s="425"/>
      <c r="AD232" s="425"/>
      <c r="AE232" s="425"/>
      <c r="AF232" s="425"/>
      <c r="AG232" s="425"/>
      <c r="AH232" s="425"/>
      <c r="AI232" s="425"/>
      <c r="AJ232" s="425"/>
      <c r="AK232" s="425"/>
      <c r="AL232" s="425"/>
      <c r="AM232" s="425"/>
      <c r="AN232" s="425"/>
      <c r="AO232" s="425"/>
      <c r="AP232" s="425"/>
      <c r="AQ232" s="425"/>
      <c r="AR232" s="425"/>
      <c r="AS232" s="425"/>
      <c r="AT232" s="425"/>
      <c r="AU232" s="425"/>
      <c r="AV232" s="425"/>
      <c r="AW232" s="425"/>
      <c r="AX232" s="425"/>
      <c r="AY232" s="426"/>
    </row>
    <row r="233" spans="2:51" ht="18" customHeight="1">
      <c r="B233" s="1946" t="str">
        <f>+$B$9</f>
        <v>病院・ホテル</v>
      </c>
      <c r="C233" s="430">
        <v>58890</v>
      </c>
      <c r="D233" s="431" t="s">
        <v>741</v>
      </c>
      <c r="E233" s="432">
        <v>1.4</v>
      </c>
      <c r="F233" s="432" t="s">
        <v>712</v>
      </c>
      <c r="G233" s="432">
        <v>1</v>
      </c>
      <c r="H233" s="432" t="s">
        <v>743</v>
      </c>
      <c r="I233" s="436">
        <v>0.7</v>
      </c>
      <c r="J233" s="1247">
        <v>150</v>
      </c>
      <c r="K233" s="1248" t="s">
        <v>5608</v>
      </c>
      <c r="L233" s="432">
        <v>1.1000000000000001</v>
      </c>
      <c r="M233" s="1249">
        <v>120</v>
      </c>
      <c r="N233" s="1248" t="s">
        <v>5608</v>
      </c>
      <c r="O233" s="432">
        <v>1</v>
      </c>
      <c r="P233" s="1249">
        <v>105</v>
      </c>
      <c r="Q233" s="1248" t="s">
        <v>5608</v>
      </c>
      <c r="R233" s="433">
        <v>0.95</v>
      </c>
      <c r="S233" s="463"/>
      <c r="T233" s="451"/>
      <c r="U233" s="466"/>
      <c r="V233" s="451"/>
      <c r="W233" s="466"/>
      <c r="X233" s="451"/>
      <c r="Y233" s="451"/>
      <c r="Z233" s="451"/>
      <c r="AA233" s="451"/>
      <c r="AB233" s="451"/>
      <c r="AC233" s="451"/>
      <c r="AD233" s="451"/>
      <c r="AE233" s="451"/>
      <c r="AF233" s="451"/>
      <c r="AG233" s="451"/>
      <c r="AH233" s="451"/>
      <c r="AI233" s="451"/>
      <c r="AJ233" s="451"/>
      <c r="AK233" s="425"/>
      <c r="AL233" s="425"/>
      <c r="AM233" s="425"/>
      <c r="AN233" s="425"/>
      <c r="AO233" s="425"/>
      <c r="AP233" s="425"/>
      <c r="AQ233" s="425"/>
      <c r="AR233" s="425"/>
      <c r="AS233" s="425"/>
      <c r="AT233" s="425"/>
      <c r="AU233" s="425"/>
      <c r="AV233" s="425"/>
      <c r="AW233" s="425"/>
      <c r="AX233" s="425"/>
      <c r="AY233" s="426"/>
    </row>
    <row r="234" spans="2:51" ht="18" customHeight="1">
      <c r="B234" s="1947" t="str">
        <f>+$B$10</f>
        <v>工場・倉庫</v>
      </c>
      <c r="C234" s="1203">
        <v>58890</v>
      </c>
      <c r="D234" s="431" t="s">
        <v>741</v>
      </c>
      <c r="E234" s="432">
        <v>1.4</v>
      </c>
      <c r="F234" s="432" t="s">
        <v>712</v>
      </c>
      <c r="G234" s="432">
        <v>1</v>
      </c>
      <c r="H234" s="432" t="s">
        <v>743</v>
      </c>
      <c r="I234" s="436">
        <v>0.7</v>
      </c>
      <c r="J234" s="1247">
        <v>150</v>
      </c>
      <c r="K234" s="1248" t="s">
        <v>5608</v>
      </c>
      <c r="L234" s="432">
        <v>1.1000000000000001</v>
      </c>
      <c r="M234" s="1249">
        <v>120</v>
      </c>
      <c r="N234" s="1248" t="s">
        <v>5608</v>
      </c>
      <c r="O234" s="432">
        <v>1</v>
      </c>
      <c r="P234" s="1249">
        <v>105</v>
      </c>
      <c r="Q234" s="1248" t="s">
        <v>5608</v>
      </c>
      <c r="R234" s="433">
        <v>0.95</v>
      </c>
      <c r="S234" s="463"/>
      <c r="T234" s="451"/>
      <c r="U234" s="466"/>
      <c r="V234" s="451"/>
      <c r="W234" s="466"/>
      <c r="X234" s="451"/>
      <c r="Y234" s="451"/>
      <c r="Z234" s="451"/>
      <c r="AA234" s="451"/>
      <c r="AB234" s="451"/>
      <c r="AC234" s="451"/>
      <c r="AD234" s="451"/>
      <c r="AE234" s="451"/>
      <c r="AF234" s="451"/>
      <c r="AG234" s="451"/>
      <c r="AH234" s="451"/>
      <c r="AI234" s="451"/>
      <c r="AJ234" s="451"/>
      <c r="AK234" s="425"/>
      <c r="AL234" s="425"/>
      <c r="AM234" s="425"/>
      <c r="AN234" s="425"/>
      <c r="AO234" s="425"/>
      <c r="AP234" s="425"/>
      <c r="AQ234" s="425"/>
      <c r="AR234" s="425"/>
      <c r="AS234" s="425"/>
      <c r="AT234" s="425"/>
      <c r="AU234" s="425"/>
      <c r="AV234" s="425"/>
      <c r="AW234" s="425"/>
      <c r="AX234" s="425"/>
      <c r="AY234" s="426"/>
    </row>
    <row r="235" spans="2:51" ht="18" customHeight="1">
      <c r="B235" s="1941" t="s">
        <v>311</v>
      </c>
      <c r="C235" s="1928" t="s">
        <v>1128</v>
      </c>
      <c r="D235" s="1914" t="s">
        <v>1131</v>
      </c>
      <c r="E235" s="1889"/>
      <c r="F235" s="1889"/>
      <c r="G235" s="1889"/>
      <c r="H235" s="1889"/>
      <c r="I235" s="1891"/>
      <c r="J235" s="1914" t="s">
        <v>1132</v>
      </c>
      <c r="K235" s="1889"/>
      <c r="L235" s="1889"/>
      <c r="M235" s="1889"/>
      <c r="N235" s="1889"/>
      <c r="O235" s="1891"/>
      <c r="P235" s="1914" t="s">
        <v>1130</v>
      </c>
      <c r="Q235" s="1889"/>
      <c r="R235" s="1889"/>
      <c r="S235" s="1889"/>
      <c r="T235" s="1889"/>
      <c r="U235" s="1891"/>
      <c r="V235" s="423"/>
      <c r="W235" s="423"/>
      <c r="X235" s="423"/>
      <c r="Y235" s="423"/>
      <c r="Z235" s="423"/>
      <c r="AA235" s="423"/>
      <c r="AB235" s="423"/>
      <c r="AC235" s="423"/>
      <c r="AD235" s="423"/>
      <c r="AE235" s="423"/>
      <c r="AF235" s="423"/>
      <c r="AG235" s="423"/>
      <c r="AH235" s="423"/>
      <c r="AI235" s="423"/>
      <c r="AJ235" s="423"/>
      <c r="AK235" s="423"/>
      <c r="AL235" s="423"/>
      <c r="AM235" s="423"/>
      <c r="AN235" s="423"/>
      <c r="AO235" s="423"/>
      <c r="AP235" s="423"/>
      <c r="AQ235" s="423"/>
      <c r="AR235" s="423"/>
      <c r="AS235" s="423"/>
      <c r="AT235" s="423"/>
      <c r="AU235" s="423"/>
      <c r="AV235" s="423"/>
      <c r="AW235" s="423"/>
      <c r="AX235" s="423"/>
      <c r="AY235" s="424"/>
    </row>
    <row r="236" spans="2:51" ht="18" customHeight="1">
      <c r="B236" s="1942"/>
      <c r="C236" s="1907" t="s">
        <v>1129</v>
      </c>
      <c r="D236" s="1898" t="s">
        <v>318</v>
      </c>
      <c r="E236" s="1900"/>
      <c r="F236" s="1900" t="s">
        <v>319</v>
      </c>
      <c r="G236" s="1900"/>
      <c r="H236" s="1900" t="s">
        <v>320</v>
      </c>
      <c r="I236" s="1902"/>
      <c r="J236" s="1898" t="s">
        <v>318</v>
      </c>
      <c r="K236" s="1900"/>
      <c r="L236" s="1900" t="s">
        <v>319</v>
      </c>
      <c r="M236" s="1900"/>
      <c r="N236" s="1900" t="s">
        <v>320</v>
      </c>
      <c r="O236" s="1902"/>
      <c r="P236" s="1898" t="s">
        <v>318</v>
      </c>
      <c r="Q236" s="1900"/>
      <c r="R236" s="1900" t="s">
        <v>319</v>
      </c>
      <c r="S236" s="1900"/>
      <c r="T236" s="1900" t="s">
        <v>320</v>
      </c>
      <c r="U236" s="1902"/>
      <c r="V236" s="582" t="s">
        <v>5622</v>
      </c>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5"/>
      <c r="AY236" s="426"/>
    </row>
    <row r="237" spans="2:51" ht="18" customHeight="1">
      <c r="B237" s="1945" t="str">
        <f>+$B$6</f>
        <v>戸建形式住宅</v>
      </c>
      <c r="C237" s="588" t="s">
        <v>23</v>
      </c>
      <c r="D237" s="1046" t="s">
        <v>23</v>
      </c>
      <c r="E237" s="1047" t="s">
        <v>23</v>
      </c>
      <c r="F237" s="1047" t="s">
        <v>23</v>
      </c>
      <c r="G237" s="1047" t="s">
        <v>23</v>
      </c>
      <c r="H237" s="1047" t="s">
        <v>23</v>
      </c>
      <c r="I237" s="1048" t="s">
        <v>23</v>
      </c>
      <c r="J237" s="1046" t="s">
        <v>23</v>
      </c>
      <c r="K237" s="1047" t="s">
        <v>23</v>
      </c>
      <c r="L237" s="1047" t="s">
        <v>23</v>
      </c>
      <c r="M237" s="1047" t="s">
        <v>23</v>
      </c>
      <c r="N237" s="1047" t="s">
        <v>23</v>
      </c>
      <c r="O237" s="1048" t="s">
        <v>23</v>
      </c>
      <c r="P237" s="1046" t="s">
        <v>23</v>
      </c>
      <c r="Q237" s="1047" t="s">
        <v>23</v>
      </c>
      <c r="R237" s="1047" t="s">
        <v>23</v>
      </c>
      <c r="S237" s="1047" t="s">
        <v>23</v>
      </c>
      <c r="T237" s="1047" t="s">
        <v>23</v>
      </c>
      <c r="U237" s="1048" t="s">
        <v>23</v>
      </c>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5"/>
      <c r="AY237" s="426"/>
    </row>
    <row r="238" spans="2:51" ht="18" customHeight="1">
      <c r="B238" s="1946" t="str">
        <f>+$B$7</f>
        <v>集合形式住宅</v>
      </c>
      <c r="C238" s="430">
        <v>227000</v>
      </c>
      <c r="D238" s="1216">
        <v>28</v>
      </c>
      <c r="E238" s="1217">
        <v>1.1000000000000001</v>
      </c>
      <c r="F238" s="1218">
        <v>24</v>
      </c>
      <c r="G238" s="1217">
        <v>1</v>
      </c>
      <c r="H238" s="1218">
        <v>20</v>
      </c>
      <c r="I238" s="1219">
        <v>0.9</v>
      </c>
      <c r="J238" s="1220" t="s">
        <v>1051</v>
      </c>
      <c r="K238" s="1217" t="s">
        <v>1051</v>
      </c>
      <c r="L238" s="1221" t="s">
        <v>1133</v>
      </c>
      <c r="M238" s="1217">
        <v>1</v>
      </c>
      <c r="N238" s="1221" t="s">
        <v>1134</v>
      </c>
      <c r="O238" s="1222">
        <v>0.6</v>
      </c>
      <c r="P238" s="437" t="s">
        <v>375</v>
      </c>
      <c r="Q238" s="432">
        <v>1.3</v>
      </c>
      <c r="R238" s="432" t="s">
        <v>712</v>
      </c>
      <c r="S238" s="432">
        <v>1</v>
      </c>
      <c r="T238" s="432" t="s">
        <v>376</v>
      </c>
      <c r="U238" s="433">
        <v>0.7</v>
      </c>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5"/>
      <c r="AY238" s="426"/>
    </row>
    <row r="239" spans="2:51" ht="18" customHeight="1">
      <c r="B239" s="1946" t="str">
        <f>+$B$8</f>
        <v>事務所・店舗</v>
      </c>
      <c r="C239" s="1205">
        <f>+C238</f>
        <v>227000</v>
      </c>
      <c r="D239" s="1223">
        <f t="shared" ref="D239:I239" si="24">D238</f>
        <v>28</v>
      </c>
      <c r="E239" s="1224">
        <f t="shared" si="24"/>
        <v>1.1000000000000001</v>
      </c>
      <c r="F239" s="1225">
        <f t="shared" si="24"/>
        <v>24</v>
      </c>
      <c r="G239" s="1224">
        <f t="shared" si="24"/>
        <v>1</v>
      </c>
      <c r="H239" s="1225">
        <f t="shared" si="24"/>
        <v>20</v>
      </c>
      <c r="I239" s="1226">
        <f t="shared" si="24"/>
        <v>0.9</v>
      </c>
      <c r="J239" s="1227" t="str">
        <f t="shared" ref="J239:K239" si="25">J238</f>
        <v>-</v>
      </c>
      <c r="K239" s="1228" t="str">
        <f t="shared" si="25"/>
        <v>-</v>
      </c>
      <c r="L239" s="1228" t="str">
        <f>L238</f>
        <v>あり</v>
      </c>
      <c r="M239" s="1224">
        <f>M238</f>
        <v>1</v>
      </c>
      <c r="N239" s="1228" t="str">
        <f>N238</f>
        <v>なし</v>
      </c>
      <c r="O239" s="1229">
        <f>O238</f>
        <v>0.6</v>
      </c>
      <c r="P239" s="1227" t="str">
        <f t="shared" ref="P239" si="26">P238</f>
        <v>良い</v>
      </c>
      <c r="Q239" s="1230">
        <f t="shared" ref="Q239" si="27">Q238</f>
        <v>1.3</v>
      </c>
      <c r="R239" s="1228" t="str">
        <f>R238</f>
        <v>普通</v>
      </c>
      <c r="S239" s="1224">
        <f>S238</f>
        <v>1</v>
      </c>
      <c r="T239" s="1228" t="str">
        <f>T238</f>
        <v>悪い</v>
      </c>
      <c r="U239" s="1229">
        <f>U238</f>
        <v>0.7</v>
      </c>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5"/>
      <c r="AY239" s="426"/>
    </row>
    <row r="240" spans="2:51" ht="18" customHeight="1">
      <c r="B240" s="1946" t="str">
        <f>+$B$9</f>
        <v>病院・ホテル</v>
      </c>
      <c r="C240" s="1205">
        <f>+C238</f>
        <v>227000</v>
      </c>
      <c r="D240" s="1223">
        <f t="shared" ref="D240:I240" si="28">D238</f>
        <v>28</v>
      </c>
      <c r="E240" s="1224">
        <f t="shared" si="28"/>
        <v>1.1000000000000001</v>
      </c>
      <c r="F240" s="1225">
        <f t="shared" si="28"/>
        <v>24</v>
      </c>
      <c r="G240" s="1224">
        <f t="shared" si="28"/>
        <v>1</v>
      </c>
      <c r="H240" s="1225">
        <f t="shared" si="28"/>
        <v>20</v>
      </c>
      <c r="I240" s="1226">
        <f t="shared" si="28"/>
        <v>0.9</v>
      </c>
      <c r="J240" s="1227" t="str">
        <f t="shared" ref="J240:K240" si="29">J238</f>
        <v>-</v>
      </c>
      <c r="K240" s="1228" t="str">
        <f t="shared" si="29"/>
        <v>-</v>
      </c>
      <c r="L240" s="1228" t="str">
        <f>L238</f>
        <v>あり</v>
      </c>
      <c r="M240" s="1224">
        <f>M238</f>
        <v>1</v>
      </c>
      <c r="N240" s="1228" t="str">
        <f>N238</f>
        <v>なし</v>
      </c>
      <c r="O240" s="1229">
        <f>O238</f>
        <v>0.6</v>
      </c>
      <c r="P240" s="1227" t="str">
        <f t="shared" ref="P240:Q240" si="30">P238</f>
        <v>良い</v>
      </c>
      <c r="Q240" s="1230">
        <f t="shared" si="30"/>
        <v>1.3</v>
      </c>
      <c r="R240" s="1228" t="str">
        <f>R238</f>
        <v>普通</v>
      </c>
      <c r="S240" s="1224">
        <f>S238</f>
        <v>1</v>
      </c>
      <c r="T240" s="1228" t="str">
        <f>T238</f>
        <v>悪い</v>
      </c>
      <c r="U240" s="1229">
        <f>U238</f>
        <v>0.7</v>
      </c>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5"/>
      <c r="AY240" s="426"/>
    </row>
    <row r="241" spans="2:51" ht="18" customHeight="1">
      <c r="B241" s="1947" t="str">
        <f>+$B$10</f>
        <v>工場・倉庫</v>
      </c>
      <c r="C241" s="1205">
        <f>+C238</f>
        <v>227000</v>
      </c>
      <c r="D241" s="1231">
        <f t="shared" ref="D241:I241" si="31">D238</f>
        <v>28</v>
      </c>
      <c r="E241" s="1232">
        <f t="shared" si="31"/>
        <v>1.1000000000000001</v>
      </c>
      <c r="F241" s="1233">
        <f t="shared" si="31"/>
        <v>24</v>
      </c>
      <c r="G241" s="1232">
        <f t="shared" si="31"/>
        <v>1</v>
      </c>
      <c r="H241" s="1233">
        <f t="shared" si="31"/>
        <v>20</v>
      </c>
      <c r="I241" s="1234">
        <f t="shared" si="31"/>
        <v>0.9</v>
      </c>
      <c r="J241" s="1235" t="str">
        <f t="shared" ref="J241:K241" si="32">J238</f>
        <v>-</v>
      </c>
      <c r="K241" s="1236" t="str">
        <f t="shared" si="32"/>
        <v>-</v>
      </c>
      <c r="L241" s="1236" t="str">
        <f>L238</f>
        <v>あり</v>
      </c>
      <c r="M241" s="1232">
        <f>M238</f>
        <v>1</v>
      </c>
      <c r="N241" s="1236" t="str">
        <f>N238</f>
        <v>なし</v>
      </c>
      <c r="O241" s="1237">
        <f>O238</f>
        <v>0.6</v>
      </c>
      <c r="P241" s="1235" t="str">
        <f t="shared" ref="P241:Q241" si="33">P238</f>
        <v>良い</v>
      </c>
      <c r="Q241" s="1238">
        <f t="shared" si="33"/>
        <v>1.3</v>
      </c>
      <c r="R241" s="1236" t="str">
        <f>R238</f>
        <v>普通</v>
      </c>
      <c r="S241" s="1232">
        <f>S238</f>
        <v>1</v>
      </c>
      <c r="T241" s="1236" t="str">
        <f>T238</f>
        <v>悪い</v>
      </c>
      <c r="U241" s="1237">
        <f>U238</f>
        <v>0.7</v>
      </c>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5"/>
      <c r="AY241" s="426"/>
    </row>
    <row r="242" spans="2:51" ht="18" customHeight="1">
      <c r="B242" s="1941" t="s">
        <v>311</v>
      </c>
      <c r="C242" s="1916" t="s">
        <v>396</v>
      </c>
      <c r="D242" s="1887" t="s">
        <v>397</v>
      </c>
      <c r="E242" s="1889"/>
      <c r="F242" s="1889"/>
      <c r="G242" s="1889"/>
      <c r="H242" s="1889"/>
      <c r="I242" s="1891"/>
      <c r="J242" s="1887" t="s">
        <v>398</v>
      </c>
      <c r="K242" s="1889"/>
      <c r="L242" s="1889"/>
      <c r="M242" s="1889"/>
      <c r="N242" s="1889"/>
      <c r="O242" s="1891"/>
      <c r="P242" s="553"/>
      <c r="Q242" s="545"/>
      <c r="R242" s="545"/>
      <c r="S242" s="423"/>
      <c r="T242" s="423"/>
      <c r="U242" s="423"/>
      <c r="V242" s="423"/>
      <c r="W242" s="423"/>
      <c r="X242" s="423"/>
      <c r="Y242" s="423"/>
      <c r="Z242" s="423"/>
      <c r="AA242" s="423"/>
      <c r="AB242" s="423"/>
      <c r="AC242" s="423"/>
      <c r="AD242" s="423"/>
      <c r="AE242" s="423"/>
      <c r="AF242" s="423"/>
      <c r="AG242" s="423"/>
      <c r="AH242" s="423"/>
      <c r="AI242" s="423"/>
      <c r="AJ242" s="423"/>
      <c r="AK242" s="423"/>
      <c r="AL242" s="423"/>
      <c r="AM242" s="423"/>
      <c r="AN242" s="423"/>
      <c r="AO242" s="423"/>
      <c r="AP242" s="423"/>
      <c r="AQ242" s="423"/>
      <c r="AR242" s="423"/>
      <c r="AS242" s="423"/>
      <c r="AT242" s="423"/>
      <c r="AU242" s="423"/>
      <c r="AV242" s="423"/>
      <c r="AW242" s="423"/>
      <c r="AX242" s="423"/>
      <c r="AY242" s="424"/>
    </row>
    <row r="243" spans="2:51" ht="18" customHeight="1">
      <c r="B243" s="1942"/>
      <c r="C243" s="1907" t="s">
        <v>399</v>
      </c>
      <c r="D243" s="1898" t="s">
        <v>318</v>
      </c>
      <c r="E243" s="1900"/>
      <c r="F243" s="1900" t="s">
        <v>319</v>
      </c>
      <c r="G243" s="1900"/>
      <c r="H243" s="1900" t="s">
        <v>320</v>
      </c>
      <c r="I243" s="1902"/>
      <c r="J243" s="1898" t="s">
        <v>318</v>
      </c>
      <c r="K243" s="1900"/>
      <c r="L243" s="1900" t="s">
        <v>319</v>
      </c>
      <c r="M243" s="1900"/>
      <c r="N243" s="1900" t="s">
        <v>320</v>
      </c>
      <c r="O243" s="1902"/>
      <c r="P243" s="582" t="s">
        <v>5622</v>
      </c>
      <c r="Q243" s="547"/>
      <c r="R243" s="547"/>
      <c r="S243" s="582"/>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5"/>
      <c r="AY243" s="426"/>
    </row>
    <row r="244" spans="2:51" ht="18" customHeight="1">
      <c r="B244" s="1945" t="str">
        <f>+$B$6</f>
        <v>戸建形式住宅</v>
      </c>
      <c r="C244" s="588" t="s">
        <v>23</v>
      </c>
      <c r="D244" s="1046" t="s">
        <v>23</v>
      </c>
      <c r="E244" s="1047" t="s">
        <v>23</v>
      </c>
      <c r="F244" s="1047" t="s">
        <v>23</v>
      </c>
      <c r="G244" s="1047" t="s">
        <v>23</v>
      </c>
      <c r="H244" s="1047" t="s">
        <v>23</v>
      </c>
      <c r="I244" s="1048" t="s">
        <v>23</v>
      </c>
      <c r="J244" s="1046" t="s">
        <v>23</v>
      </c>
      <c r="K244" s="1047" t="s">
        <v>23</v>
      </c>
      <c r="L244" s="1047" t="s">
        <v>23</v>
      </c>
      <c r="M244" s="1047" t="s">
        <v>23</v>
      </c>
      <c r="N244" s="1047" t="s">
        <v>23</v>
      </c>
      <c r="O244" s="1048" t="s">
        <v>23</v>
      </c>
      <c r="P244" s="546"/>
      <c r="Q244" s="422"/>
      <c r="R244" s="547"/>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5"/>
      <c r="AQ244" s="425"/>
      <c r="AR244" s="425"/>
      <c r="AS244" s="425"/>
      <c r="AT244" s="425"/>
      <c r="AU244" s="425"/>
      <c r="AV244" s="425"/>
      <c r="AW244" s="425"/>
      <c r="AX244" s="425"/>
      <c r="AY244" s="426"/>
    </row>
    <row r="245" spans="2:51" ht="18" customHeight="1">
      <c r="B245" s="1946" t="str">
        <f>+$B$7</f>
        <v>集合形式住宅</v>
      </c>
      <c r="C245" s="430">
        <v>314100</v>
      </c>
      <c r="D245" s="435">
        <v>460</v>
      </c>
      <c r="E245" s="432">
        <v>1.1000000000000001</v>
      </c>
      <c r="F245" s="1239">
        <v>370</v>
      </c>
      <c r="G245" s="432">
        <v>1</v>
      </c>
      <c r="H245" s="1239">
        <v>300</v>
      </c>
      <c r="I245" s="433">
        <v>0.85</v>
      </c>
      <c r="J245" s="1220" t="s">
        <v>375</v>
      </c>
      <c r="K245" s="1217">
        <v>1.3</v>
      </c>
      <c r="L245" s="1240" t="s">
        <v>324</v>
      </c>
      <c r="M245" s="1217">
        <v>1</v>
      </c>
      <c r="N245" s="1240" t="s">
        <v>376</v>
      </c>
      <c r="O245" s="1222">
        <v>0.7</v>
      </c>
      <c r="P245" s="546"/>
      <c r="Q245" s="422"/>
      <c r="R245" s="547"/>
      <c r="S245" s="425"/>
      <c r="T245" s="425"/>
      <c r="U245" s="425"/>
      <c r="V245" s="425"/>
      <c r="W245" s="425"/>
      <c r="X245" s="425"/>
      <c r="Y245" s="425"/>
      <c r="Z245" s="425"/>
      <c r="AA245" s="425"/>
      <c r="AB245" s="425"/>
      <c r="AC245" s="425"/>
      <c r="AD245" s="425"/>
      <c r="AE245" s="425"/>
      <c r="AF245" s="425"/>
      <c r="AG245" s="425"/>
      <c r="AH245" s="425"/>
      <c r="AI245" s="425"/>
      <c r="AJ245" s="425"/>
      <c r="AK245" s="425"/>
      <c r="AL245" s="425"/>
      <c r="AM245" s="425"/>
      <c r="AN245" s="425"/>
      <c r="AO245" s="425"/>
      <c r="AP245" s="425"/>
      <c r="AQ245" s="425"/>
      <c r="AR245" s="425"/>
      <c r="AS245" s="425"/>
      <c r="AT245" s="425"/>
      <c r="AU245" s="425"/>
      <c r="AV245" s="425"/>
      <c r="AW245" s="425"/>
      <c r="AX245" s="425"/>
      <c r="AY245" s="426"/>
    </row>
    <row r="246" spans="2:51" ht="18" customHeight="1">
      <c r="B246" s="1946" t="str">
        <f>+$B$8</f>
        <v>事務所・店舗</v>
      </c>
      <c r="C246" s="1205">
        <f>+C245</f>
        <v>314100</v>
      </c>
      <c r="D246" s="1241">
        <f>D245</f>
        <v>460</v>
      </c>
      <c r="E246" s="1207">
        <f>E245</f>
        <v>1.1000000000000001</v>
      </c>
      <c r="F246" s="1241">
        <f t="shared" ref="F246:I246" si="34">F245</f>
        <v>370</v>
      </c>
      <c r="G246" s="1207">
        <f t="shared" si="34"/>
        <v>1</v>
      </c>
      <c r="H246" s="1241">
        <f t="shared" si="34"/>
        <v>300</v>
      </c>
      <c r="I246" s="1207">
        <f t="shared" si="34"/>
        <v>0.85</v>
      </c>
      <c r="J246" s="1227" t="str">
        <f>J245</f>
        <v>良い</v>
      </c>
      <c r="K246" s="1224">
        <f>K245</f>
        <v>1.3</v>
      </c>
      <c r="L246" s="1228" t="str">
        <f t="shared" ref="L246:O246" si="35">L245</f>
        <v>普通</v>
      </c>
      <c r="M246" s="1224">
        <f t="shared" si="35"/>
        <v>1</v>
      </c>
      <c r="N246" s="1228" t="str">
        <f t="shared" si="35"/>
        <v>悪い</v>
      </c>
      <c r="O246" s="1224">
        <f t="shared" si="35"/>
        <v>0.7</v>
      </c>
      <c r="P246" s="546"/>
      <c r="Q246" s="422"/>
      <c r="R246" s="547"/>
      <c r="S246" s="425"/>
      <c r="T246" s="425"/>
      <c r="U246" s="425"/>
      <c r="V246" s="425"/>
      <c r="W246" s="425"/>
      <c r="X246" s="425"/>
      <c r="Y246" s="425"/>
      <c r="Z246" s="425"/>
      <c r="AA246" s="425"/>
      <c r="AB246" s="425"/>
      <c r="AC246" s="425"/>
      <c r="AD246" s="425"/>
      <c r="AE246" s="425"/>
      <c r="AF246" s="425"/>
      <c r="AG246" s="425"/>
      <c r="AH246" s="425"/>
      <c r="AI246" s="425"/>
      <c r="AJ246" s="425"/>
      <c r="AK246" s="425"/>
      <c r="AL246" s="425"/>
      <c r="AM246" s="425"/>
      <c r="AN246" s="425"/>
      <c r="AO246" s="425"/>
      <c r="AP246" s="425"/>
      <c r="AQ246" s="425"/>
      <c r="AR246" s="425"/>
      <c r="AS246" s="425"/>
      <c r="AT246" s="425"/>
      <c r="AU246" s="425"/>
      <c r="AV246" s="425"/>
      <c r="AW246" s="425"/>
      <c r="AX246" s="425"/>
      <c r="AY246" s="426"/>
    </row>
    <row r="247" spans="2:51" ht="18" customHeight="1">
      <c r="B247" s="1946" t="str">
        <f>+$B$9</f>
        <v>病院・ホテル</v>
      </c>
      <c r="C247" s="1205">
        <f>+C245</f>
        <v>314100</v>
      </c>
      <c r="D247" s="1208">
        <f>D245</f>
        <v>460</v>
      </c>
      <c r="E247" s="1207">
        <f>E245</f>
        <v>1.1000000000000001</v>
      </c>
      <c r="F247" s="1208">
        <f t="shared" ref="F247:I247" si="36">F245</f>
        <v>370</v>
      </c>
      <c r="G247" s="1207">
        <f t="shared" si="36"/>
        <v>1</v>
      </c>
      <c r="H247" s="1208">
        <f t="shared" si="36"/>
        <v>300</v>
      </c>
      <c r="I247" s="1207">
        <f t="shared" si="36"/>
        <v>0.85</v>
      </c>
      <c r="J247" s="1227" t="str">
        <f>J245</f>
        <v>良い</v>
      </c>
      <c r="K247" s="1224">
        <f>K245</f>
        <v>1.3</v>
      </c>
      <c r="L247" s="1228" t="str">
        <f t="shared" ref="L247:O247" si="37">L245</f>
        <v>普通</v>
      </c>
      <c r="M247" s="1224">
        <f t="shared" si="37"/>
        <v>1</v>
      </c>
      <c r="N247" s="1228" t="str">
        <f t="shared" si="37"/>
        <v>悪い</v>
      </c>
      <c r="O247" s="1224">
        <f t="shared" si="37"/>
        <v>0.7</v>
      </c>
      <c r="P247" s="546"/>
      <c r="Q247" s="422"/>
      <c r="R247" s="547"/>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5"/>
      <c r="AY247" s="426"/>
    </row>
    <row r="248" spans="2:51" ht="18" customHeight="1">
      <c r="B248" s="1947" t="str">
        <f>+$B$10</f>
        <v>工場・倉庫</v>
      </c>
      <c r="C248" s="1205">
        <f>+C245</f>
        <v>314100</v>
      </c>
      <c r="D248" s="1208">
        <f>D245</f>
        <v>460</v>
      </c>
      <c r="E248" s="1213">
        <f>E245</f>
        <v>1.1000000000000001</v>
      </c>
      <c r="F248" s="1208">
        <f t="shared" ref="F248:I248" si="38">F245</f>
        <v>370</v>
      </c>
      <c r="G248" s="1213">
        <f t="shared" si="38"/>
        <v>1</v>
      </c>
      <c r="H248" s="1208">
        <f t="shared" si="38"/>
        <v>300</v>
      </c>
      <c r="I248" s="1213">
        <f t="shared" si="38"/>
        <v>0.85</v>
      </c>
      <c r="J248" s="1235" t="str">
        <f>J245</f>
        <v>良い</v>
      </c>
      <c r="K248" s="1232">
        <f>K245</f>
        <v>1.3</v>
      </c>
      <c r="L248" s="1236" t="str">
        <f t="shared" ref="L248:O248" si="39">L245</f>
        <v>普通</v>
      </c>
      <c r="M248" s="1232">
        <f t="shared" si="39"/>
        <v>1</v>
      </c>
      <c r="N248" s="1236" t="str">
        <f t="shared" si="39"/>
        <v>悪い</v>
      </c>
      <c r="O248" s="1232">
        <f t="shared" si="39"/>
        <v>0.7</v>
      </c>
      <c r="P248" s="546"/>
      <c r="Q248" s="422"/>
      <c r="R248" s="547"/>
      <c r="S248" s="466"/>
      <c r="T248" s="451"/>
      <c r="U248" s="466"/>
      <c r="V248" s="451"/>
      <c r="W248" s="466"/>
      <c r="X248" s="451"/>
      <c r="Y248" s="451"/>
      <c r="Z248" s="451"/>
      <c r="AA248" s="451"/>
      <c r="AB248" s="451"/>
      <c r="AC248" s="451"/>
      <c r="AD248" s="451"/>
      <c r="AE248" s="451"/>
      <c r="AF248" s="451"/>
      <c r="AG248" s="451"/>
      <c r="AH248" s="451"/>
      <c r="AI248" s="451"/>
      <c r="AJ248" s="451"/>
      <c r="AK248" s="425"/>
      <c r="AL248" s="425"/>
      <c r="AM248" s="425"/>
      <c r="AN248" s="425"/>
      <c r="AO248" s="425"/>
      <c r="AP248" s="425"/>
      <c r="AQ248" s="425"/>
      <c r="AR248" s="425"/>
      <c r="AS248" s="425"/>
      <c r="AT248" s="425"/>
      <c r="AU248" s="425"/>
      <c r="AV248" s="425"/>
      <c r="AW248" s="425"/>
      <c r="AX248" s="425"/>
      <c r="AY248" s="426"/>
    </row>
    <row r="249" spans="2:51" ht="18" customHeight="1">
      <c r="B249" s="1941" t="s">
        <v>311</v>
      </c>
      <c r="C249" s="1928" t="s">
        <v>1188</v>
      </c>
      <c r="D249" s="1914" t="s">
        <v>1186</v>
      </c>
      <c r="E249" s="1889"/>
      <c r="F249" s="1889"/>
      <c r="G249" s="1889"/>
      <c r="H249" s="1889"/>
      <c r="I249" s="1891"/>
      <c r="J249" s="553"/>
      <c r="K249" s="545"/>
      <c r="L249" s="545"/>
      <c r="M249" s="545"/>
      <c r="N249" s="545"/>
      <c r="O249" s="631"/>
      <c r="P249" s="553"/>
      <c r="Q249" s="545"/>
      <c r="R249" s="545"/>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3"/>
      <c r="AY249" s="424"/>
    </row>
    <row r="250" spans="2:51" ht="18" customHeight="1">
      <c r="B250" s="1942"/>
      <c r="C250" s="1907" t="s">
        <v>1189</v>
      </c>
      <c r="D250" s="1898" t="s">
        <v>318</v>
      </c>
      <c r="E250" s="1900"/>
      <c r="F250" s="1900" t="s">
        <v>319</v>
      </c>
      <c r="G250" s="1900"/>
      <c r="H250" s="1900" t="s">
        <v>320</v>
      </c>
      <c r="I250" s="1902"/>
      <c r="J250" s="546"/>
      <c r="K250" s="547"/>
      <c r="L250" s="547"/>
      <c r="M250" s="547"/>
      <c r="N250" s="547"/>
      <c r="O250" s="632"/>
      <c r="P250" s="582" t="s">
        <v>1285</v>
      </c>
      <c r="Q250" s="547"/>
      <c r="R250" s="547"/>
      <c r="S250" s="582"/>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5"/>
      <c r="AQ250" s="425"/>
      <c r="AR250" s="425"/>
      <c r="AS250" s="425"/>
      <c r="AT250" s="425"/>
      <c r="AU250" s="425"/>
      <c r="AV250" s="425"/>
      <c r="AW250" s="425"/>
      <c r="AX250" s="425"/>
      <c r="AY250" s="426"/>
    </row>
    <row r="251" spans="2:51" ht="18" customHeight="1">
      <c r="B251" s="1945" t="str">
        <f>+$B$6</f>
        <v>戸建形式住宅</v>
      </c>
      <c r="C251" s="588" t="s">
        <v>23</v>
      </c>
      <c r="D251" s="1046" t="s">
        <v>23</v>
      </c>
      <c r="E251" s="1047" t="s">
        <v>23</v>
      </c>
      <c r="F251" s="1047" t="s">
        <v>23</v>
      </c>
      <c r="G251" s="1047" t="s">
        <v>23</v>
      </c>
      <c r="H251" s="1047" t="s">
        <v>23</v>
      </c>
      <c r="I251" s="1048" t="s">
        <v>23</v>
      </c>
      <c r="J251" s="633"/>
      <c r="K251" s="547"/>
      <c r="L251" s="422"/>
      <c r="M251" s="547"/>
      <c r="N251" s="422"/>
      <c r="O251" s="632"/>
      <c r="P251" s="546"/>
      <c r="Q251" s="422"/>
      <c r="R251" s="547"/>
      <c r="S251" s="425"/>
      <c r="T251" s="425"/>
      <c r="U251" s="425"/>
      <c r="V251" s="425"/>
      <c r="W251" s="425"/>
      <c r="X251" s="425"/>
      <c r="Y251" s="425"/>
      <c r="Z251" s="425"/>
      <c r="AA251" s="425"/>
      <c r="AB251" s="425"/>
      <c r="AC251" s="425"/>
      <c r="AD251" s="425"/>
      <c r="AE251" s="425"/>
      <c r="AF251" s="425"/>
      <c r="AG251" s="425"/>
      <c r="AH251" s="425"/>
      <c r="AI251" s="425"/>
      <c r="AJ251" s="425"/>
      <c r="AK251" s="425"/>
      <c r="AL251" s="425"/>
      <c r="AM251" s="425"/>
      <c r="AN251" s="425"/>
      <c r="AO251" s="425"/>
      <c r="AP251" s="425"/>
      <c r="AQ251" s="425"/>
      <c r="AR251" s="425"/>
      <c r="AS251" s="425"/>
      <c r="AT251" s="425"/>
      <c r="AU251" s="425"/>
      <c r="AV251" s="425"/>
      <c r="AW251" s="425"/>
      <c r="AX251" s="425"/>
      <c r="AY251" s="426"/>
    </row>
    <row r="252" spans="2:51" ht="18" customHeight="1">
      <c r="B252" s="1946" t="str">
        <f>+$B$7</f>
        <v>集合形式住宅</v>
      </c>
      <c r="C252" s="1205">
        <v>1790</v>
      </c>
      <c r="D252" s="1208" t="s">
        <v>741</v>
      </c>
      <c r="E252" s="1207">
        <v>1.5</v>
      </c>
      <c r="F252" s="1241" t="s">
        <v>712</v>
      </c>
      <c r="G252" s="1207">
        <v>1</v>
      </c>
      <c r="H252" s="1241" t="s">
        <v>743</v>
      </c>
      <c r="I252" s="1210">
        <v>0.7</v>
      </c>
      <c r="J252" s="633"/>
      <c r="K252" s="547"/>
      <c r="L252" s="422"/>
      <c r="M252" s="547"/>
      <c r="N252" s="422"/>
      <c r="O252" s="632"/>
      <c r="P252" s="546"/>
      <c r="Q252" s="422"/>
      <c r="R252" s="547"/>
      <c r="S252" s="425"/>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5"/>
      <c r="AQ252" s="425"/>
      <c r="AR252" s="425"/>
      <c r="AS252" s="425"/>
      <c r="AT252" s="425"/>
      <c r="AU252" s="425"/>
      <c r="AV252" s="425"/>
      <c r="AW252" s="425"/>
      <c r="AX252" s="425"/>
      <c r="AY252" s="426"/>
    </row>
    <row r="253" spans="2:51" ht="18" customHeight="1">
      <c r="B253" s="1946" t="str">
        <f>+$B$8</f>
        <v>事務所・店舗</v>
      </c>
      <c r="C253" s="1205">
        <v>1790</v>
      </c>
      <c r="D253" s="1241" t="s">
        <v>741</v>
      </c>
      <c r="E253" s="1207">
        <v>1.5</v>
      </c>
      <c r="F253" s="1241" t="s">
        <v>712</v>
      </c>
      <c r="G253" s="1207">
        <v>1</v>
      </c>
      <c r="H253" s="1241" t="s">
        <v>743</v>
      </c>
      <c r="I253" s="1210">
        <v>0.7</v>
      </c>
      <c r="J253" s="633"/>
      <c r="K253" s="547"/>
      <c r="L253" s="422"/>
      <c r="M253" s="547"/>
      <c r="N253" s="422"/>
      <c r="O253" s="632"/>
      <c r="P253" s="546"/>
      <c r="Q253" s="422"/>
      <c r="R253" s="547"/>
      <c r="S253" s="425"/>
      <c r="T253" s="425"/>
      <c r="U253" s="425"/>
      <c r="V253" s="425"/>
      <c r="W253" s="425"/>
      <c r="X253" s="425"/>
      <c r="Y253" s="425"/>
      <c r="Z253" s="425"/>
      <c r="AA253" s="425"/>
      <c r="AB253" s="425"/>
      <c r="AC253" s="425"/>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5"/>
      <c r="AY253" s="426"/>
    </row>
    <row r="254" spans="2:51" ht="18" customHeight="1">
      <c r="B254" s="1946" t="str">
        <f>+$B$9</f>
        <v>病院・ホテル</v>
      </c>
      <c r="C254" s="1205">
        <v>1790</v>
      </c>
      <c r="D254" s="1208" t="s">
        <v>741</v>
      </c>
      <c r="E254" s="1207">
        <v>1.5</v>
      </c>
      <c r="F254" s="1241" t="s">
        <v>712</v>
      </c>
      <c r="G254" s="1207">
        <v>1</v>
      </c>
      <c r="H254" s="1241" t="s">
        <v>743</v>
      </c>
      <c r="I254" s="1210">
        <v>0.7</v>
      </c>
      <c r="J254" s="633"/>
      <c r="K254" s="547"/>
      <c r="L254" s="422"/>
      <c r="M254" s="547"/>
      <c r="N254" s="422"/>
      <c r="O254" s="632"/>
      <c r="P254" s="546"/>
      <c r="Q254" s="422"/>
      <c r="R254" s="547"/>
      <c r="S254" s="425"/>
      <c r="T254" s="425"/>
      <c r="U254" s="425"/>
      <c r="V254" s="425"/>
      <c r="W254" s="425"/>
      <c r="X254" s="425"/>
      <c r="Y254" s="425"/>
      <c r="Z254" s="425"/>
      <c r="AA254" s="425"/>
      <c r="AB254" s="425"/>
      <c r="AC254" s="425"/>
      <c r="AD254" s="425"/>
      <c r="AE254" s="425"/>
      <c r="AF254" s="425"/>
      <c r="AG254" s="425"/>
      <c r="AH254" s="425"/>
      <c r="AI254" s="425"/>
      <c r="AJ254" s="425"/>
      <c r="AK254" s="425"/>
      <c r="AL254" s="425"/>
      <c r="AM254" s="425"/>
      <c r="AN254" s="425"/>
      <c r="AO254" s="425"/>
      <c r="AP254" s="425"/>
      <c r="AQ254" s="425"/>
      <c r="AR254" s="425"/>
      <c r="AS254" s="425"/>
      <c r="AT254" s="425"/>
      <c r="AU254" s="425"/>
      <c r="AV254" s="425"/>
      <c r="AW254" s="425"/>
      <c r="AX254" s="425"/>
      <c r="AY254" s="426"/>
    </row>
    <row r="255" spans="2:51" ht="18" customHeight="1">
      <c r="B255" s="1947" t="str">
        <f>+$B$10</f>
        <v>工場・倉庫</v>
      </c>
      <c r="C255" s="1205">
        <v>1790</v>
      </c>
      <c r="D255" s="1208" t="s">
        <v>741</v>
      </c>
      <c r="E255" s="1213">
        <v>1.5</v>
      </c>
      <c r="F255" s="1241" t="s">
        <v>712</v>
      </c>
      <c r="G255" s="1213">
        <v>1</v>
      </c>
      <c r="H255" s="1241" t="s">
        <v>743</v>
      </c>
      <c r="I255" s="1210">
        <v>0.7</v>
      </c>
      <c r="J255" s="634"/>
      <c r="K255" s="577"/>
      <c r="L255" s="568"/>
      <c r="M255" s="577"/>
      <c r="N255" s="568"/>
      <c r="O255" s="635"/>
      <c r="P255" s="546"/>
      <c r="Q255" s="422"/>
      <c r="R255" s="547"/>
      <c r="S255" s="466"/>
      <c r="T255" s="451"/>
      <c r="U255" s="466"/>
      <c r="V255" s="451"/>
      <c r="W255" s="466"/>
      <c r="X255" s="451"/>
      <c r="Y255" s="451"/>
      <c r="Z255" s="451"/>
      <c r="AA255" s="451"/>
      <c r="AB255" s="451"/>
      <c r="AC255" s="451"/>
      <c r="AD255" s="451"/>
      <c r="AE255" s="451"/>
      <c r="AF255" s="451"/>
      <c r="AG255" s="451"/>
      <c r="AH255" s="451"/>
      <c r="AI255" s="451"/>
      <c r="AJ255" s="451"/>
      <c r="AK255" s="425"/>
      <c r="AL255" s="425"/>
      <c r="AM255" s="425"/>
      <c r="AN255" s="425"/>
      <c r="AO255" s="425"/>
      <c r="AP255" s="425"/>
      <c r="AQ255" s="425"/>
      <c r="AR255" s="425"/>
      <c r="AS255" s="425"/>
      <c r="AT255" s="425"/>
      <c r="AU255" s="425"/>
      <c r="AV255" s="425"/>
      <c r="AW255" s="425"/>
      <c r="AX255" s="425"/>
      <c r="AY255" s="426"/>
    </row>
    <row r="256" spans="2:51" ht="18" customHeight="1">
      <c r="B256" s="1941" t="s">
        <v>311</v>
      </c>
      <c r="C256" s="1916" t="s">
        <v>51</v>
      </c>
      <c r="D256" s="1888" t="s">
        <v>400</v>
      </c>
      <c r="E256" s="1888"/>
      <c r="F256" s="1889"/>
      <c r="G256" s="1889"/>
      <c r="H256" s="1889"/>
      <c r="I256" s="1891"/>
      <c r="J256" s="1887" t="s">
        <v>401</v>
      </c>
      <c r="K256" s="1889"/>
      <c r="L256" s="1889"/>
      <c r="M256" s="1889"/>
      <c r="N256" s="1889"/>
      <c r="O256" s="1891"/>
      <c r="P256" s="546"/>
      <c r="Q256" s="547"/>
      <c r="R256" s="547"/>
      <c r="S256" s="466"/>
      <c r="T256" s="451"/>
      <c r="U256" s="466"/>
      <c r="V256" s="451"/>
      <c r="W256" s="466"/>
      <c r="X256" s="451"/>
      <c r="Y256" s="451"/>
      <c r="Z256" s="451"/>
      <c r="AA256" s="451"/>
      <c r="AB256" s="451"/>
      <c r="AC256" s="451"/>
      <c r="AD256" s="451"/>
      <c r="AE256" s="451"/>
      <c r="AF256" s="451"/>
      <c r="AG256" s="451"/>
      <c r="AH256" s="451"/>
      <c r="AI256" s="451"/>
      <c r="AJ256" s="451"/>
      <c r="AK256" s="425"/>
      <c r="AL256" s="425"/>
      <c r="AM256" s="425"/>
      <c r="AN256" s="425"/>
      <c r="AO256" s="425"/>
      <c r="AP256" s="425"/>
      <c r="AQ256" s="425"/>
      <c r="AR256" s="425"/>
      <c r="AS256" s="425"/>
      <c r="AT256" s="425"/>
      <c r="AU256" s="425"/>
      <c r="AV256" s="425"/>
      <c r="AW256" s="425"/>
      <c r="AX256" s="425"/>
      <c r="AY256" s="426"/>
    </row>
    <row r="257" spans="2:51" ht="18" customHeight="1">
      <c r="B257" s="1942"/>
      <c r="C257" s="1907" t="s">
        <v>402</v>
      </c>
      <c r="D257" s="1898" t="s">
        <v>318</v>
      </c>
      <c r="E257" s="1900"/>
      <c r="F257" s="1900" t="s">
        <v>319</v>
      </c>
      <c r="G257" s="1900"/>
      <c r="H257" s="1900" t="s">
        <v>320</v>
      </c>
      <c r="I257" s="1902"/>
      <c r="J257" s="1898" t="s">
        <v>318</v>
      </c>
      <c r="K257" s="1900"/>
      <c r="L257" s="1900" t="s">
        <v>319</v>
      </c>
      <c r="M257" s="1900"/>
      <c r="N257" s="1900" t="s">
        <v>320</v>
      </c>
      <c r="O257" s="1902"/>
      <c r="P257" s="582" t="s">
        <v>5623</v>
      </c>
      <c r="Q257" s="547"/>
      <c r="R257" s="547"/>
      <c r="S257" s="582"/>
      <c r="T257" s="451"/>
      <c r="U257" s="466"/>
      <c r="V257" s="451"/>
      <c r="W257" s="466"/>
      <c r="X257" s="451"/>
      <c r="Y257" s="451"/>
      <c r="Z257" s="451"/>
      <c r="AA257" s="451"/>
      <c r="AB257" s="451"/>
      <c r="AC257" s="451"/>
      <c r="AD257" s="451"/>
      <c r="AE257" s="451"/>
      <c r="AF257" s="451"/>
      <c r="AG257" s="451"/>
      <c r="AH257" s="451"/>
      <c r="AI257" s="451"/>
      <c r="AJ257" s="451"/>
      <c r="AK257" s="425"/>
      <c r="AL257" s="425"/>
      <c r="AM257" s="425"/>
      <c r="AN257" s="425"/>
      <c r="AO257" s="425"/>
      <c r="AP257" s="425"/>
      <c r="AQ257" s="425"/>
      <c r="AR257" s="425"/>
      <c r="AS257" s="425"/>
      <c r="AT257" s="425"/>
      <c r="AU257" s="425"/>
      <c r="AV257" s="425"/>
      <c r="AW257" s="425"/>
      <c r="AX257" s="425"/>
      <c r="AY257" s="426"/>
    </row>
    <row r="258" spans="2:51" ht="18" customHeight="1">
      <c r="B258" s="1945" t="str">
        <f>+$B$6</f>
        <v>戸建形式住宅</v>
      </c>
      <c r="C258" s="588" t="s">
        <v>23</v>
      </c>
      <c r="D258" s="1046" t="s">
        <v>5652</v>
      </c>
      <c r="E258" s="1047" t="s">
        <v>5652</v>
      </c>
      <c r="F258" s="1047" t="s">
        <v>5652</v>
      </c>
      <c r="G258" s="1047" t="s">
        <v>5652</v>
      </c>
      <c r="H258" s="1047" t="s">
        <v>5652</v>
      </c>
      <c r="I258" s="1048" t="s">
        <v>5652</v>
      </c>
      <c r="J258" s="1046" t="s">
        <v>5652</v>
      </c>
      <c r="K258" s="1047" t="s">
        <v>5652</v>
      </c>
      <c r="L258" s="1047" t="s">
        <v>5652</v>
      </c>
      <c r="M258" s="1047" t="s">
        <v>5652</v>
      </c>
      <c r="N258" s="1047" t="s">
        <v>5652</v>
      </c>
      <c r="O258" s="1048" t="s">
        <v>5652</v>
      </c>
      <c r="P258" s="554"/>
      <c r="Q258" s="549"/>
      <c r="R258" s="549"/>
      <c r="S258" s="466"/>
      <c r="T258" s="451"/>
      <c r="U258" s="466"/>
      <c r="V258" s="451"/>
      <c r="W258" s="466"/>
      <c r="X258" s="451"/>
      <c r="Y258" s="451"/>
      <c r="Z258" s="451"/>
      <c r="AA258" s="451"/>
      <c r="AB258" s="451"/>
      <c r="AC258" s="451"/>
      <c r="AD258" s="451"/>
      <c r="AE258" s="451"/>
      <c r="AF258" s="451"/>
      <c r="AG258" s="451"/>
      <c r="AH258" s="451"/>
      <c r="AI258" s="451"/>
      <c r="AJ258" s="451"/>
      <c r="AK258" s="425"/>
      <c r="AL258" s="425"/>
      <c r="AM258" s="425"/>
      <c r="AN258" s="425"/>
      <c r="AO258" s="425"/>
      <c r="AP258" s="425"/>
      <c r="AQ258" s="425"/>
      <c r="AR258" s="425"/>
      <c r="AS258" s="425"/>
      <c r="AT258" s="425"/>
      <c r="AU258" s="425"/>
      <c r="AV258" s="425"/>
      <c r="AW258" s="425"/>
      <c r="AX258" s="425"/>
      <c r="AY258" s="426"/>
    </row>
    <row r="259" spans="2:51" ht="18" customHeight="1">
      <c r="B259" s="1946" t="str">
        <f>+$B$7</f>
        <v>集合形式住宅</v>
      </c>
      <c r="C259" s="430">
        <f>C260</f>
        <v>121840</v>
      </c>
      <c r="D259" s="1316">
        <f>D260</f>
        <v>150</v>
      </c>
      <c r="E259" s="432">
        <f>E260</f>
        <v>1.1499999999999999</v>
      </c>
      <c r="F259" s="1316">
        <f t="shared" ref="F259:I259" si="40">F260</f>
        <v>120</v>
      </c>
      <c r="G259" s="432">
        <f t="shared" si="40"/>
        <v>1</v>
      </c>
      <c r="H259" s="1316">
        <f t="shared" si="40"/>
        <v>90</v>
      </c>
      <c r="I259" s="432">
        <f t="shared" si="40"/>
        <v>0.9</v>
      </c>
      <c r="J259" s="1204" t="str">
        <f>J260</f>
        <v>良い</v>
      </c>
      <c r="K259" s="432">
        <f>K260</f>
        <v>1.5</v>
      </c>
      <c r="L259" s="432" t="str">
        <f t="shared" ref="L259:O259" si="41">L260</f>
        <v>普通</v>
      </c>
      <c r="M259" s="432">
        <f t="shared" si="41"/>
        <v>1</v>
      </c>
      <c r="N259" s="432" t="str">
        <f t="shared" si="41"/>
        <v>悪い</v>
      </c>
      <c r="O259" s="429">
        <f t="shared" si="41"/>
        <v>0.5</v>
      </c>
      <c r="P259" s="554"/>
      <c r="Q259" s="549"/>
      <c r="R259" s="549"/>
      <c r="S259" s="466"/>
      <c r="T259" s="451"/>
      <c r="U259" s="466"/>
      <c r="V259" s="451"/>
      <c r="W259" s="466"/>
      <c r="X259" s="451"/>
      <c r="Y259" s="451"/>
      <c r="Z259" s="451"/>
      <c r="AA259" s="451"/>
      <c r="AB259" s="451"/>
      <c r="AC259" s="451"/>
      <c r="AD259" s="451"/>
      <c r="AE259" s="451"/>
      <c r="AF259" s="451"/>
      <c r="AG259" s="451"/>
      <c r="AH259" s="451"/>
      <c r="AI259" s="451"/>
      <c r="AJ259" s="451"/>
      <c r="AK259" s="425"/>
      <c r="AL259" s="425"/>
      <c r="AM259" s="425"/>
      <c r="AN259" s="425"/>
      <c r="AO259" s="425"/>
      <c r="AP259" s="425"/>
      <c r="AQ259" s="425"/>
      <c r="AR259" s="425"/>
      <c r="AS259" s="425"/>
      <c r="AT259" s="425"/>
      <c r="AU259" s="425"/>
      <c r="AV259" s="425"/>
      <c r="AW259" s="425"/>
      <c r="AX259" s="425"/>
      <c r="AY259" s="426"/>
    </row>
    <row r="260" spans="2:51" ht="18" customHeight="1">
      <c r="B260" s="1946" t="str">
        <f>+$B$8</f>
        <v>事務所・店舗</v>
      </c>
      <c r="C260" s="1205">
        <v>121840</v>
      </c>
      <c r="D260" s="1316">
        <v>150</v>
      </c>
      <c r="E260" s="428">
        <v>1.1499999999999999</v>
      </c>
      <c r="F260" s="1239">
        <v>120</v>
      </c>
      <c r="G260" s="428">
        <v>1</v>
      </c>
      <c r="H260" s="1316">
        <v>90</v>
      </c>
      <c r="I260" s="429">
        <v>0.9</v>
      </c>
      <c r="J260" s="1204" t="s">
        <v>741</v>
      </c>
      <c r="K260" s="428">
        <v>1.5</v>
      </c>
      <c r="L260" s="428" t="s">
        <v>712</v>
      </c>
      <c r="M260" s="428">
        <v>1</v>
      </c>
      <c r="N260" s="428" t="s">
        <v>743</v>
      </c>
      <c r="O260" s="429">
        <v>0.5</v>
      </c>
      <c r="P260" s="554"/>
      <c r="Q260" s="549"/>
      <c r="R260" s="549"/>
      <c r="S260" s="466"/>
      <c r="T260" s="451"/>
      <c r="U260" s="466"/>
      <c r="V260" s="451"/>
      <c r="W260" s="466"/>
      <c r="X260" s="451"/>
      <c r="Y260" s="451"/>
      <c r="Z260" s="451"/>
      <c r="AA260" s="451"/>
      <c r="AB260" s="451"/>
      <c r="AC260" s="451"/>
      <c r="AD260" s="451"/>
      <c r="AE260" s="451"/>
      <c r="AF260" s="451"/>
      <c r="AG260" s="451"/>
      <c r="AH260" s="451"/>
      <c r="AI260" s="451"/>
      <c r="AJ260" s="451"/>
      <c r="AK260" s="425"/>
      <c r="AL260" s="425"/>
      <c r="AM260" s="425"/>
      <c r="AN260" s="425"/>
      <c r="AO260" s="425"/>
      <c r="AP260" s="425"/>
      <c r="AQ260" s="425"/>
      <c r="AR260" s="425"/>
      <c r="AS260" s="425"/>
      <c r="AT260" s="425"/>
      <c r="AU260" s="425"/>
      <c r="AV260" s="425"/>
      <c r="AW260" s="425"/>
      <c r="AX260" s="425"/>
      <c r="AY260" s="426"/>
    </row>
    <row r="261" spans="2:51" ht="18" customHeight="1">
      <c r="B261" s="1946" t="str">
        <f>+$B$9</f>
        <v>病院・ホテル</v>
      </c>
      <c r="C261" s="1205">
        <f>C260</f>
        <v>121840</v>
      </c>
      <c r="D261" s="1317">
        <f>D260</f>
        <v>150</v>
      </c>
      <c r="E261" s="1207">
        <f>E260</f>
        <v>1.1499999999999999</v>
      </c>
      <c r="F261" s="1317">
        <f t="shared" ref="F261:I261" si="42">F260</f>
        <v>120</v>
      </c>
      <c r="G261" s="1207">
        <f t="shared" si="42"/>
        <v>1</v>
      </c>
      <c r="H261" s="1317">
        <f t="shared" si="42"/>
        <v>90</v>
      </c>
      <c r="I261" s="1207">
        <f t="shared" si="42"/>
        <v>0.9</v>
      </c>
      <c r="J261" s="1318" t="str">
        <f>J260</f>
        <v>良い</v>
      </c>
      <c r="K261" s="1319">
        <f>K260</f>
        <v>1.5</v>
      </c>
      <c r="L261" s="1319" t="str">
        <f t="shared" ref="L261:O261" si="43">L260</f>
        <v>普通</v>
      </c>
      <c r="M261" s="1319">
        <f t="shared" si="43"/>
        <v>1</v>
      </c>
      <c r="N261" s="1319" t="str">
        <f t="shared" si="43"/>
        <v>悪い</v>
      </c>
      <c r="O261" s="1320">
        <f t="shared" si="43"/>
        <v>0.5</v>
      </c>
      <c r="P261" s="554"/>
      <c r="Q261" s="549"/>
      <c r="R261" s="549"/>
      <c r="S261" s="466"/>
      <c r="T261" s="451"/>
      <c r="U261" s="466"/>
      <c r="V261" s="451"/>
      <c r="W261" s="466"/>
      <c r="X261" s="451"/>
      <c r="Y261" s="451"/>
      <c r="Z261" s="451"/>
      <c r="AA261" s="451"/>
      <c r="AB261" s="451"/>
      <c r="AC261" s="451"/>
      <c r="AD261" s="451"/>
      <c r="AE261" s="451"/>
      <c r="AF261" s="451"/>
      <c r="AG261" s="451"/>
      <c r="AH261" s="451"/>
      <c r="AI261" s="451"/>
      <c r="AJ261" s="451"/>
      <c r="AK261" s="425"/>
      <c r="AL261" s="425"/>
      <c r="AM261" s="425"/>
      <c r="AN261" s="425"/>
      <c r="AO261" s="425"/>
      <c r="AP261" s="425"/>
      <c r="AQ261" s="425"/>
      <c r="AR261" s="425"/>
      <c r="AS261" s="425"/>
      <c r="AT261" s="425"/>
      <c r="AU261" s="425"/>
      <c r="AV261" s="425"/>
      <c r="AW261" s="425"/>
      <c r="AX261" s="425"/>
      <c r="AY261" s="426"/>
    </row>
    <row r="262" spans="2:51" ht="18" customHeight="1">
      <c r="B262" s="1947" t="str">
        <f>+$B$10</f>
        <v>工場・倉庫</v>
      </c>
      <c r="C262" s="430">
        <v>121840</v>
      </c>
      <c r="D262" s="1321">
        <v>150</v>
      </c>
      <c r="E262" s="432">
        <v>1.1499999999999999</v>
      </c>
      <c r="F262" s="435">
        <v>120</v>
      </c>
      <c r="G262" s="432">
        <v>1</v>
      </c>
      <c r="H262" s="1321">
        <v>90</v>
      </c>
      <c r="I262" s="429">
        <v>0.9</v>
      </c>
      <c r="J262" s="1322" t="s">
        <v>741</v>
      </c>
      <c r="K262" s="446">
        <v>1.5</v>
      </c>
      <c r="L262" s="1323" t="s">
        <v>712</v>
      </c>
      <c r="M262" s="1323">
        <v>1</v>
      </c>
      <c r="N262" s="1323" t="s">
        <v>743</v>
      </c>
      <c r="O262" s="1324">
        <v>0.5</v>
      </c>
      <c r="P262" s="555"/>
      <c r="Q262" s="552"/>
      <c r="R262" s="552"/>
      <c r="S262" s="571"/>
      <c r="T262" s="451"/>
      <c r="U262" s="466"/>
      <c r="V262" s="451"/>
      <c r="W262" s="466"/>
      <c r="X262" s="451"/>
      <c r="Y262" s="451"/>
      <c r="Z262" s="451"/>
      <c r="AA262" s="451"/>
      <c r="AB262" s="451"/>
      <c r="AC262" s="451"/>
      <c r="AD262" s="451"/>
      <c r="AE262" s="451"/>
      <c r="AF262" s="451"/>
      <c r="AG262" s="451"/>
      <c r="AH262" s="451"/>
      <c r="AI262" s="451"/>
      <c r="AJ262" s="451"/>
      <c r="AK262" s="425"/>
      <c r="AL262" s="425"/>
      <c r="AM262" s="425"/>
      <c r="AN262" s="425"/>
      <c r="AO262" s="425"/>
      <c r="AP262" s="425"/>
      <c r="AQ262" s="425"/>
      <c r="AR262" s="425"/>
      <c r="AS262" s="425"/>
      <c r="AT262" s="425"/>
      <c r="AU262" s="425"/>
      <c r="AV262" s="425"/>
      <c r="AW262" s="425"/>
      <c r="AX262" s="425"/>
      <c r="AY262" s="426"/>
    </row>
    <row r="263" spans="2:51" ht="18" customHeight="1">
      <c r="B263" s="1941" t="s">
        <v>311</v>
      </c>
      <c r="C263" s="1933" t="s">
        <v>403</v>
      </c>
      <c r="D263" s="1888" t="s">
        <v>404</v>
      </c>
      <c r="E263" s="1888"/>
      <c r="F263" s="1889"/>
      <c r="G263" s="1889"/>
      <c r="H263" s="1889"/>
      <c r="I263" s="1890"/>
      <c r="J263" s="1887" t="s">
        <v>405</v>
      </c>
      <c r="K263" s="1889"/>
      <c r="L263" s="1889"/>
      <c r="M263" s="1889"/>
      <c r="N263" s="1889"/>
      <c r="O263" s="1891"/>
      <c r="P263" s="553"/>
      <c r="Q263" s="545"/>
      <c r="R263" s="545"/>
      <c r="S263" s="569"/>
      <c r="T263" s="455"/>
      <c r="U263" s="464"/>
      <c r="V263" s="455"/>
      <c r="W263" s="464"/>
      <c r="X263" s="455"/>
      <c r="Y263" s="455"/>
      <c r="Z263" s="455"/>
      <c r="AA263" s="455"/>
      <c r="AB263" s="455"/>
      <c r="AC263" s="455"/>
      <c r="AD263" s="455"/>
      <c r="AE263" s="455"/>
      <c r="AF263" s="455"/>
      <c r="AG263" s="455"/>
      <c r="AH263" s="455"/>
      <c r="AI263" s="455"/>
      <c r="AJ263" s="455"/>
      <c r="AK263" s="423"/>
      <c r="AL263" s="423"/>
      <c r="AM263" s="423"/>
      <c r="AN263" s="423"/>
      <c r="AO263" s="423"/>
      <c r="AP263" s="423"/>
      <c r="AQ263" s="423"/>
      <c r="AR263" s="423"/>
      <c r="AS263" s="423"/>
      <c r="AT263" s="423"/>
      <c r="AU263" s="423"/>
      <c r="AV263" s="423"/>
      <c r="AW263" s="423"/>
      <c r="AX263" s="423"/>
      <c r="AY263" s="424"/>
    </row>
    <row r="264" spans="2:51" ht="18" customHeight="1">
      <c r="B264" s="1942"/>
      <c r="C264" s="1907" t="s">
        <v>406</v>
      </c>
      <c r="D264" s="1898" t="s">
        <v>318</v>
      </c>
      <c r="E264" s="1900"/>
      <c r="F264" s="1900" t="s">
        <v>319</v>
      </c>
      <c r="G264" s="1900"/>
      <c r="H264" s="1900" t="s">
        <v>320</v>
      </c>
      <c r="I264" s="1901"/>
      <c r="J264" s="1898" t="s">
        <v>318</v>
      </c>
      <c r="K264" s="1900"/>
      <c r="L264" s="1900" t="s">
        <v>319</v>
      </c>
      <c r="M264" s="1900"/>
      <c r="N264" s="1900" t="s">
        <v>320</v>
      </c>
      <c r="O264" s="1902"/>
      <c r="P264" s="582" t="s">
        <v>5624</v>
      </c>
      <c r="Q264" s="547"/>
      <c r="R264" s="547"/>
      <c r="S264" s="582"/>
      <c r="T264" s="451"/>
      <c r="U264" s="466"/>
      <c r="V264" s="451"/>
      <c r="W264" s="466"/>
      <c r="X264" s="451"/>
      <c r="Y264" s="451"/>
      <c r="Z264" s="451"/>
      <c r="AA264" s="451"/>
      <c r="AB264" s="451"/>
      <c r="AC264" s="451"/>
      <c r="AD264" s="451"/>
      <c r="AE264" s="451"/>
      <c r="AF264" s="451"/>
      <c r="AG264" s="451"/>
      <c r="AH264" s="451"/>
      <c r="AI264" s="451"/>
      <c r="AJ264" s="451"/>
      <c r="AK264" s="425"/>
      <c r="AL264" s="425"/>
      <c r="AM264" s="425"/>
      <c r="AN264" s="425"/>
      <c r="AO264" s="425"/>
      <c r="AP264" s="425"/>
      <c r="AQ264" s="425"/>
      <c r="AR264" s="425"/>
      <c r="AS264" s="425"/>
      <c r="AT264" s="425"/>
      <c r="AU264" s="425"/>
      <c r="AV264" s="425"/>
      <c r="AW264" s="425"/>
      <c r="AX264" s="425"/>
      <c r="AY264" s="426"/>
    </row>
    <row r="265" spans="2:51" ht="18" customHeight="1">
      <c r="B265" s="1945" t="str">
        <f>+$B$6</f>
        <v>戸建形式住宅</v>
      </c>
      <c r="C265" s="588" t="s">
        <v>23</v>
      </c>
      <c r="D265" s="431" t="s">
        <v>857</v>
      </c>
      <c r="E265" s="432" t="s">
        <v>857</v>
      </c>
      <c r="F265" s="432" t="s">
        <v>857</v>
      </c>
      <c r="G265" s="432" t="s">
        <v>857</v>
      </c>
      <c r="H265" s="432" t="s">
        <v>857</v>
      </c>
      <c r="I265" s="436" t="s">
        <v>857</v>
      </c>
      <c r="J265" s="437" t="s">
        <v>857</v>
      </c>
      <c r="K265" s="432" t="s">
        <v>857</v>
      </c>
      <c r="L265" s="432" t="s">
        <v>857</v>
      </c>
      <c r="M265" s="432" t="s">
        <v>857</v>
      </c>
      <c r="N265" s="432" t="s">
        <v>857</v>
      </c>
      <c r="O265" s="436" t="s">
        <v>857</v>
      </c>
      <c r="P265" s="554"/>
      <c r="Q265" s="549"/>
      <c r="R265" s="549"/>
      <c r="S265" s="570"/>
      <c r="T265" s="451"/>
      <c r="U265" s="466"/>
      <c r="V265" s="451"/>
      <c r="W265" s="466"/>
      <c r="X265" s="451"/>
      <c r="Y265" s="451"/>
      <c r="Z265" s="451"/>
      <c r="AA265" s="451"/>
      <c r="AB265" s="451"/>
      <c r="AC265" s="451"/>
      <c r="AD265" s="451"/>
      <c r="AE265" s="451"/>
      <c r="AF265" s="451"/>
      <c r="AG265" s="451"/>
      <c r="AH265" s="451"/>
      <c r="AI265" s="451"/>
      <c r="AJ265" s="451"/>
      <c r="AK265" s="425"/>
      <c r="AL265" s="425"/>
      <c r="AM265" s="425"/>
      <c r="AN265" s="425"/>
      <c r="AO265" s="425"/>
      <c r="AP265" s="425"/>
      <c r="AQ265" s="425"/>
      <c r="AR265" s="425"/>
      <c r="AS265" s="425"/>
      <c r="AT265" s="425"/>
      <c r="AU265" s="425"/>
      <c r="AV265" s="425"/>
      <c r="AW265" s="425"/>
      <c r="AX265" s="425"/>
      <c r="AY265" s="426"/>
    </row>
    <row r="266" spans="2:51" ht="18" customHeight="1">
      <c r="B266" s="1946" t="str">
        <f>+$B$7</f>
        <v>集合形式住宅</v>
      </c>
      <c r="C266" s="430">
        <v>354360</v>
      </c>
      <c r="D266" s="1197">
        <v>300</v>
      </c>
      <c r="E266" s="432">
        <v>1.1499999999999999</v>
      </c>
      <c r="F266" s="435">
        <v>255</v>
      </c>
      <c r="G266" s="432">
        <v>1</v>
      </c>
      <c r="H266" s="1198">
        <v>180</v>
      </c>
      <c r="I266" s="436">
        <v>0.8</v>
      </c>
      <c r="J266" s="434" t="s">
        <v>741</v>
      </c>
      <c r="K266" s="432">
        <v>1.5</v>
      </c>
      <c r="L266" s="435" t="s">
        <v>712</v>
      </c>
      <c r="M266" s="432">
        <v>1</v>
      </c>
      <c r="N266" s="435" t="s">
        <v>743</v>
      </c>
      <c r="O266" s="433">
        <v>0.5</v>
      </c>
      <c r="P266" s="554"/>
      <c r="Q266" s="570"/>
      <c r="R266" s="549"/>
      <c r="S266" s="570"/>
      <c r="T266" s="451"/>
      <c r="U266" s="466"/>
      <c r="V266" s="451"/>
      <c r="W266" s="466"/>
      <c r="X266" s="451"/>
      <c r="Y266" s="451"/>
      <c r="Z266" s="451"/>
      <c r="AA266" s="451"/>
      <c r="AB266" s="451"/>
      <c r="AC266" s="451"/>
      <c r="AD266" s="451"/>
      <c r="AE266" s="451"/>
      <c r="AF266" s="451"/>
      <c r="AG266" s="451"/>
      <c r="AH266" s="451"/>
      <c r="AI266" s="451"/>
      <c r="AJ266" s="451"/>
      <c r="AK266" s="425"/>
      <c r="AL266" s="425"/>
      <c r="AM266" s="425"/>
      <c r="AN266" s="425"/>
      <c r="AO266" s="425"/>
      <c r="AP266" s="425"/>
      <c r="AQ266" s="425"/>
      <c r="AR266" s="425"/>
      <c r="AS266" s="425"/>
      <c r="AT266" s="425"/>
      <c r="AU266" s="425"/>
      <c r="AV266" s="425"/>
      <c r="AW266" s="425"/>
      <c r="AX266" s="425"/>
      <c r="AY266" s="426"/>
    </row>
    <row r="267" spans="2:51" ht="18" customHeight="1">
      <c r="B267" s="1946" t="str">
        <f>+$B$8</f>
        <v>事務所・店舗</v>
      </c>
      <c r="C267" s="1205">
        <f>+C266</f>
        <v>354360</v>
      </c>
      <c r="D267" s="1206">
        <f>D266</f>
        <v>300</v>
      </c>
      <c r="E267" s="1207">
        <f>E266</f>
        <v>1.1499999999999999</v>
      </c>
      <c r="F267" s="1206">
        <f t="shared" ref="F267:I267" si="44">F266</f>
        <v>255</v>
      </c>
      <c r="G267" s="1207">
        <f t="shared" si="44"/>
        <v>1</v>
      </c>
      <c r="H267" s="1206">
        <f t="shared" si="44"/>
        <v>180</v>
      </c>
      <c r="I267" s="1207">
        <f t="shared" si="44"/>
        <v>0.8</v>
      </c>
      <c r="J267" s="1325" t="str">
        <f>J266</f>
        <v>良い</v>
      </c>
      <c r="K267" s="1207">
        <f>K266</f>
        <v>1.5</v>
      </c>
      <c r="L267" s="1208" t="str">
        <f t="shared" ref="L267:O267" si="45">L266</f>
        <v>普通</v>
      </c>
      <c r="M267" s="1207">
        <f t="shared" si="45"/>
        <v>1</v>
      </c>
      <c r="N267" s="1208" t="str">
        <f t="shared" si="45"/>
        <v>悪い</v>
      </c>
      <c r="O267" s="1207">
        <f t="shared" si="45"/>
        <v>0.5</v>
      </c>
      <c r="P267" s="554"/>
      <c r="Q267" s="570"/>
      <c r="R267" s="549"/>
      <c r="S267" s="570"/>
      <c r="T267" s="451"/>
      <c r="U267" s="466"/>
      <c r="V267" s="451"/>
      <c r="W267" s="466"/>
      <c r="X267" s="451"/>
      <c r="Y267" s="451"/>
      <c r="Z267" s="451"/>
      <c r="AA267" s="451"/>
      <c r="AB267" s="451"/>
      <c r="AC267" s="451"/>
      <c r="AD267" s="451"/>
      <c r="AE267" s="451"/>
      <c r="AF267" s="451"/>
      <c r="AG267" s="451"/>
      <c r="AH267" s="451"/>
      <c r="AI267" s="451"/>
      <c r="AJ267" s="451"/>
      <c r="AK267" s="425"/>
      <c r="AL267" s="425"/>
      <c r="AM267" s="425"/>
      <c r="AN267" s="425"/>
      <c r="AO267" s="425"/>
      <c r="AP267" s="425"/>
      <c r="AQ267" s="425"/>
      <c r="AR267" s="425"/>
      <c r="AS267" s="425"/>
      <c r="AT267" s="425"/>
      <c r="AU267" s="425"/>
      <c r="AV267" s="425"/>
      <c r="AW267" s="425"/>
      <c r="AX267" s="425"/>
      <c r="AY267" s="426"/>
    </row>
    <row r="268" spans="2:51" ht="18" customHeight="1">
      <c r="B268" s="1946" t="str">
        <f>+$B$9</f>
        <v>病院・ホテル</v>
      </c>
      <c r="C268" s="1205">
        <f>+C266</f>
        <v>354360</v>
      </c>
      <c r="D268" s="1206">
        <f>D266</f>
        <v>300</v>
      </c>
      <c r="E268" s="1207">
        <f>E266</f>
        <v>1.1499999999999999</v>
      </c>
      <c r="F268" s="1206">
        <f t="shared" ref="F268:I268" si="46">F266</f>
        <v>255</v>
      </c>
      <c r="G268" s="1207">
        <f t="shared" si="46"/>
        <v>1</v>
      </c>
      <c r="H268" s="1206">
        <f t="shared" si="46"/>
        <v>180</v>
      </c>
      <c r="I268" s="1207">
        <f t="shared" si="46"/>
        <v>0.8</v>
      </c>
      <c r="J268" s="1325" t="str">
        <f>J266</f>
        <v>良い</v>
      </c>
      <c r="K268" s="1207">
        <f>K266</f>
        <v>1.5</v>
      </c>
      <c r="L268" s="1208" t="str">
        <f t="shared" ref="L268:N268" si="47">L266</f>
        <v>普通</v>
      </c>
      <c r="M268" s="1207">
        <f t="shared" si="47"/>
        <v>1</v>
      </c>
      <c r="N268" s="1208" t="str">
        <f t="shared" si="47"/>
        <v>悪い</v>
      </c>
      <c r="O268" s="1207">
        <f t="shared" ref="O268" si="48">O266</f>
        <v>0.5</v>
      </c>
      <c r="P268" s="554"/>
      <c r="Q268" s="570"/>
      <c r="R268" s="549"/>
      <c r="S268" s="570"/>
      <c r="T268" s="451"/>
      <c r="U268" s="466"/>
      <c r="V268" s="451"/>
      <c r="W268" s="466"/>
      <c r="X268" s="451"/>
      <c r="Y268" s="451"/>
      <c r="Z268" s="451"/>
      <c r="AA268" s="451"/>
      <c r="AB268" s="451"/>
      <c r="AC268" s="451"/>
      <c r="AD268" s="451"/>
      <c r="AE268" s="451"/>
      <c r="AF268" s="451"/>
      <c r="AG268" s="451"/>
      <c r="AH268" s="451"/>
      <c r="AI268" s="451"/>
      <c r="AJ268" s="451"/>
      <c r="AK268" s="425"/>
      <c r="AL268" s="425"/>
      <c r="AM268" s="425"/>
      <c r="AN268" s="425"/>
      <c r="AO268" s="425"/>
      <c r="AP268" s="425"/>
      <c r="AQ268" s="425"/>
      <c r="AR268" s="425"/>
      <c r="AS268" s="425"/>
      <c r="AT268" s="425"/>
      <c r="AU268" s="425"/>
      <c r="AV268" s="425"/>
      <c r="AW268" s="425"/>
      <c r="AX268" s="425"/>
      <c r="AY268" s="426"/>
    </row>
    <row r="269" spans="2:51" ht="18" customHeight="1">
      <c r="B269" s="1947" t="str">
        <f>+$B$10</f>
        <v>工場・倉庫</v>
      </c>
      <c r="C269" s="1308">
        <f>+C266</f>
        <v>354360</v>
      </c>
      <c r="D269" s="1212">
        <f>D266</f>
        <v>300</v>
      </c>
      <c r="E269" s="1213">
        <f>E266</f>
        <v>1.1499999999999999</v>
      </c>
      <c r="F269" s="1212">
        <f t="shared" ref="F269:I269" si="49">F266</f>
        <v>255</v>
      </c>
      <c r="G269" s="1213">
        <f t="shared" si="49"/>
        <v>1</v>
      </c>
      <c r="H269" s="1212">
        <f t="shared" si="49"/>
        <v>180</v>
      </c>
      <c r="I269" s="1213">
        <f t="shared" si="49"/>
        <v>0.8</v>
      </c>
      <c r="J269" s="1326" t="str">
        <f>J266</f>
        <v>良い</v>
      </c>
      <c r="K269" s="1215">
        <f>K266</f>
        <v>1.5</v>
      </c>
      <c r="L269" s="1327" t="str">
        <f t="shared" ref="L269:N269" si="50">L266</f>
        <v>普通</v>
      </c>
      <c r="M269" s="1215">
        <f t="shared" si="50"/>
        <v>1</v>
      </c>
      <c r="N269" s="1327" t="str">
        <f t="shared" si="50"/>
        <v>悪い</v>
      </c>
      <c r="O269" s="1213">
        <f t="shared" ref="O269" si="51">O266</f>
        <v>0.5</v>
      </c>
      <c r="P269" s="555"/>
      <c r="Q269" s="571"/>
      <c r="R269" s="552"/>
      <c r="S269" s="571"/>
      <c r="T269" s="451"/>
      <c r="U269" s="466"/>
      <c r="V269" s="451"/>
      <c r="W269" s="466"/>
      <c r="X269" s="451"/>
      <c r="Y269" s="451"/>
      <c r="Z269" s="451"/>
      <c r="AA269" s="451"/>
      <c r="AB269" s="451"/>
      <c r="AC269" s="451"/>
      <c r="AD269" s="451"/>
      <c r="AE269" s="451"/>
      <c r="AF269" s="451"/>
      <c r="AG269" s="451"/>
      <c r="AH269" s="451"/>
      <c r="AI269" s="451"/>
      <c r="AJ269" s="451"/>
      <c r="AK269" s="425"/>
      <c r="AL269" s="425"/>
      <c r="AM269" s="425"/>
      <c r="AN269" s="425"/>
      <c r="AO269" s="425"/>
      <c r="AP269" s="425"/>
      <c r="AQ269" s="425"/>
      <c r="AR269" s="425"/>
      <c r="AS269" s="425"/>
      <c r="AT269" s="425"/>
      <c r="AU269" s="425"/>
      <c r="AV269" s="425"/>
      <c r="AW269" s="425"/>
      <c r="AX269" s="425"/>
      <c r="AY269" s="426"/>
    </row>
    <row r="270" spans="2:51" ht="18" customHeight="1">
      <c r="B270" s="1941" t="s">
        <v>311</v>
      </c>
      <c r="C270" s="1928" t="s">
        <v>5379</v>
      </c>
      <c r="D270" s="3638" t="s">
        <v>502</v>
      </c>
      <c r="E270" s="3641"/>
      <c r="F270" s="3641"/>
      <c r="G270" s="3641"/>
      <c r="H270" s="3641"/>
      <c r="I270" s="3642"/>
      <c r="J270" s="3633" t="s">
        <v>5347</v>
      </c>
      <c r="K270" s="3634"/>
      <c r="L270" s="3634"/>
      <c r="M270" s="3634"/>
      <c r="N270" s="3634"/>
      <c r="O270" s="3635"/>
      <c r="P270" s="848"/>
      <c r="Q270" s="837"/>
      <c r="R270" s="837"/>
      <c r="S270" s="837"/>
      <c r="T270" s="837"/>
      <c r="U270" s="837"/>
      <c r="V270" s="837"/>
      <c r="W270" s="837"/>
      <c r="X270" s="821"/>
      <c r="Y270" s="553"/>
      <c r="Z270" s="545"/>
      <c r="AA270" s="545"/>
      <c r="AB270" s="545"/>
      <c r="AC270" s="545"/>
      <c r="AD270" s="545"/>
      <c r="AE270" s="543"/>
      <c r="AF270" s="423"/>
      <c r="AG270" s="423"/>
      <c r="AH270" s="423"/>
      <c r="AI270" s="423"/>
      <c r="AJ270" s="423"/>
      <c r="AK270" s="423"/>
      <c r="AL270" s="423"/>
      <c r="AM270" s="423"/>
      <c r="AN270" s="423"/>
      <c r="AO270" s="423"/>
      <c r="AP270" s="423"/>
      <c r="AQ270" s="423"/>
      <c r="AR270" s="423"/>
      <c r="AS270" s="423"/>
      <c r="AT270" s="423"/>
      <c r="AU270" s="423"/>
      <c r="AV270" s="423"/>
      <c r="AW270" s="423"/>
      <c r="AX270" s="423"/>
      <c r="AY270" s="424"/>
    </row>
    <row r="271" spans="2:51" ht="18" customHeight="1">
      <c r="B271" s="1942"/>
      <c r="C271" s="1907" t="s">
        <v>407</v>
      </c>
      <c r="D271" s="1899" t="s">
        <v>318</v>
      </c>
      <c r="E271" s="1900"/>
      <c r="F271" s="1900" t="s">
        <v>319</v>
      </c>
      <c r="G271" s="1900"/>
      <c r="H271" s="3636" t="s">
        <v>320</v>
      </c>
      <c r="I271" s="3637"/>
      <c r="J271" s="1899" t="s">
        <v>318</v>
      </c>
      <c r="K271" s="1900"/>
      <c r="L271" s="1900" t="s">
        <v>319</v>
      </c>
      <c r="M271" s="1900"/>
      <c r="N271" s="3636" t="s">
        <v>320</v>
      </c>
      <c r="O271" s="3637"/>
      <c r="P271" s="472"/>
      <c r="Q271" s="473"/>
      <c r="R271" s="473"/>
      <c r="S271" s="473"/>
      <c r="T271" s="473"/>
      <c r="U271" s="473"/>
      <c r="V271" s="473"/>
      <c r="W271" s="473"/>
      <c r="X271" s="822"/>
      <c r="Y271" s="546"/>
      <c r="Z271" s="547"/>
      <c r="AA271" s="547"/>
      <c r="AB271" s="547"/>
      <c r="AC271" s="547"/>
      <c r="AD271" s="547"/>
      <c r="AE271" s="422"/>
      <c r="AF271" s="425"/>
      <c r="AG271" s="425"/>
      <c r="AH271" s="425"/>
      <c r="AI271" s="425"/>
      <c r="AJ271" s="425"/>
      <c r="AK271" s="425"/>
      <c r="AL271" s="425"/>
      <c r="AM271" s="425"/>
      <c r="AN271" s="425"/>
      <c r="AO271" s="425"/>
      <c r="AP271" s="425"/>
      <c r="AQ271" s="425"/>
      <c r="AR271" s="425"/>
      <c r="AS271" s="425"/>
      <c r="AT271" s="425"/>
      <c r="AU271" s="425"/>
      <c r="AV271" s="425"/>
      <c r="AW271" s="425"/>
      <c r="AX271" s="425"/>
      <c r="AY271" s="426"/>
    </row>
    <row r="272" spans="2:51" ht="18" customHeight="1">
      <c r="B272" s="1945" t="str">
        <f>+$B$6</f>
        <v>戸建形式住宅</v>
      </c>
      <c r="C272" s="588" t="s">
        <v>23</v>
      </c>
      <c r="D272" s="431" t="s">
        <v>857</v>
      </c>
      <c r="E272" s="432" t="s">
        <v>857</v>
      </c>
      <c r="F272" s="432" t="s">
        <v>857</v>
      </c>
      <c r="G272" s="432" t="s">
        <v>857</v>
      </c>
      <c r="H272" s="432" t="s">
        <v>857</v>
      </c>
      <c r="I272" s="436" t="s">
        <v>857</v>
      </c>
      <c r="J272" s="437" t="s">
        <v>857</v>
      </c>
      <c r="K272" s="432" t="s">
        <v>857</v>
      </c>
      <c r="L272" s="432" t="s">
        <v>857</v>
      </c>
      <c r="M272" s="432" t="s">
        <v>857</v>
      </c>
      <c r="N272" s="432" t="s">
        <v>857</v>
      </c>
      <c r="O272" s="436" t="s">
        <v>857</v>
      </c>
      <c r="P272" s="845"/>
      <c r="Q272" s="846"/>
      <c r="R272" s="846"/>
      <c r="S272" s="846"/>
      <c r="T272" s="846"/>
      <c r="U272" s="846"/>
      <c r="V272" s="847"/>
      <c r="W272" s="451"/>
      <c r="X272" s="815"/>
      <c r="Y272" s="574"/>
      <c r="Z272" s="547"/>
      <c r="AA272" s="575"/>
      <c r="AB272" s="547"/>
      <c r="AC272" s="575"/>
      <c r="AD272" s="547"/>
      <c r="AE272" s="422"/>
      <c r="AF272" s="425"/>
      <c r="AG272" s="425"/>
      <c r="AH272" s="425"/>
      <c r="AI272" s="425"/>
      <c r="AJ272" s="425"/>
      <c r="AK272" s="425"/>
      <c r="AL272" s="425"/>
      <c r="AM272" s="425"/>
      <c r="AN272" s="425"/>
      <c r="AO272" s="425"/>
      <c r="AP272" s="425"/>
      <c r="AQ272" s="425"/>
      <c r="AR272" s="425"/>
      <c r="AS272" s="425"/>
      <c r="AT272" s="425"/>
      <c r="AU272" s="425"/>
      <c r="AV272" s="425"/>
      <c r="AW272" s="425"/>
      <c r="AX272" s="425"/>
      <c r="AY272" s="426"/>
    </row>
    <row r="273" spans="2:51" ht="18" customHeight="1">
      <c r="B273" s="1946" t="str">
        <f>+$B$7</f>
        <v>集合形式住宅</v>
      </c>
      <c r="C273" s="430">
        <v>57720</v>
      </c>
      <c r="D273" s="1328" t="s">
        <v>1135</v>
      </c>
      <c r="E273" s="559" t="s">
        <v>1135</v>
      </c>
      <c r="F273" s="432" t="s">
        <v>408</v>
      </c>
      <c r="G273" s="432">
        <v>1</v>
      </c>
      <c r="H273" s="432" t="s">
        <v>409</v>
      </c>
      <c r="I273" s="433">
        <v>0.9</v>
      </c>
      <c r="J273" s="437">
        <v>4</v>
      </c>
      <c r="K273" s="432">
        <v>1.08</v>
      </c>
      <c r="L273" s="432">
        <v>3</v>
      </c>
      <c r="M273" s="432">
        <v>1</v>
      </c>
      <c r="N273" s="432" t="s">
        <v>1051</v>
      </c>
      <c r="O273" s="433" t="s">
        <v>1051</v>
      </c>
      <c r="P273" s="450"/>
      <c r="Q273" s="451"/>
      <c r="R273" s="451"/>
      <c r="S273" s="451"/>
      <c r="T273" s="451"/>
      <c r="U273" s="451"/>
      <c r="V273" s="451"/>
      <c r="W273" s="451"/>
      <c r="X273" s="815"/>
      <c r="Y273" s="574"/>
      <c r="Z273" s="587"/>
      <c r="AA273" s="575"/>
      <c r="AB273" s="587"/>
      <c r="AC273" s="575"/>
      <c r="AD273" s="587"/>
      <c r="AE273" s="422"/>
      <c r="AF273" s="425"/>
      <c r="AG273" s="425"/>
      <c r="AH273" s="425"/>
      <c r="AI273" s="425"/>
      <c r="AJ273" s="425"/>
      <c r="AK273" s="425"/>
      <c r="AL273" s="425"/>
      <c r="AM273" s="425"/>
      <c r="AN273" s="425"/>
      <c r="AO273" s="425"/>
      <c r="AP273" s="425"/>
      <c r="AQ273" s="425"/>
      <c r="AR273" s="425"/>
      <c r="AS273" s="425"/>
      <c r="AT273" s="425"/>
      <c r="AU273" s="425"/>
      <c r="AV273" s="425"/>
      <c r="AW273" s="425"/>
      <c r="AX273" s="425"/>
      <c r="AY273" s="426"/>
    </row>
    <row r="274" spans="2:51" ht="18" customHeight="1">
      <c r="B274" s="1946" t="str">
        <f>+$B$8</f>
        <v>事務所・店舗</v>
      </c>
      <c r="C274" s="430">
        <v>57720</v>
      </c>
      <c r="D274" s="431" t="s">
        <v>1051</v>
      </c>
      <c r="E274" s="432" t="s">
        <v>1051</v>
      </c>
      <c r="F274" s="432" t="s">
        <v>408</v>
      </c>
      <c r="G274" s="432">
        <v>1</v>
      </c>
      <c r="H274" s="432" t="s">
        <v>409</v>
      </c>
      <c r="I274" s="433">
        <v>0.9</v>
      </c>
      <c r="J274" s="437">
        <v>4</v>
      </c>
      <c r="K274" s="432">
        <v>1.08</v>
      </c>
      <c r="L274" s="432">
        <v>3</v>
      </c>
      <c r="M274" s="432">
        <v>1</v>
      </c>
      <c r="N274" s="432" t="s">
        <v>1051</v>
      </c>
      <c r="O274" s="433" t="s">
        <v>1051</v>
      </c>
      <c r="P274" s="450"/>
      <c r="Q274" s="451"/>
      <c r="R274" s="451"/>
      <c r="S274" s="451"/>
      <c r="T274" s="451"/>
      <c r="U274" s="451"/>
      <c r="V274" s="451"/>
      <c r="W274" s="451"/>
      <c r="X274" s="815"/>
      <c r="Y274" s="574"/>
      <c r="Z274" s="547"/>
      <c r="AA274" s="575"/>
      <c r="AB274" s="547"/>
      <c r="AC274" s="575"/>
      <c r="AD274" s="547"/>
      <c r="AE274" s="422"/>
      <c r="AF274" s="425"/>
      <c r="AG274" s="425"/>
      <c r="AH274" s="425"/>
      <c r="AI274" s="425"/>
      <c r="AJ274" s="425"/>
      <c r="AK274" s="425"/>
      <c r="AL274" s="425"/>
      <c r="AM274" s="425"/>
      <c r="AN274" s="425"/>
      <c r="AO274" s="425"/>
      <c r="AP274" s="425"/>
      <c r="AQ274" s="425"/>
      <c r="AR274" s="425"/>
      <c r="AS274" s="425"/>
      <c r="AT274" s="425"/>
      <c r="AU274" s="425"/>
      <c r="AV274" s="425"/>
      <c r="AW274" s="425"/>
      <c r="AX274" s="425"/>
      <c r="AY274" s="426"/>
    </row>
    <row r="275" spans="2:51" ht="18" customHeight="1">
      <c r="B275" s="1946" t="str">
        <f>+$B$9</f>
        <v>病院・ホテル</v>
      </c>
      <c r="C275" s="430">
        <v>57720</v>
      </c>
      <c r="D275" s="431" t="s">
        <v>1051</v>
      </c>
      <c r="E275" s="432" t="s">
        <v>1051</v>
      </c>
      <c r="F275" s="432" t="s">
        <v>408</v>
      </c>
      <c r="G275" s="432">
        <v>1</v>
      </c>
      <c r="H275" s="432" t="s">
        <v>409</v>
      </c>
      <c r="I275" s="433">
        <v>0.9</v>
      </c>
      <c r="J275" s="437">
        <v>4</v>
      </c>
      <c r="K275" s="432">
        <v>1.08</v>
      </c>
      <c r="L275" s="432">
        <v>3</v>
      </c>
      <c r="M275" s="432">
        <v>1</v>
      </c>
      <c r="N275" s="432" t="s">
        <v>1051</v>
      </c>
      <c r="O275" s="433" t="s">
        <v>1051</v>
      </c>
      <c r="P275" s="450"/>
      <c r="Q275" s="451"/>
      <c r="R275" s="451"/>
      <c r="S275" s="451"/>
      <c r="T275" s="451"/>
      <c r="U275" s="451"/>
      <c r="V275" s="451"/>
      <c r="W275" s="451"/>
      <c r="X275" s="815"/>
      <c r="Y275" s="574"/>
      <c r="Z275" s="547"/>
      <c r="AA275" s="575"/>
      <c r="AB275" s="547"/>
      <c r="AC275" s="575"/>
      <c r="AD275" s="547"/>
      <c r="AE275" s="422"/>
      <c r="AF275" s="425"/>
      <c r="AG275" s="425"/>
      <c r="AH275" s="425"/>
      <c r="AI275" s="425"/>
      <c r="AJ275" s="425"/>
      <c r="AK275" s="425"/>
      <c r="AL275" s="425"/>
      <c r="AM275" s="425"/>
      <c r="AN275" s="425"/>
      <c r="AO275" s="425"/>
      <c r="AP275" s="425"/>
      <c r="AQ275" s="425"/>
      <c r="AR275" s="425"/>
      <c r="AS275" s="425"/>
      <c r="AT275" s="425"/>
      <c r="AU275" s="425"/>
      <c r="AV275" s="425"/>
      <c r="AW275" s="425"/>
      <c r="AX275" s="425"/>
      <c r="AY275" s="426"/>
    </row>
    <row r="276" spans="2:51" ht="18" customHeight="1">
      <c r="B276" s="1947" t="str">
        <f>+$B$10</f>
        <v>工場・倉庫</v>
      </c>
      <c r="C276" s="430">
        <v>57720</v>
      </c>
      <c r="D276" s="441" t="s">
        <v>1051</v>
      </c>
      <c r="E276" s="442" t="s">
        <v>1051</v>
      </c>
      <c r="F276" s="442" t="s">
        <v>408</v>
      </c>
      <c r="G276" s="442">
        <v>1</v>
      </c>
      <c r="H276" s="442" t="s">
        <v>409</v>
      </c>
      <c r="I276" s="443">
        <v>0.9</v>
      </c>
      <c r="J276" s="1283">
        <v>4</v>
      </c>
      <c r="K276" s="442">
        <v>1.08</v>
      </c>
      <c r="L276" s="442">
        <v>3</v>
      </c>
      <c r="M276" s="442">
        <v>1</v>
      </c>
      <c r="N276" s="442" t="s">
        <v>1051</v>
      </c>
      <c r="O276" s="443" t="s">
        <v>1051</v>
      </c>
      <c r="P276" s="738"/>
      <c r="Q276" s="739"/>
      <c r="R276" s="739"/>
      <c r="S276" s="739"/>
      <c r="T276" s="739"/>
      <c r="U276" s="739"/>
      <c r="V276" s="739"/>
      <c r="W276" s="739"/>
      <c r="X276" s="818"/>
      <c r="Y276" s="576"/>
      <c r="Z276" s="577"/>
      <c r="AA276" s="578"/>
      <c r="AB276" s="577"/>
      <c r="AC276" s="578"/>
      <c r="AD276" s="577"/>
      <c r="AE276" s="568"/>
      <c r="AF276" s="425"/>
      <c r="AG276" s="425"/>
      <c r="AH276" s="425"/>
      <c r="AI276" s="425"/>
      <c r="AJ276" s="425"/>
      <c r="AK276" s="425"/>
      <c r="AL276" s="425"/>
      <c r="AM276" s="425"/>
      <c r="AN276" s="425"/>
      <c r="AO276" s="425"/>
      <c r="AP276" s="425"/>
      <c r="AQ276" s="425"/>
      <c r="AR276" s="425"/>
      <c r="AS276" s="425"/>
      <c r="AT276" s="425"/>
      <c r="AU276" s="425"/>
      <c r="AV276" s="425"/>
      <c r="AW276" s="425"/>
      <c r="AX276" s="425"/>
      <c r="AY276" s="426"/>
    </row>
    <row r="277" spans="2:51" ht="18" customHeight="1">
      <c r="B277" s="1941" t="s">
        <v>311</v>
      </c>
      <c r="C277" s="1928" t="s">
        <v>5399</v>
      </c>
      <c r="D277" s="1932" t="s">
        <v>5391</v>
      </c>
      <c r="E277" s="1889"/>
      <c r="F277" s="1889"/>
      <c r="G277" s="1889"/>
      <c r="H277" s="1889"/>
      <c r="I277" s="1890"/>
      <c r="J277" s="3638" t="s">
        <v>165</v>
      </c>
      <c r="K277" s="3641"/>
      <c r="L277" s="3641"/>
      <c r="M277" s="3641"/>
      <c r="N277" s="3641"/>
      <c r="O277" s="3641"/>
      <c r="P277" s="3638" t="s">
        <v>5392</v>
      </c>
      <c r="Q277" s="3641"/>
      <c r="R277" s="3641"/>
      <c r="S277" s="3641"/>
      <c r="T277" s="3641"/>
      <c r="U277" s="3642"/>
      <c r="V277" s="3638" t="s">
        <v>5393</v>
      </c>
      <c r="W277" s="3641"/>
      <c r="X277" s="3641"/>
      <c r="Y277" s="3641"/>
      <c r="Z277" s="3641"/>
      <c r="AA277" s="3642"/>
      <c r="AB277" s="3638" t="s">
        <v>5400</v>
      </c>
      <c r="AC277" s="3641"/>
      <c r="AD277" s="3641"/>
      <c r="AE277" s="3641"/>
      <c r="AF277" s="3641"/>
      <c r="AG277" s="3642"/>
      <c r="AH277" s="837"/>
      <c r="AI277" s="837"/>
      <c r="AJ277" s="837"/>
      <c r="AK277" s="837"/>
      <c r="AL277" s="837"/>
      <c r="AM277" s="837"/>
      <c r="AN277" s="837"/>
      <c r="AO277" s="837"/>
      <c r="AP277" s="837"/>
      <c r="AQ277" s="837"/>
      <c r="AR277" s="837"/>
      <c r="AS277" s="837"/>
      <c r="AT277" s="821"/>
    </row>
    <row r="278" spans="2:51" ht="18" customHeight="1">
      <c r="B278" s="1942"/>
      <c r="C278" s="1907" t="s">
        <v>5406</v>
      </c>
      <c r="D278" s="1899" t="s">
        <v>318</v>
      </c>
      <c r="E278" s="1900"/>
      <c r="F278" s="1900" t="s">
        <v>319</v>
      </c>
      <c r="G278" s="1900"/>
      <c r="H278" s="1900" t="s">
        <v>320</v>
      </c>
      <c r="I278" s="1901"/>
      <c r="J278" s="1898" t="s">
        <v>318</v>
      </c>
      <c r="K278" s="1899"/>
      <c r="L278" s="1900" t="s">
        <v>319</v>
      </c>
      <c r="M278" s="1900"/>
      <c r="N278" s="3636" t="s">
        <v>320</v>
      </c>
      <c r="O278" s="3643"/>
      <c r="P278" s="1898" t="s">
        <v>318</v>
      </c>
      <c r="Q278" s="1899"/>
      <c r="R278" s="1900" t="s">
        <v>319</v>
      </c>
      <c r="S278" s="1900"/>
      <c r="T278" s="3636" t="s">
        <v>320</v>
      </c>
      <c r="U278" s="3644"/>
      <c r="V278" s="3645" t="s">
        <v>318</v>
      </c>
      <c r="W278" s="3644"/>
      <c r="X278" s="3636" t="s">
        <v>319</v>
      </c>
      <c r="Y278" s="3644"/>
      <c r="Z278" s="3636" t="s">
        <v>320</v>
      </c>
      <c r="AA278" s="3637"/>
      <c r="AB278" s="3645" t="s">
        <v>318</v>
      </c>
      <c r="AC278" s="3644"/>
      <c r="AD278" s="3636" t="s">
        <v>319</v>
      </c>
      <c r="AE278" s="3644"/>
      <c r="AF278" s="3636" t="s">
        <v>320</v>
      </c>
      <c r="AG278" s="3637"/>
      <c r="AH278" s="473"/>
      <c r="AI278" s="473"/>
      <c r="AJ278" s="473"/>
      <c r="AK278" s="473"/>
      <c r="AL278" s="473"/>
      <c r="AM278" s="473"/>
      <c r="AN278" s="473"/>
      <c r="AO278" s="473"/>
      <c r="AP278" s="473"/>
      <c r="AQ278" s="473"/>
      <c r="AR278" s="473"/>
      <c r="AS278" s="839"/>
      <c r="AT278" s="815"/>
      <c r="AU278" s="839"/>
    </row>
    <row r="279" spans="2:51" ht="18" customHeight="1">
      <c r="B279" s="1945" t="str">
        <f>+$B$6</f>
        <v>戸建形式住宅</v>
      </c>
      <c r="C279" s="588" t="s">
        <v>5608</v>
      </c>
      <c r="D279" s="431" t="s">
        <v>857</v>
      </c>
      <c r="E279" s="432" t="s">
        <v>857</v>
      </c>
      <c r="F279" s="432" t="s">
        <v>857</v>
      </c>
      <c r="G279" s="432" t="s">
        <v>857</v>
      </c>
      <c r="H279" s="432" t="s">
        <v>857</v>
      </c>
      <c r="I279" s="436" t="s">
        <v>857</v>
      </c>
      <c r="J279" s="437" t="s">
        <v>857</v>
      </c>
      <c r="K279" s="432" t="s">
        <v>857</v>
      </c>
      <c r="L279" s="432" t="s">
        <v>857</v>
      </c>
      <c r="M279" s="432" t="s">
        <v>857</v>
      </c>
      <c r="N279" s="432" t="s">
        <v>857</v>
      </c>
      <c r="O279" s="436" t="s">
        <v>857</v>
      </c>
      <c r="P279" s="437" t="s">
        <v>857</v>
      </c>
      <c r="Q279" s="432" t="s">
        <v>857</v>
      </c>
      <c r="R279" s="432" t="s">
        <v>857</v>
      </c>
      <c r="S279" s="432" t="s">
        <v>857</v>
      </c>
      <c r="T279" s="432" t="s">
        <v>857</v>
      </c>
      <c r="U279" s="433" t="s">
        <v>857</v>
      </c>
      <c r="V279" s="437" t="s">
        <v>857</v>
      </c>
      <c r="W279" s="432" t="s">
        <v>857</v>
      </c>
      <c r="X279" s="432" t="s">
        <v>857</v>
      </c>
      <c r="Y279" s="432" t="s">
        <v>857</v>
      </c>
      <c r="Z279" s="432" t="s">
        <v>857</v>
      </c>
      <c r="AA279" s="433" t="s">
        <v>857</v>
      </c>
      <c r="AB279" s="437" t="s">
        <v>857</v>
      </c>
      <c r="AC279" s="432" t="s">
        <v>857</v>
      </c>
      <c r="AD279" s="432" t="s">
        <v>857</v>
      </c>
      <c r="AE279" s="432" t="s">
        <v>857</v>
      </c>
      <c r="AF279" s="432" t="s">
        <v>857</v>
      </c>
      <c r="AG279" s="433" t="s">
        <v>857</v>
      </c>
      <c r="AH279" s="451"/>
      <c r="AI279" s="451"/>
      <c r="AJ279" s="451"/>
      <c r="AK279" s="451"/>
      <c r="AL279" s="451"/>
      <c r="AM279" s="458"/>
      <c r="AN279" s="451"/>
      <c r="AO279" s="458"/>
      <c r="AP279" s="451"/>
      <c r="AQ279" s="458"/>
      <c r="AR279" s="451"/>
      <c r="AS279" s="458"/>
      <c r="AT279" s="815"/>
    </row>
    <row r="280" spans="2:51" ht="18" customHeight="1">
      <c r="B280" s="1946" t="str">
        <f>+$B$7</f>
        <v>集合形式住宅</v>
      </c>
      <c r="C280" s="430">
        <v>5440</v>
      </c>
      <c r="D280" s="1329">
        <v>30</v>
      </c>
      <c r="E280" s="432">
        <v>1.2</v>
      </c>
      <c r="F280" s="1330">
        <v>70</v>
      </c>
      <c r="G280" s="432">
        <v>1</v>
      </c>
      <c r="H280" s="432" t="s">
        <v>37</v>
      </c>
      <c r="I280" s="432" t="s">
        <v>37</v>
      </c>
      <c r="J280" s="1331">
        <v>10</v>
      </c>
      <c r="K280" s="432">
        <v>1.1000000000000001</v>
      </c>
      <c r="L280" s="1330">
        <v>3</v>
      </c>
      <c r="M280" s="432">
        <v>1</v>
      </c>
      <c r="N280" s="432" t="s">
        <v>5468</v>
      </c>
      <c r="O280" s="436">
        <v>1</v>
      </c>
      <c r="P280" s="437" t="s">
        <v>5394</v>
      </c>
      <c r="Q280" s="432">
        <v>1.3</v>
      </c>
      <c r="R280" s="432" t="s">
        <v>5395</v>
      </c>
      <c r="S280" s="1332">
        <v>1</v>
      </c>
      <c r="T280" s="1062" t="s">
        <v>5396</v>
      </c>
      <c r="U280" s="432">
        <v>0.8</v>
      </c>
      <c r="V280" s="437" t="s">
        <v>5397</v>
      </c>
      <c r="W280" s="431">
        <v>1.5</v>
      </c>
      <c r="X280" s="432" t="s">
        <v>5395</v>
      </c>
      <c r="Y280" s="432">
        <v>1</v>
      </c>
      <c r="Z280" s="432" t="s">
        <v>5398</v>
      </c>
      <c r="AA280" s="433">
        <v>0.7</v>
      </c>
      <c r="AB280" s="437" t="s">
        <v>5401</v>
      </c>
      <c r="AC280" s="431" t="s">
        <v>5402</v>
      </c>
      <c r="AD280" s="432" t="s">
        <v>5403</v>
      </c>
      <c r="AE280" s="432">
        <v>1</v>
      </c>
      <c r="AF280" s="432" t="s">
        <v>5404</v>
      </c>
      <c r="AG280" s="433">
        <v>0.95</v>
      </c>
      <c r="AH280" s="451"/>
      <c r="AI280" s="451"/>
      <c r="AJ280" s="451"/>
      <c r="AK280" s="451"/>
      <c r="AL280" s="451"/>
      <c r="AM280" s="458"/>
      <c r="AN280" s="860"/>
      <c r="AO280" s="458"/>
      <c r="AP280" s="860"/>
      <c r="AQ280" s="458"/>
      <c r="AR280" s="860"/>
      <c r="AS280" s="861"/>
      <c r="AT280" s="862"/>
    </row>
    <row r="281" spans="2:51" ht="18" customHeight="1">
      <c r="B281" s="1946" t="str">
        <f>+$B$8</f>
        <v>事務所・店舗</v>
      </c>
      <c r="C281" s="430" t="s">
        <v>1140</v>
      </c>
      <c r="D281" s="431" t="s">
        <v>857</v>
      </c>
      <c r="E281" s="432" t="s">
        <v>857</v>
      </c>
      <c r="F281" s="432" t="s">
        <v>857</v>
      </c>
      <c r="G281" s="432" t="s">
        <v>857</v>
      </c>
      <c r="H281" s="432" t="s">
        <v>857</v>
      </c>
      <c r="I281" s="436" t="s">
        <v>857</v>
      </c>
      <c r="J281" s="437" t="s">
        <v>857</v>
      </c>
      <c r="K281" s="432" t="s">
        <v>857</v>
      </c>
      <c r="L281" s="432" t="s">
        <v>857</v>
      </c>
      <c r="M281" s="432" t="s">
        <v>857</v>
      </c>
      <c r="N281" s="432" t="s">
        <v>857</v>
      </c>
      <c r="O281" s="436" t="s">
        <v>857</v>
      </c>
      <c r="P281" s="437" t="s">
        <v>857</v>
      </c>
      <c r="Q281" s="432" t="s">
        <v>857</v>
      </c>
      <c r="R281" s="432" t="s">
        <v>857</v>
      </c>
      <c r="S281" s="1061" t="s">
        <v>857</v>
      </c>
      <c r="T281" s="1062" t="s">
        <v>857</v>
      </c>
      <c r="U281" s="432" t="s">
        <v>857</v>
      </c>
      <c r="V281" s="437" t="s">
        <v>857</v>
      </c>
      <c r="W281" s="431" t="s">
        <v>857</v>
      </c>
      <c r="X281" s="432" t="s">
        <v>857</v>
      </c>
      <c r="Y281" s="432" t="s">
        <v>857</v>
      </c>
      <c r="Z281" s="432" t="s">
        <v>857</v>
      </c>
      <c r="AA281" s="433" t="s">
        <v>857</v>
      </c>
      <c r="AB281" s="437" t="s">
        <v>857</v>
      </c>
      <c r="AC281" s="431" t="s">
        <v>857</v>
      </c>
      <c r="AD281" s="432" t="s">
        <v>857</v>
      </c>
      <c r="AE281" s="432" t="s">
        <v>857</v>
      </c>
      <c r="AF281" s="432" t="s">
        <v>857</v>
      </c>
      <c r="AG281" s="433" t="s">
        <v>857</v>
      </c>
      <c r="AH281" s="451"/>
      <c r="AI281" s="451"/>
      <c r="AJ281" s="451"/>
      <c r="AK281" s="451"/>
      <c r="AL281" s="451"/>
      <c r="AM281" s="458"/>
      <c r="AN281" s="451"/>
      <c r="AO281" s="458"/>
      <c r="AP281" s="451"/>
      <c r="AQ281" s="458"/>
      <c r="AR281" s="451"/>
      <c r="AS281" s="458"/>
      <c r="AT281" s="815"/>
    </row>
    <row r="282" spans="2:51" ht="18" customHeight="1">
      <c r="B282" s="1946" t="str">
        <f>+$B$9</f>
        <v>病院・ホテル</v>
      </c>
      <c r="C282" s="430" t="s">
        <v>1140</v>
      </c>
      <c r="D282" s="431" t="s">
        <v>857</v>
      </c>
      <c r="E282" s="432" t="s">
        <v>857</v>
      </c>
      <c r="F282" s="432" t="s">
        <v>857</v>
      </c>
      <c r="G282" s="432" t="s">
        <v>857</v>
      </c>
      <c r="H282" s="432" t="s">
        <v>857</v>
      </c>
      <c r="I282" s="436" t="s">
        <v>857</v>
      </c>
      <c r="J282" s="437" t="s">
        <v>857</v>
      </c>
      <c r="K282" s="432" t="s">
        <v>857</v>
      </c>
      <c r="L282" s="432" t="s">
        <v>857</v>
      </c>
      <c r="M282" s="432" t="s">
        <v>857</v>
      </c>
      <c r="N282" s="432" t="s">
        <v>857</v>
      </c>
      <c r="O282" s="436" t="s">
        <v>857</v>
      </c>
      <c r="P282" s="437" t="s">
        <v>857</v>
      </c>
      <c r="Q282" s="432" t="s">
        <v>857</v>
      </c>
      <c r="R282" s="432" t="s">
        <v>857</v>
      </c>
      <c r="S282" s="1061" t="s">
        <v>857</v>
      </c>
      <c r="T282" s="1062" t="s">
        <v>857</v>
      </c>
      <c r="U282" s="432" t="s">
        <v>857</v>
      </c>
      <c r="V282" s="437" t="s">
        <v>857</v>
      </c>
      <c r="W282" s="431" t="s">
        <v>857</v>
      </c>
      <c r="X282" s="432" t="s">
        <v>857</v>
      </c>
      <c r="Y282" s="432" t="s">
        <v>857</v>
      </c>
      <c r="Z282" s="432" t="s">
        <v>857</v>
      </c>
      <c r="AA282" s="433" t="s">
        <v>857</v>
      </c>
      <c r="AB282" s="437" t="s">
        <v>857</v>
      </c>
      <c r="AC282" s="431" t="s">
        <v>857</v>
      </c>
      <c r="AD282" s="432" t="s">
        <v>857</v>
      </c>
      <c r="AE282" s="432" t="s">
        <v>857</v>
      </c>
      <c r="AF282" s="432" t="s">
        <v>857</v>
      </c>
      <c r="AG282" s="433" t="s">
        <v>857</v>
      </c>
      <c r="AH282" s="451"/>
      <c r="AI282" s="451"/>
      <c r="AJ282" s="451"/>
      <c r="AK282" s="451"/>
      <c r="AL282" s="451"/>
      <c r="AM282" s="458"/>
      <c r="AN282" s="451"/>
      <c r="AO282" s="458"/>
      <c r="AP282" s="451"/>
      <c r="AQ282" s="458"/>
      <c r="AR282" s="451"/>
      <c r="AS282" s="458"/>
      <c r="AT282" s="815"/>
    </row>
    <row r="283" spans="2:51" ht="18" customHeight="1">
      <c r="B283" s="1947" t="str">
        <f>+$B$10</f>
        <v>工場・倉庫</v>
      </c>
      <c r="C283" s="1060" t="s">
        <v>1140</v>
      </c>
      <c r="D283" s="441" t="s">
        <v>857</v>
      </c>
      <c r="E283" s="442" t="s">
        <v>857</v>
      </c>
      <c r="F283" s="442" t="s">
        <v>857</v>
      </c>
      <c r="G283" s="442" t="s">
        <v>857</v>
      </c>
      <c r="H283" s="442" t="s">
        <v>857</v>
      </c>
      <c r="I283" s="444" t="s">
        <v>857</v>
      </c>
      <c r="J283" s="445" t="s">
        <v>857</v>
      </c>
      <c r="K283" s="446" t="s">
        <v>857</v>
      </c>
      <c r="L283" s="446" t="s">
        <v>857</v>
      </c>
      <c r="M283" s="446" t="s">
        <v>857</v>
      </c>
      <c r="N283" s="446" t="s">
        <v>857</v>
      </c>
      <c r="O283" s="479" t="s">
        <v>857</v>
      </c>
      <c r="P283" s="445" t="s">
        <v>857</v>
      </c>
      <c r="Q283" s="446" t="s">
        <v>857</v>
      </c>
      <c r="R283" s="446" t="s">
        <v>857</v>
      </c>
      <c r="S283" s="1063" t="s">
        <v>857</v>
      </c>
      <c r="T283" s="1064" t="s">
        <v>857</v>
      </c>
      <c r="U283" s="446" t="s">
        <v>857</v>
      </c>
      <c r="V283" s="445" t="s">
        <v>857</v>
      </c>
      <c r="W283" s="823" t="s">
        <v>857</v>
      </c>
      <c r="X283" s="446" t="s">
        <v>857</v>
      </c>
      <c r="Y283" s="446" t="s">
        <v>857</v>
      </c>
      <c r="Z283" s="446" t="s">
        <v>857</v>
      </c>
      <c r="AA283" s="447" t="s">
        <v>857</v>
      </c>
      <c r="AB283" s="445" t="s">
        <v>857</v>
      </c>
      <c r="AC283" s="823" t="s">
        <v>857</v>
      </c>
      <c r="AD283" s="446" t="s">
        <v>857</v>
      </c>
      <c r="AE283" s="446" t="s">
        <v>857</v>
      </c>
      <c r="AF283" s="446" t="s">
        <v>857</v>
      </c>
      <c r="AG283" s="447" t="s">
        <v>857</v>
      </c>
      <c r="AH283" s="739"/>
      <c r="AI283" s="739"/>
      <c r="AJ283" s="739"/>
      <c r="AK283" s="739"/>
      <c r="AL283" s="739"/>
      <c r="AM283" s="835"/>
      <c r="AN283" s="739"/>
      <c r="AO283" s="835"/>
      <c r="AP283" s="739"/>
      <c r="AQ283" s="835"/>
      <c r="AR283" s="739"/>
      <c r="AS283" s="835"/>
      <c r="AT283" s="818"/>
    </row>
    <row r="284" spans="2:51" ht="18" customHeight="1">
      <c r="B284" s="1941" t="s">
        <v>311</v>
      </c>
      <c r="C284" s="1928" t="s">
        <v>5390</v>
      </c>
      <c r="D284" s="1932" t="s">
        <v>5391</v>
      </c>
      <c r="E284" s="1889"/>
      <c r="F284" s="1889"/>
      <c r="G284" s="1889"/>
      <c r="H284" s="1889"/>
      <c r="I284" s="1890"/>
      <c r="J284" s="3638" t="s">
        <v>165</v>
      </c>
      <c r="K284" s="3641"/>
      <c r="L284" s="3641"/>
      <c r="M284" s="3641"/>
      <c r="N284" s="3641"/>
      <c r="O284" s="3641"/>
      <c r="P284" s="3638" t="s">
        <v>5392</v>
      </c>
      <c r="Q284" s="3641"/>
      <c r="R284" s="3641"/>
      <c r="S284" s="3641"/>
      <c r="T284" s="3641"/>
      <c r="U284" s="3641"/>
      <c r="V284" s="3638" t="s">
        <v>5393</v>
      </c>
      <c r="W284" s="3641"/>
      <c r="X284" s="3641"/>
      <c r="Y284" s="3641"/>
      <c r="Z284" s="3641"/>
      <c r="AA284" s="3642"/>
      <c r="AB284" s="3638" t="s">
        <v>5400</v>
      </c>
      <c r="AC284" s="3641"/>
      <c r="AD284" s="3641"/>
      <c r="AE284" s="3641"/>
      <c r="AF284" s="3641"/>
      <c r="AG284" s="3642"/>
      <c r="AH284" s="837"/>
      <c r="AI284" s="837"/>
      <c r="AJ284" s="837"/>
      <c r="AK284" s="837"/>
      <c r="AL284" s="837"/>
      <c r="AM284" s="837"/>
      <c r="AN284" s="837"/>
      <c r="AO284" s="837"/>
      <c r="AP284" s="837"/>
      <c r="AQ284" s="837"/>
      <c r="AR284" s="837"/>
      <c r="AS284" s="837"/>
      <c r="AT284" s="821"/>
    </row>
    <row r="285" spans="2:51" ht="18" customHeight="1">
      <c r="B285" s="1942"/>
      <c r="C285" s="1907" t="s">
        <v>5405</v>
      </c>
      <c r="D285" s="1899" t="s">
        <v>318</v>
      </c>
      <c r="E285" s="1900"/>
      <c r="F285" s="1900" t="s">
        <v>319</v>
      </c>
      <c r="G285" s="1900"/>
      <c r="H285" s="1900" t="s">
        <v>320</v>
      </c>
      <c r="I285" s="1901"/>
      <c r="J285" s="1898" t="s">
        <v>318</v>
      </c>
      <c r="K285" s="1899"/>
      <c r="L285" s="1900" t="s">
        <v>319</v>
      </c>
      <c r="M285" s="1900"/>
      <c r="N285" s="3636" t="s">
        <v>320</v>
      </c>
      <c r="O285" s="3643"/>
      <c r="P285" s="1898" t="s">
        <v>318</v>
      </c>
      <c r="Q285" s="1899"/>
      <c r="R285" s="1900" t="s">
        <v>319</v>
      </c>
      <c r="S285" s="1900"/>
      <c r="T285" s="3636" t="s">
        <v>320</v>
      </c>
      <c r="U285" s="3643"/>
      <c r="V285" s="3645" t="s">
        <v>318</v>
      </c>
      <c r="W285" s="3644"/>
      <c r="X285" s="3636" t="s">
        <v>319</v>
      </c>
      <c r="Y285" s="3644"/>
      <c r="Z285" s="3636" t="s">
        <v>320</v>
      </c>
      <c r="AA285" s="3637"/>
      <c r="AB285" s="3645" t="s">
        <v>318</v>
      </c>
      <c r="AC285" s="3644"/>
      <c r="AD285" s="3636" t="s">
        <v>319</v>
      </c>
      <c r="AE285" s="3644"/>
      <c r="AF285" s="3636" t="s">
        <v>320</v>
      </c>
      <c r="AG285" s="3637"/>
      <c r="AH285" s="473"/>
      <c r="AI285" s="473"/>
      <c r="AJ285" s="473"/>
      <c r="AK285" s="473"/>
      <c r="AL285" s="473"/>
      <c r="AM285" s="473"/>
      <c r="AN285" s="473"/>
      <c r="AO285" s="473"/>
      <c r="AP285" s="473"/>
      <c r="AQ285" s="473"/>
      <c r="AR285" s="473"/>
      <c r="AS285" s="839"/>
      <c r="AT285" s="822"/>
    </row>
    <row r="286" spans="2:51" ht="18" customHeight="1">
      <c r="B286" s="1945" t="str">
        <f>+$B$6</f>
        <v>戸建形式住宅</v>
      </c>
      <c r="C286" s="588" t="s">
        <v>23</v>
      </c>
      <c r="D286" s="431" t="s">
        <v>857</v>
      </c>
      <c r="E286" s="432" t="s">
        <v>857</v>
      </c>
      <c r="F286" s="432" t="s">
        <v>857</v>
      </c>
      <c r="G286" s="432" t="s">
        <v>857</v>
      </c>
      <c r="H286" s="432" t="s">
        <v>857</v>
      </c>
      <c r="I286" s="436" t="s">
        <v>857</v>
      </c>
      <c r="J286" s="437" t="s">
        <v>857</v>
      </c>
      <c r="K286" s="432" t="s">
        <v>857</v>
      </c>
      <c r="L286" s="432" t="s">
        <v>857</v>
      </c>
      <c r="M286" s="432" t="s">
        <v>857</v>
      </c>
      <c r="N286" s="432" t="s">
        <v>857</v>
      </c>
      <c r="O286" s="436" t="s">
        <v>857</v>
      </c>
      <c r="P286" s="437" t="s">
        <v>857</v>
      </c>
      <c r="Q286" s="432" t="s">
        <v>857</v>
      </c>
      <c r="R286" s="432" t="s">
        <v>857</v>
      </c>
      <c r="S286" s="432" t="s">
        <v>857</v>
      </c>
      <c r="T286" s="432" t="s">
        <v>857</v>
      </c>
      <c r="U286" s="433" t="s">
        <v>857</v>
      </c>
      <c r="V286" s="437" t="s">
        <v>857</v>
      </c>
      <c r="W286" s="432" t="s">
        <v>857</v>
      </c>
      <c r="X286" s="432" t="s">
        <v>857</v>
      </c>
      <c r="Y286" s="432" t="s">
        <v>857</v>
      </c>
      <c r="Z286" s="432" t="s">
        <v>857</v>
      </c>
      <c r="AA286" s="433" t="s">
        <v>857</v>
      </c>
      <c r="AB286" s="437" t="s">
        <v>857</v>
      </c>
      <c r="AC286" s="432" t="s">
        <v>857</v>
      </c>
      <c r="AD286" s="432" t="s">
        <v>857</v>
      </c>
      <c r="AE286" s="432" t="s">
        <v>857</v>
      </c>
      <c r="AF286" s="432" t="s">
        <v>857</v>
      </c>
      <c r="AG286" s="433" t="s">
        <v>857</v>
      </c>
      <c r="AH286" s="451"/>
      <c r="AI286" s="451"/>
      <c r="AJ286" s="451"/>
      <c r="AK286" s="451"/>
      <c r="AL286" s="451"/>
      <c r="AM286" s="458"/>
      <c r="AN286" s="451"/>
      <c r="AO286" s="458"/>
      <c r="AP286" s="451"/>
      <c r="AQ286" s="458"/>
      <c r="AR286" s="451"/>
      <c r="AS286" s="458"/>
      <c r="AT286" s="815"/>
    </row>
    <row r="287" spans="2:51" ht="18" customHeight="1">
      <c r="B287" s="1946" t="str">
        <f>+$B$7</f>
        <v>集合形式住宅</v>
      </c>
      <c r="C287" s="430">
        <v>6710</v>
      </c>
      <c r="D287" s="1329">
        <v>30</v>
      </c>
      <c r="E287" s="432">
        <v>1.2</v>
      </c>
      <c r="F287" s="1330">
        <v>70</v>
      </c>
      <c r="G287" s="432">
        <v>1</v>
      </c>
      <c r="H287" s="432" t="s">
        <v>37</v>
      </c>
      <c r="I287" s="432" t="s">
        <v>37</v>
      </c>
      <c r="J287" s="1331">
        <v>10</v>
      </c>
      <c r="K287" s="432">
        <v>1.1000000000000001</v>
      </c>
      <c r="L287" s="1330">
        <v>3</v>
      </c>
      <c r="M287" s="432">
        <v>1</v>
      </c>
      <c r="N287" s="432" t="s">
        <v>1051</v>
      </c>
      <c r="O287" s="436" t="s">
        <v>1051</v>
      </c>
      <c r="P287" s="437" t="s">
        <v>5394</v>
      </c>
      <c r="Q287" s="432">
        <v>1.3</v>
      </c>
      <c r="R287" s="432" t="s">
        <v>5395</v>
      </c>
      <c r="S287" s="1333">
        <v>1</v>
      </c>
      <c r="T287" s="1062" t="s">
        <v>5396</v>
      </c>
      <c r="U287" s="436">
        <v>0.8</v>
      </c>
      <c r="V287" s="437" t="s">
        <v>5397</v>
      </c>
      <c r="W287" s="431">
        <v>1.5</v>
      </c>
      <c r="X287" s="432" t="s">
        <v>5395</v>
      </c>
      <c r="Y287" s="432">
        <v>1</v>
      </c>
      <c r="Z287" s="432" t="s">
        <v>5398</v>
      </c>
      <c r="AA287" s="433">
        <v>0.7</v>
      </c>
      <c r="AB287" s="437" t="s">
        <v>5401</v>
      </c>
      <c r="AC287" s="431" t="s">
        <v>5402</v>
      </c>
      <c r="AD287" s="432" t="s">
        <v>5403</v>
      </c>
      <c r="AE287" s="432">
        <v>1</v>
      </c>
      <c r="AF287" s="432" t="s">
        <v>5404</v>
      </c>
      <c r="AG287" s="433">
        <v>0.95</v>
      </c>
      <c r="AH287" s="451"/>
      <c r="AI287" s="451"/>
      <c r="AJ287" s="451"/>
      <c r="AK287" s="451"/>
      <c r="AL287" s="451"/>
      <c r="AM287" s="458"/>
      <c r="AN287" s="860"/>
      <c r="AO287" s="458"/>
      <c r="AP287" s="860"/>
      <c r="AQ287" s="458"/>
      <c r="AR287" s="860"/>
      <c r="AS287" s="861"/>
      <c r="AT287" s="862"/>
    </row>
    <row r="288" spans="2:51" ht="18" customHeight="1">
      <c r="B288" s="1946" t="str">
        <f>+$B$8</f>
        <v>事務所・店舗</v>
      </c>
      <c r="C288" s="430" t="s">
        <v>1140</v>
      </c>
      <c r="D288" s="431" t="s">
        <v>857</v>
      </c>
      <c r="E288" s="432" t="s">
        <v>857</v>
      </c>
      <c r="F288" s="432" t="s">
        <v>857</v>
      </c>
      <c r="G288" s="432" t="s">
        <v>857</v>
      </c>
      <c r="H288" s="432" t="s">
        <v>857</v>
      </c>
      <c r="I288" s="436" t="s">
        <v>857</v>
      </c>
      <c r="J288" s="1050" t="s">
        <v>857</v>
      </c>
      <c r="K288" s="432" t="s">
        <v>857</v>
      </c>
      <c r="L288" s="432" t="s">
        <v>857</v>
      </c>
      <c r="M288" s="432" t="s">
        <v>857</v>
      </c>
      <c r="N288" s="432" t="s">
        <v>857</v>
      </c>
      <c r="O288" s="436" t="s">
        <v>857</v>
      </c>
      <c r="P288" s="437" t="s">
        <v>857</v>
      </c>
      <c r="Q288" s="432" t="s">
        <v>857</v>
      </c>
      <c r="R288" s="432" t="s">
        <v>857</v>
      </c>
      <c r="S288" s="1062" t="s">
        <v>857</v>
      </c>
      <c r="T288" s="1062" t="s">
        <v>857</v>
      </c>
      <c r="U288" s="436" t="s">
        <v>857</v>
      </c>
      <c r="V288" s="437" t="s">
        <v>857</v>
      </c>
      <c r="W288" s="431" t="s">
        <v>857</v>
      </c>
      <c r="X288" s="432" t="s">
        <v>857</v>
      </c>
      <c r="Y288" s="432" t="s">
        <v>857</v>
      </c>
      <c r="Z288" s="432" t="s">
        <v>857</v>
      </c>
      <c r="AA288" s="433" t="s">
        <v>857</v>
      </c>
      <c r="AB288" s="437" t="s">
        <v>857</v>
      </c>
      <c r="AC288" s="431" t="s">
        <v>857</v>
      </c>
      <c r="AD288" s="432" t="s">
        <v>857</v>
      </c>
      <c r="AE288" s="432" t="s">
        <v>857</v>
      </c>
      <c r="AF288" s="432" t="s">
        <v>857</v>
      </c>
      <c r="AG288" s="433" t="s">
        <v>857</v>
      </c>
      <c r="AH288" s="451"/>
      <c r="AI288" s="451"/>
      <c r="AJ288" s="451"/>
      <c r="AK288" s="451"/>
      <c r="AL288" s="451"/>
      <c r="AM288" s="458"/>
      <c r="AN288" s="451"/>
      <c r="AO288" s="458"/>
      <c r="AP288" s="451"/>
      <c r="AQ288" s="458"/>
      <c r="AR288" s="451"/>
      <c r="AS288" s="458"/>
      <c r="AT288" s="815"/>
    </row>
    <row r="289" spans="2:46" ht="18" customHeight="1">
      <c r="B289" s="1946" t="str">
        <f>+$B$9</f>
        <v>病院・ホテル</v>
      </c>
      <c r="C289" s="430" t="s">
        <v>1140</v>
      </c>
      <c r="D289" s="431" t="s">
        <v>857</v>
      </c>
      <c r="E289" s="432" t="s">
        <v>857</v>
      </c>
      <c r="F289" s="432" t="s">
        <v>857</v>
      </c>
      <c r="G289" s="432" t="s">
        <v>857</v>
      </c>
      <c r="H289" s="432" t="s">
        <v>857</v>
      </c>
      <c r="I289" s="436" t="s">
        <v>857</v>
      </c>
      <c r="J289" s="1050" t="s">
        <v>857</v>
      </c>
      <c r="K289" s="432" t="s">
        <v>857</v>
      </c>
      <c r="L289" s="432" t="s">
        <v>857</v>
      </c>
      <c r="M289" s="432" t="s">
        <v>857</v>
      </c>
      <c r="N289" s="432" t="s">
        <v>857</v>
      </c>
      <c r="O289" s="436" t="s">
        <v>857</v>
      </c>
      <c r="P289" s="437" t="s">
        <v>857</v>
      </c>
      <c r="Q289" s="432" t="s">
        <v>857</v>
      </c>
      <c r="R289" s="432" t="s">
        <v>857</v>
      </c>
      <c r="S289" s="1062" t="s">
        <v>857</v>
      </c>
      <c r="T289" s="1062" t="s">
        <v>857</v>
      </c>
      <c r="U289" s="436" t="s">
        <v>857</v>
      </c>
      <c r="V289" s="437" t="s">
        <v>857</v>
      </c>
      <c r="W289" s="431" t="s">
        <v>857</v>
      </c>
      <c r="X289" s="432" t="s">
        <v>857</v>
      </c>
      <c r="Y289" s="432" t="s">
        <v>857</v>
      </c>
      <c r="Z289" s="432" t="s">
        <v>857</v>
      </c>
      <c r="AA289" s="433" t="s">
        <v>857</v>
      </c>
      <c r="AB289" s="437" t="s">
        <v>857</v>
      </c>
      <c r="AC289" s="431" t="s">
        <v>857</v>
      </c>
      <c r="AD289" s="432" t="s">
        <v>857</v>
      </c>
      <c r="AE289" s="432" t="s">
        <v>857</v>
      </c>
      <c r="AF289" s="432" t="s">
        <v>857</v>
      </c>
      <c r="AG289" s="433" t="s">
        <v>857</v>
      </c>
      <c r="AH289" s="451"/>
      <c r="AI289" s="451"/>
      <c r="AJ289" s="451"/>
      <c r="AK289" s="451"/>
      <c r="AL289" s="451"/>
      <c r="AM289" s="458"/>
      <c r="AN289" s="451"/>
      <c r="AO289" s="458"/>
      <c r="AP289" s="451"/>
      <c r="AQ289" s="458"/>
      <c r="AR289" s="451"/>
      <c r="AS289" s="458"/>
      <c r="AT289" s="815"/>
    </row>
    <row r="290" spans="2:46" ht="18" customHeight="1">
      <c r="B290" s="1947" t="str">
        <f>+$B$10</f>
        <v>工場・倉庫</v>
      </c>
      <c r="C290" s="1060" t="s">
        <v>1140</v>
      </c>
      <c r="D290" s="441" t="s">
        <v>857</v>
      </c>
      <c r="E290" s="442" t="s">
        <v>857</v>
      </c>
      <c r="F290" s="442" t="s">
        <v>857</v>
      </c>
      <c r="G290" s="442" t="s">
        <v>857</v>
      </c>
      <c r="H290" s="442" t="s">
        <v>857</v>
      </c>
      <c r="I290" s="444" t="s">
        <v>857</v>
      </c>
      <c r="J290" s="1051" t="s">
        <v>857</v>
      </c>
      <c r="K290" s="446" t="s">
        <v>857</v>
      </c>
      <c r="L290" s="446" t="s">
        <v>857</v>
      </c>
      <c r="M290" s="446" t="s">
        <v>857</v>
      </c>
      <c r="N290" s="446" t="s">
        <v>857</v>
      </c>
      <c r="O290" s="479" t="s">
        <v>857</v>
      </c>
      <c r="P290" s="445" t="s">
        <v>857</v>
      </c>
      <c r="Q290" s="446" t="s">
        <v>857</v>
      </c>
      <c r="R290" s="446" t="s">
        <v>857</v>
      </c>
      <c r="S290" s="1064" t="s">
        <v>857</v>
      </c>
      <c r="T290" s="1064" t="s">
        <v>857</v>
      </c>
      <c r="U290" s="479" t="s">
        <v>857</v>
      </c>
      <c r="V290" s="445" t="s">
        <v>857</v>
      </c>
      <c r="W290" s="823" t="s">
        <v>857</v>
      </c>
      <c r="X290" s="446" t="s">
        <v>857</v>
      </c>
      <c r="Y290" s="446" t="s">
        <v>857</v>
      </c>
      <c r="Z290" s="446" t="s">
        <v>857</v>
      </c>
      <c r="AA290" s="447" t="s">
        <v>857</v>
      </c>
      <c r="AB290" s="445" t="s">
        <v>857</v>
      </c>
      <c r="AC290" s="823" t="s">
        <v>857</v>
      </c>
      <c r="AD290" s="446" t="s">
        <v>857</v>
      </c>
      <c r="AE290" s="446" t="s">
        <v>857</v>
      </c>
      <c r="AF290" s="446" t="s">
        <v>857</v>
      </c>
      <c r="AG290" s="447" t="s">
        <v>857</v>
      </c>
      <c r="AH290" s="739"/>
      <c r="AI290" s="739"/>
      <c r="AJ290" s="739"/>
      <c r="AK290" s="739"/>
      <c r="AL290" s="739"/>
      <c r="AM290" s="835"/>
      <c r="AN290" s="739"/>
      <c r="AO290" s="835"/>
      <c r="AP290" s="739"/>
      <c r="AQ290" s="835"/>
      <c r="AR290" s="739"/>
      <c r="AS290" s="835"/>
      <c r="AT290" s="818"/>
    </row>
    <row r="291" spans="2:46" ht="18" customHeight="1">
      <c r="B291" s="1941" t="s">
        <v>311</v>
      </c>
      <c r="C291" s="1916" t="s">
        <v>167</v>
      </c>
      <c r="D291" s="1888" t="s">
        <v>840</v>
      </c>
      <c r="E291" s="1889"/>
      <c r="F291" s="1889"/>
      <c r="G291" s="1889"/>
      <c r="H291" s="1889"/>
      <c r="I291" s="1890"/>
      <c r="J291" s="1887" t="s">
        <v>430</v>
      </c>
      <c r="K291" s="1888"/>
      <c r="L291" s="1889"/>
      <c r="M291" s="1889"/>
      <c r="N291" s="1889"/>
      <c r="O291" s="1889"/>
      <c r="P291" s="1889"/>
      <c r="Q291" s="1890"/>
      <c r="R291" s="1891"/>
      <c r="S291" s="1888" t="s">
        <v>431</v>
      </c>
      <c r="T291" s="1888"/>
      <c r="U291" s="1889"/>
      <c r="V291" s="1889"/>
      <c r="W291" s="1889"/>
      <c r="X291" s="1889"/>
      <c r="Y291" s="1887" t="s">
        <v>432</v>
      </c>
      <c r="Z291" s="1889"/>
      <c r="AA291" s="1889"/>
      <c r="AB291" s="1889"/>
      <c r="AC291" s="1889"/>
      <c r="AD291" s="1891"/>
      <c r="AE291" s="1887" t="s">
        <v>433</v>
      </c>
      <c r="AF291" s="1889"/>
      <c r="AG291" s="1889"/>
      <c r="AH291" s="1891"/>
      <c r="AI291" s="1887" t="s">
        <v>434</v>
      </c>
      <c r="AJ291" s="1889"/>
      <c r="AK291" s="1889"/>
      <c r="AL291" s="1891"/>
      <c r="AM291" s="1934" t="s">
        <v>435</v>
      </c>
      <c r="AN291" s="1934"/>
      <c r="AO291" s="1934"/>
      <c r="AP291" s="1935"/>
      <c r="AQ291" s="1935"/>
      <c r="AR291" s="1935"/>
      <c r="AS291" s="1935"/>
      <c r="AT291" s="1935"/>
    </row>
    <row r="292" spans="2:46" ht="18" customHeight="1">
      <c r="B292" s="1942"/>
      <c r="C292" s="1907" t="s">
        <v>436</v>
      </c>
      <c r="D292" s="1899" t="s">
        <v>318</v>
      </c>
      <c r="E292" s="1900"/>
      <c r="F292" s="1900" t="s">
        <v>319</v>
      </c>
      <c r="G292" s="1900"/>
      <c r="H292" s="1900" t="s">
        <v>320</v>
      </c>
      <c r="I292" s="1901"/>
      <c r="J292" s="1898" t="s">
        <v>318</v>
      </c>
      <c r="K292" s="1899"/>
      <c r="L292" s="1900"/>
      <c r="M292" s="1900" t="s">
        <v>319</v>
      </c>
      <c r="N292" s="1900"/>
      <c r="O292" s="1900"/>
      <c r="P292" s="1900" t="s">
        <v>320</v>
      </c>
      <c r="Q292" s="1901"/>
      <c r="R292" s="1902"/>
      <c r="S292" s="1899" t="s">
        <v>318</v>
      </c>
      <c r="T292" s="1899"/>
      <c r="U292" s="1900"/>
      <c r="V292" s="1900" t="s">
        <v>319</v>
      </c>
      <c r="W292" s="1900"/>
      <c r="X292" s="1900"/>
      <c r="Y292" s="1898" t="s">
        <v>318</v>
      </c>
      <c r="Z292" s="1900"/>
      <c r="AA292" s="1900" t="s">
        <v>319</v>
      </c>
      <c r="AB292" s="1900"/>
      <c r="AC292" s="1900" t="s">
        <v>320</v>
      </c>
      <c r="AD292" s="1902"/>
      <c r="AE292" s="1898" t="s">
        <v>318</v>
      </c>
      <c r="AF292" s="1900"/>
      <c r="AG292" s="1900" t="s">
        <v>319</v>
      </c>
      <c r="AH292" s="1902"/>
      <c r="AI292" s="1898" t="s">
        <v>318</v>
      </c>
      <c r="AJ292" s="1900"/>
      <c r="AK292" s="1900" t="s">
        <v>319</v>
      </c>
      <c r="AL292" s="1902"/>
      <c r="AM292" s="1936" t="s">
        <v>318</v>
      </c>
      <c r="AN292" s="1924"/>
      <c r="AO292" s="1902" t="s">
        <v>319</v>
      </c>
      <c r="AP292" s="1898"/>
      <c r="AQ292" s="1921" t="s">
        <v>320</v>
      </c>
      <c r="AR292" s="1898"/>
      <c r="AS292" s="1937" t="s">
        <v>19</v>
      </c>
      <c r="AT292" s="1938"/>
    </row>
    <row r="293" spans="2:46" ht="18" customHeight="1">
      <c r="B293" s="1945" t="str">
        <f>+$B$6</f>
        <v>戸建形式住宅</v>
      </c>
      <c r="C293" s="588" t="s">
        <v>23</v>
      </c>
      <c r="D293" s="431" t="s">
        <v>857</v>
      </c>
      <c r="E293" s="432" t="s">
        <v>857</v>
      </c>
      <c r="F293" s="432" t="s">
        <v>857</v>
      </c>
      <c r="G293" s="432" t="s">
        <v>857</v>
      </c>
      <c r="H293" s="432" t="s">
        <v>857</v>
      </c>
      <c r="I293" s="436" t="s">
        <v>857</v>
      </c>
      <c r="J293" s="437" t="s">
        <v>857</v>
      </c>
      <c r="K293" s="432" t="s">
        <v>857</v>
      </c>
      <c r="L293" s="432" t="s">
        <v>857</v>
      </c>
      <c r="M293" s="432" t="s">
        <v>857</v>
      </c>
      <c r="N293" s="432" t="s">
        <v>857</v>
      </c>
      <c r="O293" s="436" t="s">
        <v>857</v>
      </c>
      <c r="P293" s="436" t="s">
        <v>857</v>
      </c>
      <c r="Q293" s="436" t="s">
        <v>857</v>
      </c>
      <c r="R293" s="433" t="s">
        <v>857</v>
      </c>
      <c r="S293" s="437" t="s">
        <v>857</v>
      </c>
      <c r="T293" s="432" t="s">
        <v>857</v>
      </c>
      <c r="U293" s="432" t="s">
        <v>857</v>
      </c>
      <c r="V293" s="432" t="s">
        <v>857</v>
      </c>
      <c r="W293" s="432" t="s">
        <v>857</v>
      </c>
      <c r="X293" s="436" t="s">
        <v>857</v>
      </c>
      <c r="Y293" s="437" t="s">
        <v>857</v>
      </c>
      <c r="Z293" s="432" t="s">
        <v>857</v>
      </c>
      <c r="AA293" s="432" t="s">
        <v>857</v>
      </c>
      <c r="AB293" s="432" t="s">
        <v>857</v>
      </c>
      <c r="AC293" s="432" t="s">
        <v>857</v>
      </c>
      <c r="AD293" s="433" t="s">
        <v>857</v>
      </c>
      <c r="AE293" s="1066" t="s">
        <v>857</v>
      </c>
      <c r="AF293" s="1067" t="s">
        <v>857</v>
      </c>
      <c r="AG293" s="1067" t="s">
        <v>857</v>
      </c>
      <c r="AH293" s="1068" t="s">
        <v>857</v>
      </c>
      <c r="AI293" s="1066" t="s">
        <v>857</v>
      </c>
      <c r="AJ293" s="1067" t="s">
        <v>857</v>
      </c>
      <c r="AK293" s="1067" t="s">
        <v>857</v>
      </c>
      <c r="AL293" s="1068" t="s">
        <v>857</v>
      </c>
      <c r="AM293" s="1066" t="s">
        <v>857</v>
      </c>
      <c r="AN293" s="1067" t="s">
        <v>857</v>
      </c>
      <c r="AO293" s="1067" t="s">
        <v>857</v>
      </c>
      <c r="AP293" s="1067" t="s">
        <v>857</v>
      </c>
      <c r="AQ293" s="1067" t="s">
        <v>857</v>
      </c>
      <c r="AR293" s="1067" t="s">
        <v>857</v>
      </c>
      <c r="AS293" s="1067" t="s">
        <v>857</v>
      </c>
      <c r="AT293" s="1068" t="s">
        <v>857</v>
      </c>
    </row>
    <row r="294" spans="2:46" ht="18" customHeight="1">
      <c r="B294" s="1946" t="str">
        <f>+$B$7</f>
        <v>集合形式住宅</v>
      </c>
      <c r="C294" s="430">
        <v>20640</v>
      </c>
      <c r="D294" s="431" t="s">
        <v>437</v>
      </c>
      <c r="E294" s="432">
        <v>1.1499999999999999</v>
      </c>
      <c r="F294" s="432" t="s">
        <v>636</v>
      </c>
      <c r="G294" s="432">
        <v>1</v>
      </c>
      <c r="H294" s="432" t="s">
        <v>1051</v>
      </c>
      <c r="I294" s="436" t="s">
        <v>1051</v>
      </c>
      <c r="J294" s="437" t="s">
        <v>438</v>
      </c>
      <c r="K294" s="432">
        <v>0.17</v>
      </c>
      <c r="L294" s="432">
        <v>1.1000000000000001</v>
      </c>
      <c r="M294" s="432" t="s">
        <v>439</v>
      </c>
      <c r="N294" s="432">
        <v>0.14000000000000001</v>
      </c>
      <c r="O294" s="432">
        <v>1</v>
      </c>
      <c r="P294" s="432" t="s">
        <v>440</v>
      </c>
      <c r="Q294" s="432">
        <v>0.08</v>
      </c>
      <c r="R294" s="433">
        <v>0.8</v>
      </c>
      <c r="S294" s="1062" t="s">
        <v>441</v>
      </c>
      <c r="T294" s="1062">
        <v>200</v>
      </c>
      <c r="U294" s="432">
        <v>1.05</v>
      </c>
      <c r="V294" s="435" t="s">
        <v>442</v>
      </c>
      <c r="W294" s="435">
        <v>500</v>
      </c>
      <c r="X294" s="432">
        <v>1</v>
      </c>
      <c r="Y294" s="437" t="s">
        <v>443</v>
      </c>
      <c r="Z294" s="432">
        <v>1.1499999999999999</v>
      </c>
      <c r="AA294" s="432" t="s">
        <v>444</v>
      </c>
      <c r="AB294" s="432">
        <v>1</v>
      </c>
      <c r="AC294" s="432" t="s">
        <v>1051</v>
      </c>
      <c r="AD294" s="433" t="s">
        <v>1051</v>
      </c>
      <c r="AE294" s="437" t="s">
        <v>445</v>
      </c>
      <c r="AF294" s="432">
        <v>1.05</v>
      </c>
      <c r="AG294" s="432" t="s">
        <v>446</v>
      </c>
      <c r="AH294" s="433">
        <v>1</v>
      </c>
      <c r="AI294" s="437" t="s">
        <v>447</v>
      </c>
      <c r="AJ294" s="432">
        <v>1.1000000000000001</v>
      </c>
      <c r="AK294" s="432" t="s">
        <v>448</v>
      </c>
      <c r="AL294" s="433">
        <v>1</v>
      </c>
      <c r="AM294" s="1262">
        <v>360</v>
      </c>
      <c r="AN294" s="1334">
        <v>1.05</v>
      </c>
      <c r="AO294" s="1335">
        <v>1800</v>
      </c>
      <c r="AP294" s="1334">
        <v>1</v>
      </c>
      <c r="AQ294" s="1335">
        <v>3600</v>
      </c>
      <c r="AR294" s="1334">
        <v>0.93</v>
      </c>
      <c r="AS294" s="1253">
        <v>4500</v>
      </c>
      <c r="AT294" s="1254">
        <v>0.9</v>
      </c>
    </row>
    <row r="295" spans="2:46" ht="18" customHeight="1">
      <c r="B295" s="1946" t="str">
        <f>+$B$8</f>
        <v>事務所・店舗</v>
      </c>
      <c r="C295" s="430">
        <v>20640</v>
      </c>
      <c r="D295" s="431" t="s">
        <v>437</v>
      </c>
      <c r="E295" s="432">
        <v>1.1499999999999999</v>
      </c>
      <c r="F295" s="432" t="s">
        <v>636</v>
      </c>
      <c r="G295" s="432">
        <v>1</v>
      </c>
      <c r="H295" s="432" t="s">
        <v>1051</v>
      </c>
      <c r="I295" s="436" t="s">
        <v>1051</v>
      </c>
      <c r="J295" s="1050" t="s">
        <v>438</v>
      </c>
      <c r="K295" s="432">
        <v>0.17</v>
      </c>
      <c r="L295" s="432">
        <v>1.1000000000000001</v>
      </c>
      <c r="M295" s="432" t="s">
        <v>439</v>
      </c>
      <c r="N295" s="432">
        <v>0.14000000000000001</v>
      </c>
      <c r="O295" s="432">
        <v>1</v>
      </c>
      <c r="P295" s="432" t="s">
        <v>440</v>
      </c>
      <c r="Q295" s="432">
        <v>0.08</v>
      </c>
      <c r="R295" s="433">
        <v>0.8</v>
      </c>
      <c r="S295" s="1062" t="s">
        <v>441</v>
      </c>
      <c r="T295" s="1062">
        <v>200</v>
      </c>
      <c r="U295" s="432">
        <v>1.05</v>
      </c>
      <c r="V295" s="435" t="s">
        <v>442</v>
      </c>
      <c r="W295" s="435">
        <v>500</v>
      </c>
      <c r="X295" s="432">
        <v>1</v>
      </c>
      <c r="Y295" s="437" t="s">
        <v>443</v>
      </c>
      <c r="Z295" s="432">
        <v>1.1499999999999999</v>
      </c>
      <c r="AA295" s="432" t="s">
        <v>444</v>
      </c>
      <c r="AB295" s="432">
        <v>1</v>
      </c>
      <c r="AC295" s="432" t="s">
        <v>1051</v>
      </c>
      <c r="AD295" s="433" t="s">
        <v>1051</v>
      </c>
      <c r="AE295" s="437" t="s">
        <v>445</v>
      </c>
      <c r="AF295" s="432">
        <v>1.05</v>
      </c>
      <c r="AG295" s="432" t="s">
        <v>446</v>
      </c>
      <c r="AH295" s="433">
        <v>1</v>
      </c>
      <c r="AI295" s="437" t="s">
        <v>447</v>
      </c>
      <c r="AJ295" s="432">
        <v>1.1000000000000001</v>
      </c>
      <c r="AK295" s="432" t="s">
        <v>448</v>
      </c>
      <c r="AL295" s="433">
        <v>1</v>
      </c>
      <c r="AM295" s="1262">
        <v>1000</v>
      </c>
      <c r="AN295" s="431">
        <v>1.05</v>
      </c>
      <c r="AO295" s="1201">
        <v>3000</v>
      </c>
      <c r="AP295" s="431">
        <v>1</v>
      </c>
      <c r="AQ295" s="1201">
        <v>10000</v>
      </c>
      <c r="AR295" s="431">
        <v>0.93</v>
      </c>
      <c r="AS295" s="1202">
        <v>20000</v>
      </c>
      <c r="AT295" s="1255">
        <v>0.9</v>
      </c>
    </row>
    <row r="296" spans="2:46" ht="18" customHeight="1">
      <c r="B296" s="1946" t="str">
        <f>+$B$9</f>
        <v>病院・ホテル</v>
      </c>
      <c r="C296" s="430">
        <v>20640</v>
      </c>
      <c r="D296" s="431" t="s">
        <v>437</v>
      </c>
      <c r="E296" s="432">
        <v>1.1499999999999999</v>
      </c>
      <c r="F296" s="432" t="s">
        <v>636</v>
      </c>
      <c r="G296" s="432">
        <v>1</v>
      </c>
      <c r="H296" s="432" t="s">
        <v>1051</v>
      </c>
      <c r="I296" s="436" t="s">
        <v>1051</v>
      </c>
      <c r="J296" s="1050" t="s">
        <v>438</v>
      </c>
      <c r="K296" s="432">
        <v>0.17</v>
      </c>
      <c r="L296" s="432">
        <v>1.1000000000000001</v>
      </c>
      <c r="M296" s="432" t="s">
        <v>439</v>
      </c>
      <c r="N296" s="432">
        <v>0.14000000000000001</v>
      </c>
      <c r="O296" s="432">
        <v>1</v>
      </c>
      <c r="P296" s="432" t="s">
        <v>440</v>
      </c>
      <c r="Q296" s="432">
        <v>0.08</v>
      </c>
      <c r="R296" s="433">
        <v>0.8</v>
      </c>
      <c r="S296" s="1062" t="s">
        <v>441</v>
      </c>
      <c r="T296" s="1062">
        <v>200</v>
      </c>
      <c r="U296" s="432">
        <v>1.05</v>
      </c>
      <c r="V296" s="435" t="s">
        <v>442</v>
      </c>
      <c r="W296" s="435">
        <v>500</v>
      </c>
      <c r="X296" s="432">
        <v>1</v>
      </c>
      <c r="Y296" s="437" t="s">
        <v>443</v>
      </c>
      <c r="Z296" s="432">
        <v>1.1499999999999999</v>
      </c>
      <c r="AA296" s="432" t="s">
        <v>444</v>
      </c>
      <c r="AB296" s="432">
        <v>1</v>
      </c>
      <c r="AC296" s="432" t="s">
        <v>1051</v>
      </c>
      <c r="AD296" s="433" t="s">
        <v>1051</v>
      </c>
      <c r="AE296" s="437" t="s">
        <v>445</v>
      </c>
      <c r="AF296" s="432">
        <v>1.05</v>
      </c>
      <c r="AG296" s="432" t="s">
        <v>446</v>
      </c>
      <c r="AH296" s="433">
        <v>1</v>
      </c>
      <c r="AI296" s="437" t="s">
        <v>447</v>
      </c>
      <c r="AJ296" s="432">
        <v>1.1000000000000001</v>
      </c>
      <c r="AK296" s="432" t="s">
        <v>448</v>
      </c>
      <c r="AL296" s="433">
        <v>1</v>
      </c>
      <c r="AM296" s="1262">
        <v>1000</v>
      </c>
      <c r="AN296" s="431">
        <v>1.05</v>
      </c>
      <c r="AO296" s="1201">
        <v>3000</v>
      </c>
      <c r="AP296" s="431">
        <v>1</v>
      </c>
      <c r="AQ296" s="1201">
        <v>10000</v>
      </c>
      <c r="AR296" s="431">
        <v>0.93</v>
      </c>
      <c r="AS296" s="1202">
        <v>20000</v>
      </c>
      <c r="AT296" s="1255">
        <v>0.9</v>
      </c>
    </row>
    <row r="297" spans="2:46" ht="18" customHeight="1">
      <c r="B297" s="1947" t="str">
        <f>+$B$10</f>
        <v>工場・倉庫</v>
      </c>
      <c r="C297" s="1060">
        <v>20640</v>
      </c>
      <c r="D297" s="441" t="s">
        <v>437</v>
      </c>
      <c r="E297" s="442">
        <v>1.1499999999999999</v>
      </c>
      <c r="F297" s="442" t="s">
        <v>636</v>
      </c>
      <c r="G297" s="442">
        <v>1</v>
      </c>
      <c r="H297" s="442" t="s">
        <v>1051</v>
      </c>
      <c r="I297" s="444" t="s">
        <v>1051</v>
      </c>
      <c r="J297" s="1051" t="s">
        <v>438</v>
      </c>
      <c r="K297" s="446">
        <v>0.17</v>
      </c>
      <c r="L297" s="446">
        <v>1.1000000000000001</v>
      </c>
      <c r="M297" s="446" t="s">
        <v>439</v>
      </c>
      <c r="N297" s="446">
        <v>0.14000000000000001</v>
      </c>
      <c r="O297" s="446">
        <v>1</v>
      </c>
      <c r="P297" s="446" t="s">
        <v>440</v>
      </c>
      <c r="Q297" s="446">
        <v>0.08</v>
      </c>
      <c r="R297" s="447">
        <v>0.8</v>
      </c>
      <c r="S297" s="1256" t="s">
        <v>441</v>
      </c>
      <c r="T297" s="1256">
        <v>200</v>
      </c>
      <c r="U297" s="442">
        <v>1.05</v>
      </c>
      <c r="V297" s="1257" t="s">
        <v>442</v>
      </c>
      <c r="W297" s="1257">
        <v>500</v>
      </c>
      <c r="X297" s="442">
        <v>1</v>
      </c>
      <c r="Y297" s="445" t="s">
        <v>443</v>
      </c>
      <c r="Z297" s="446">
        <v>1.1499999999999999</v>
      </c>
      <c r="AA297" s="446" t="s">
        <v>444</v>
      </c>
      <c r="AB297" s="446">
        <v>1</v>
      </c>
      <c r="AC297" s="446" t="s">
        <v>1051</v>
      </c>
      <c r="AD297" s="447" t="s">
        <v>1051</v>
      </c>
      <c r="AE297" s="445" t="s">
        <v>445</v>
      </c>
      <c r="AF297" s="446">
        <v>1.05</v>
      </c>
      <c r="AG297" s="446" t="s">
        <v>446</v>
      </c>
      <c r="AH297" s="447">
        <v>1</v>
      </c>
      <c r="AI297" s="445" t="s">
        <v>447</v>
      </c>
      <c r="AJ297" s="446">
        <v>1.1000000000000001</v>
      </c>
      <c r="AK297" s="446" t="s">
        <v>448</v>
      </c>
      <c r="AL297" s="447">
        <v>1</v>
      </c>
      <c r="AM297" s="859">
        <v>1000</v>
      </c>
      <c r="AN297" s="446">
        <v>1.05</v>
      </c>
      <c r="AO297" s="1336">
        <v>3000</v>
      </c>
      <c r="AP297" s="1337">
        <v>1</v>
      </c>
      <c r="AQ297" s="1336">
        <v>10000</v>
      </c>
      <c r="AR297" s="1337">
        <v>0.93</v>
      </c>
      <c r="AS297" s="1260">
        <v>20000</v>
      </c>
      <c r="AT297" s="818">
        <v>0.9</v>
      </c>
    </row>
    <row r="298" spans="2:46" ht="18" customHeight="1">
      <c r="B298" s="1941" t="s">
        <v>311</v>
      </c>
      <c r="C298" s="1916" t="s">
        <v>183</v>
      </c>
      <c r="D298" s="1888" t="s">
        <v>449</v>
      </c>
      <c r="E298" s="1888"/>
      <c r="F298" s="1889"/>
      <c r="G298" s="1889"/>
      <c r="H298" s="1889"/>
      <c r="I298" s="1889"/>
      <c r="J298" s="1889"/>
      <c r="K298" s="1890"/>
      <c r="L298" s="1891"/>
      <c r="M298" s="1888" t="s">
        <v>450</v>
      </c>
      <c r="N298" s="1889"/>
      <c r="O298" s="1889"/>
      <c r="P298" s="1889"/>
      <c r="Q298" s="1889"/>
      <c r="R298" s="1891"/>
      <c r="S298" s="1887" t="s">
        <v>451</v>
      </c>
      <c r="T298" s="1889"/>
      <c r="U298" s="1889"/>
      <c r="V298" s="1889"/>
      <c r="W298" s="1889"/>
      <c r="X298" s="1891"/>
      <c r="Y298" s="1887" t="s">
        <v>5491</v>
      </c>
      <c r="Z298" s="1889"/>
      <c r="AA298" s="1889"/>
      <c r="AB298" s="1891"/>
      <c r="AC298" s="1889"/>
      <c r="AD298" s="1891"/>
      <c r="AE298" s="423"/>
      <c r="AF298" s="423"/>
      <c r="AG298" s="423"/>
      <c r="AH298" s="423"/>
      <c r="AI298" s="423"/>
      <c r="AJ298" s="423"/>
      <c r="AS298" s="423"/>
    </row>
    <row r="299" spans="2:46" ht="18" customHeight="1">
      <c r="B299" s="1942"/>
      <c r="C299" s="1907" t="s">
        <v>452</v>
      </c>
      <c r="D299" s="1899" t="s">
        <v>318</v>
      </c>
      <c r="E299" s="1899"/>
      <c r="F299" s="1900"/>
      <c r="G299" s="1900" t="s">
        <v>319</v>
      </c>
      <c r="H299" s="1900"/>
      <c r="I299" s="1900"/>
      <c r="J299" s="1900" t="s">
        <v>320</v>
      </c>
      <c r="K299" s="1901"/>
      <c r="L299" s="1902"/>
      <c r="M299" s="1899" t="s">
        <v>318</v>
      </c>
      <c r="N299" s="1900"/>
      <c r="O299" s="1900" t="s">
        <v>319</v>
      </c>
      <c r="P299" s="1900"/>
      <c r="Q299" s="1900" t="s">
        <v>320</v>
      </c>
      <c r="R299" s="1902"/>
      <c r="S299" s="1898" t="s">
        <v>318</v>
      </c>
      <c r="T299" s="1900"/>
      <c r="U299" s="1900" t="s">
        <v>319</v>
      </c>
      <c r="V299" s="1900"/>
      <c r="W299" s="1900" t="s">
        <v>320</v>
      </c>
      <c r="X299" s="1902"/>
      <c r="Y299" s="1898" t="s">
        <v>122</v>
      </c>
      <c r="Z299" s="1900"/>
      <c r="AA299" s="1900" t="s">
        <v>5494</v>
      </c>
      <c r="AB299" s="1900"/>
      <c r="AC299" s="1900" t="s">
        <v>5496</v>
      </c>
      <c r="AD299" s="1902"/>
      <c r="AE299" s="425"/>
      <c r="AF299" s="425"/>
      <c r="AG299" s="425"/>
      <c r="AH299" s="425"/>
      <c r="AI299" s="425"/>
      <c r="AJ299" s="425"/>
      <c r="AS299" s="425"/>
    </row>
    <row r="300" spans="2:46" ht="18" customHeight="1">
      <c r="B300" s="1945" t="str">
        <f>+$B$6</f>
        <v>戸建形式住宅</v>
      </c>
      <c r="C300" s="588" t="s">
        <v>23</v>
      </c>
      <c r="D300" s="437" t="s">
        <v>857</v>
      </c>
      <c r="E300" s="432" t="s">
        <v>857</v>
      </c>
      <c r="F300" s="432" t="s">
        <v>857</v>
      </c>
      <c r="G300" s="432" t="s">
        <v>857</v>
      </c>
      <c r="H300" s="432" t="s">
        <v>857</v>
      </c>
      <c r="I300" s="436" t="s">
        <v>857</v>
      </c>
      <c r="J300" s="436" t="s">
        <v>857</v>
      </c>
      <c r="K300" s="436" t="s">
        <v>857</v>
      </c>
      <c r="L300" s="433" t="s">
        <v>857</v>
      </c>
      <c r="M300" s="437" t="s">
        <v>857</v>
      </c>
      <c r="N300" s="432" t="s">
        <v>857</v>
      </c>
      <c r="O300" s="432" t="s">
        <v>857</v>
      </c>
      <c r="P300" s="432" t="s">
        <v>857</v>
      </c>
      <c r="Q300" s="432" t="s">
        <v>857</v>
      </c>
      <c r="R300" s="436" t="s">
        <v>857</v>
      </c>
      <c r="S300" s="437" t="s">
        <v>857</v>
      </c>
      <c r="T300" s="432" t="s">
        <v>857</v>
      </c>
      <c r="U300" s="432" t="s">
        <v>857</v>
      </c>
      <c r="V300" s="432" t="s">
        <v>857</v>
      </c>
      <c r="W300" s="432" t="s">
        <v>857</v>
      </c>
      <c r="X300" s="436" t="s">
        <v>857</v>
      </c>
      <c r="Y300" s="437" t="s">
        <v>857</v>
      </c>
      <c r="Z300" s="432" t="s">
        <v>857</v>
      </c>
      <c r="AA300" s="432" t="s">
        <v>857</v>
      </c>
      <c r="AB300" s="432" t="s">
        <v>857</v>
      </c>
      <c r="AC300" s="432" t="s">
        <v>857</v>
      </c>
      <c r="AD300" s="433" t="s">
        <v>857</v>
      </c>
      <c r="AE300" s="425"/>
      <c r="AF300" s="425"/>
      <c r="AG300" s="425"/>
      <c r="AH300" s="425"/>
      <c r="AI300" s="425"/>
      <c r="AJ300" s="425"/>
      <c r="AS300" s="425"/>
    </row>
    <row r="301" spans="2:46" ht="18" customHeight="1">
      <c r="B301" s="1946" t="str">
        <f>+$B$7</f>
        <v>集合形式住宅</v>
      </c>
      <c r="C301" s="1203">
        <v>14660</v>
      </c>
      <c r="D301" s="431" t="s">
        <v>438</v>
      </c>
      <c r="E301" s="431">
        <v>0.17</v>
      </c>
      <c r="F301" s="432">
        <v>1.1000000000000001</v>
      </c>
      <c r="G301" s="432" t="s">
        <v>439</v>
      </c>
      <c r="H301" s="432">
        <v>0.14000000000000001</v>
      </c>
      <c r="I301" s="432">
        <v>1</v>
      </c>
      <c r="J301" s="432" t="s">
        <v>440</v>
      </c>
      <c r="K301" s="436">
        <v>0.08</v>
      </c>
      <c r="L301" s="433">
        <v>0.8</v>
      </c>
      <c r="M301" s="431" t="s">
        <v>437</v>
      </c>
      <c r="N301" s="432">
        <v>1.1000000000000001</v>
      </c>
      <c r="O301" s="432" t="s">
        <v>636</v>
      </c>
      <c r="P301" s="432">
        <v>1</v>
      </c>
      <c r="Q301" s="432" t="s">
        <v>1051</v>
      </c>
      <c r="R301" s="436" t="s">
        <v>1051</v>
      </c>
      <c r="S301" s="437" t="s">
        <v>453</v>
      </c>
      <c r="T301" s="432">
        <v>1.1000000000000001</v>
      </c>
      <c r="U301" s="432" t="s">
        <v>324</v>
      </c>
      <c r="V301" s="432">
        <v>1</v>
      </c>
      <c r="W301" s="432" t="s">
        <v>935</v>
      </c>
      <c r="X301" s="433">
        <v>0.8</v>
      </c>
      <c r="Y301" s="437" t="s">
        <v>324</v>
      </c>
      <c r="Z301" s="432">
        <v>1</v>
      </c>
      <c r="AA301" s="432" t="s">
        <v>5493</v>
      </c>
      <c r="AB301" s="432">
        <v>0.7</v>
      </c>
      <c r="AC301" s="432" t="s">
        <v>5497</v>
      </c>
      <c r="AD301" s="433" t="s">
        <v>5492</v>
      </c>
      <c r="AE301" s="425"/>
      <c r="AF301" s="425"/>
      <c r="AG301" s="425"/>
      <c r="AH301" s="425"/>
      <c r="AI301" s="425"/>
      <c r="AJ301" s="425"/>
      <c r="AS301" s="425"/>
    </row>
    <row r="302" spans="2:46" ht="18" customHeight="1">
      <c r="B302" s="1946" t="str">
        <f>+$B$8</f>
        <v>事務所・店舗</v>
      </c>
      <c r="C302" s="1203">
        <v>14660</v>
      </c>
      <c r="D302" s="431" t="s">
        <v>438</v>
      </c>
      <c r="E302" s="431">
        <v>0.17</v>
      </c>
      <c r="F302" s="432">
        <v>1.1000000000000001</v>
      </c>
      <c r="G302" s="432" t="s">
        <v>439</v>
      </c>
      <c r="H302" s="432">
        <v>0.14000000000000001</v>
      </c>
      <c r="I302" s="432">
        <v>1</v>
      </c>
      <c r="J302" s="432" t="s">
        <v>440</v>
      </c>
      <c r="K302" s="436">
        <v>0.08</v>
      </c>
      <c r="L302" s="433">
        <v>0.8</v>
      </c>
      <c r="M302" s="431" t="s">
        <v>437</v>
      </c>
      <c r="N302" s="432">
        <v>1.1000000000000001</v>
      </c>
      <c r="O302" s="432" t="s">
        <v>636</v>
      </c>
      <c r="P302" s="432">
        <v>1</v>
      </c>
      <c r="Q302" s="432" t="s">
        <v>1051</v>
      </c>
      <c r="R302" s="436" t="s">
        <v>1051</v>
      </c>
      <c r="S302" s="437" t="s">
        <v>453</v>
      </c>
      <c r="T302" s="432">
        <v>1.1000000000000001</v>
      </c>
      <c r="U302" s="432" t="s">
        <v>324</v>
      </c>
      <c r="V302" s="432">
        <v>1</v>
      </c>
      <c r="W302" s="432" t="s">
        <v>935</v>
      </c>
      <c r="X302" s="433">
        <v>0.8</v>
      </c>
      <c r="Y302" s="437" t="s">
        <v>324</v>
      </c>
      <c r="Z302" s="432">
        <v>1</v>
      </c>
      <c r="AA302" s="432" t="s">
        <v>5493</v>
      </c>
      <c r="AB302" s="432">
        <v>0.7</v>
      </c>
      <c r="AC302" s="432" t="s">
        <v>5495</v>
      </c>
      <c r="AD302" s="433" t="s">
        <v>5492</v>
      </c>
      <c r="AE302" s="425"/>
      <c r="AF302" s="425"/>
      <c r="AG302" s="425"/>
      <c r="AH302" s="425"/>
      <c r="AI302" s="425"/>
      <c r="AJ302" s="425"/>
      <c r="AS302" s="425"/>
    </row>
    <row r="303" spans="2:46" ht="18" customHeight="1">
      <c r="B303" s="1946" t="str">
        <f>+$B$9</f>
        <v>病院・ホテル</v>
      </c>
      <c r="C303" s="1203">
        <v>14660</v>
      </c>
      <c r="D303" s="431" t="s">
        <v>438</v>
      </c>
      <c r="E303" s="431">
        <v>0.17</v>
      </c>
      <c r="F303" s="432">
        <v>1.1000000000000001</v>
      </c>
      <c r="G303" s="432" t="s">
        <v>439</v>
      </c>
      <c r="H303" s="432">
        <v>0.14000000000000001</v>
      </c>
      <c r="I303" s="432">
        <v>1</v>
      </c>
      <c r="J303" s="432" t="s">
        <v>440</v>
      </c>
      <c r="K303" s="436">
        <v>0.08</v>
      </c>
      <c r="L303" s="433">
        <v>0.8</v>
      </c>
      <c r="M303" s="431" t="s">
        <v>437</v>
      </c>
      <c r="N303" s="432">
        <v>1.1000000000000001</v>
      </c>
      <c r="O303" s="432" t="s">
        <v>636</v>
      </c>
      <c r="P303" s="432">
        <v>1</v>
      </c>
      <c r="Q303" s="432" t="s">
        <v>1051</v>
      </c>
      <c r="R303" s="436" t="s">
        <v>1051</v>
      </c>
      <c r="S303" s="437" t="s">
        <v>453</v>
      </c>
      <c r="T303" s="432">
        <v>1.1000000000000001</v>
      </c>
      <c r="U303" s="432" t="s">
        <v>324</v>
      </c>
      <c r="V303" s="432">
        <v>1</v>
      </c>
      <c r="W303" s="432" t="s">
        <v>935</v>
      </c>
      <c r="X303" s="433">
        <v>0.8</v>
      </c>
      <c r="Y303" s="437" t="s">
        <v>324</v>
      </c>
      <c r="Z303" s="432">
        <v>1</v>
      </c>
      <c r="AA303" s="432" t="s">
        <v>5493</v>
      </c>
      <c r="AB303" s="432">
        <v>0.7</v>
      </c>
      <c r="AC303" s="432" t="s">
        <v>5495</v>
      </c>
      <c r="AD303" s="433" t="s">
        <v>5492</v>
      </c>
      <c r="AE303" s="425"/>
      <c r="AF303" s="425"/>
      <c r="AG303" s="425"/>
      <c r="AH303" s="425"/>
      <c r="AI303" s="425"/>
      <c r="AJ303" s="425"/>
      <c r="AS303" s="425"/>
    </row>
    <row r="304" spans="2:46" ht="18" customHeight="1">
      <c r="B304" s="1947" t="str">
        <f>+$B$10</f>
        <v>工場・倉庫</v>
      </c>
      <c r="C304" s="1203">
        <v>14660</v>
      </c>
      <c r="D304" s="441" t="s">
        <v>438</v>
      </c>
      <c r="E304" s="441">
        <v>0.17</v>
      </c>
      <c r="F304" s="442">
        <v>1.1000000000000001</v>
      </c>
      <c r="G304" s="442" t="s">
        <v>439</v>
      </c>
      <c r="H304" s="442">
        <v>0.14000000000000001</v>
      </c>
      <c r="I304" s="442">
        <v>1</v>
      </c>
      <c r="J304" s="442" t="s">
        <v>440</v>
      </c>
      <c r="K304" s="444">
        <v>0.08</v>
      </c>
      <c r="L304" s="443">
        <v>0.8</v>
      </c>
      <c r="M304" s="441" t="s">
        <v>437</v>
      </c>
      <c r="N304" s="442">
        <v>1.1000000000000001</v>
      </c>
      <c r="O304" s="442" t="s">
        <v>636</v>
      </c>
      <c r="P304" s="442">
        <v>1</v>
      </c>
      <c r="Q304" s="442" t="s">
        <v>1051</v>
      </c>
      <c r="R304" s="444" t="s">
        <v>1051</v>
      </c>
      <c r="S304" s="445" t="s">
        <v>453</v>
      </c>
      <c r="T304" s="446">
        <v>1.1000000000000001</v>
      </c>
      <c r="U304" s="446" t="s">
        <v>324</v>
      </c>
      <c r="V304" s="446">
        <v>1</v>
      </c>
      <c r="W304" s="446" t="s">
        <v>935</v>
      </c>
      <c r="X304" s="447">
        <v>0.8</v>
      </c>
      <c r="Y304" s="445" t="s">
        <v>324</v>
      </c>
      <c r="Z304" s="446">
        <v>1</v>
      </c>
      <c r="AA304" s="446" t="s">
        <v>5493</v>
      </c>
      <c r="AB304" s="446">
        <v>0.7</v>
      </c>
      <c r="AC304" s="446" t="s">
        <v>5495</v>
      </c>
      <c r="AD304" s="447" t="s">
        <v>5492</v>
      </c>
      <c r="AE304" s="425"/>
      <c r="AF304" s="425"/>
      <c r="AG304" s="425"/>
      <c r="AH304" s="425"/>
      <c r="AI304" s="425"/>
      <c r="AJ304" s="425"/>
      <c r="AS304" s="425"/>
    </row>
    <row r="305" spans="2:45" ht="18" customHeight="1">
      <c r="B305" s="1941" t="s">
        <v>311</v>
      </c>
      <c r="C305" s="1916" t="s">
        <v>936</v>
      </c>
      <c r="D305" s="1887" t="s">
        <v>937</v>
      </c>
      <c r="E305" s="1889"/>
      <c r="F305" s="1889"/>
      <c r="G305" s="1889"/>
      <c r="H305" s="1889"/>
      <c r="I305" s="1891"/>
      <c r="J305" s="1887" t="s">
        <v>938</v>
      </c>
      <c r="K305" s="1888"/>
      <c r="L305" s="1889"/>
      <c r="M305" s="1889"/>
      <c r="N305" s="1889"/>
      <c r="O305" s="1889"/>
      <c r="P305" s="1889"/>
      <c r="Q305" s="1890"/>
      <c r="R305" s="1891"/>
      <c r="S305" s="1888" t="s">
        <v>939</v>
      </c>
      <c r="T305" s="1888"/>
      <c r="U305" s="1889"/>
      <c r="V305" s="1889"/>
      <c r="W305" s="1889"/>
      <c r="X305" s="1889"/>
      <c r="Y305" s="1887" t="s">
        <v>940</v>
      </c>
      <c r="Z305" s="1889"/>
      <c r="AA305" s="1889"/>
      <c r="AB305" s="1889"/>
      <c r="AC305" s="1889"/>
      <c r="AD305" s="1891"/>
      <c r="AE305" s="1888" t="s">
        <v>941</v>
      </c>
      <c r="AF305" s="1889"/>
      <c r="AG305" s="1889"/>
      <c r="AH305" s="1889"/>
      <c r="AI305" s="1889"/>
      <c r="AJ305" s="1891"/>
      <c r="AK305" s="1887" t="s">
        <v>942</v>
      </c>
      <c r="AL305" s="1889"/>
      <c r="AM305" s="1889"/>
      <c r="AN305" s="1889"/>
      <c r="AO305" s="1889"/>
      <c r="AP305" s="1891"/>
      <c r="AQ305" s="1939"/>
      <c r="AR305" s="1939"/>
      <c r="AS305" s="424"/>
    </row>
    <row r="306" spans="2:45" ht="18" customHeight="1">
      <c r="B306" s="1942"/>
      <c r="C306" s="1907" t="s">
        <v>943</v>
      </c>
      <c r="D306" s="1898" t="s">
        <v>318</v>
      </c>
      <c r="E306" s="1900"/>
      <c r="F306" s="1900" t="s">
        <v>319</v>
      </c>
      <c r="G306" s="1900"/>
      <c r="H306" s="1900" t="s">
        <v>320</v>
      </c>
      <c r="I306" s="1902"/>
      <c r="J306" s="1898" t="s">
        <v>318</v>
      </c>
      <c r="K306" s="1899"/>
      <c r="L306" s="1900"/>
      <c r="M306" s="1900" t="s">
        <v>319</v>
      </c>
      <c r="N306" s="1900"/>
      <c r="O306" s="1900"/>
      <c r="P306" s="1900" t="s">
        <v>320</v>
      </c>
      <c r="Q306" s="1901"/>
      <c r="R306" s="1902"/>
      <c r="S306" s="1899" t="s">
        <v>318</v>
      </c>
      <c r="T306" s="1899"/>
      <c r="U306" s="1900"/>
      <c r="V306" s="1900" t="s">
        <v>319</v>
      </c>
      <c r="W306" s="1900"/>
      <c r="X306" s="1900"/>
      <c r="Y306" s="1898" t="s">
        <v>318</v>
      </c>
      <c r="Z306" s="1900"/>
      <c r="AA306" s="1900" t="s">
        <v>319</v>
      </c>
      <c r="AB306" s="1900"/>
      <c r="AC306" s="1900" t="s">
        <v>320</v>
      </c>
      <c r="AD306" s="1902"/>
      <c r="AE306" s="1899" t="s">
        <v>318</v>
      </c>
      <c r="AF306" s="1900"/>
      <c r="AG306" s="1900" t="s">
        <v>319</v>
      </c>
      <c r="AH306" s="1900"/>
      <c r="AI306" s="1900" t="s">
        <v>320</v>
      </c>
      <c r="AJ306" s="1902"/>
      <c r="AK306" s="1898" t="s">
        <v>318</v>
      </c>
      <c r="AL306" s="1900"/>
      <c r="AM306" s="1900" t="s">
        <v>319</v>
      </c>
      <c r="AN306" s="1900"/>
      <c r="AO306" s="1900" t="s">
        <v>320</v>
      </c>
      <c r="AP306" s="1900"/>
      <c r="AQ306" s="1937" t="s">
        <v>19</v>
      </c>
      <c r="AR306" s="1938"/>
      <c r="AS306" s="426"/>
    </row>
    <row r="307" spans="2:45" ht="18" customHeight="1">
      <c r="B307" s="1945" t="str">
        <f>+$B$6</f>
        <v>戸建形式住宅</v>
      </c>
      <c r="C307" s="588" t="s">
        <v>23</v>
      </c>
      <c r="D307" s="431" t="s">
        <v>857</v>
      </c>
      <c r="E307" s="432" t="s">
        <v>857</v>
      </c>
      <c r="F307" s="432" t="s">
        <v>857</v>
      </c>
      <c r="G307" s="432" t="s">
        <v>857</v>
      </c>
      <c r="H307" s="432" t="s">
        <v>857</v>
      </c>
      <c r="I307" s="436" t="s">
        <v>857</v>
      </c>
      <c r="J307" s="437" t="s">
        <v>857</v>
      </c>
      <c r="K307" s="432" t="s">
        <v>857</v>
      </c>
      <c r="L307" s="432" t="s">
        <v>857</v>
      </c>
      <c r="M307" s="432" t="s">
        <v>857</v>
      </c>
      <c r="N307" s="432" t="s">
        <v>857</v>
      </c>
      <c r="O307" s="436" t="s">
        <v>857</v>
      </c>
      <c r="P307" s="436" t="s">
        <v>857</v>
      </c>
      <c r="Q307" s="436" t="s">
        <v>857</v>
      </c>
      <c r="R307" s="433" t="s">
        <v>857</v>
      </c>
      <c r="S307" s="437" t="s">
        <v>857</v>
      </c>
      <c r="T307" s="432" t="s">
        <v>857</v>
      </c>
      <c r="U307" s="432" t="s">
        <v>857</v>
      </c>
      <c r="V307" s="432" t="s">
        <v>857</v>
      </c>
      <c r="W307" s="432" t="s">
        <v>857</v>
      </c>
      <c r="X307" s="436" t="s">
        <v>857</v>
      </c>
      <c r="Y307" s="437" t="s">
        <v>857</v>
      </c>
      <c r="Z307" s="432" t="s">
        <v>857</v>
      </c>
      <c r="AA307" s="432" t="s">
        <v>857</v>
      </c>
      <c r="AB307" s="432" t="s">
        <v>857</v>
      </c>
      <c r="AC307" s="432" t="s">
        <v>857</v>
      </c>
      <c r="AD307" s="433" t="s">
        <v>857</v>
      </c>
      <c r="AE307" s="437" t="s">
        <v>857</v>
      </c>
      <c r="AF307" s="432" t="s">
        <v>857</v>
      </c>
      <c r="AG307" s="432" t="s">
        <v>857</v>
      </c>
      <c r="AH307" s="432" t="s">
        <v>857</v>
      </c>
      <c r="AI307" s="432" t="s">
        <v>857</v>
      </c>
      <c r="AJ307" s="433" t="s">
        <v>857</v>
      </c>
      <c r="AK307" s="437" t="s">
        <v>857</v>
      </c>
      <c r="AL307" s="432" t="s">
        <v>857</v>
      </c>
      <c r="AM307" s="432" t="s">
        <v>857</v>
      </c>
      <c r="AN307" s="432" t="s">
        <v>857</v>
      </c>
      <c r="AO307" s="432" t="s">
        <v>857</v>
      </c>
      <c r="AP307" s="1067" t="s">
        <v>857</v>
      </c>
      <c r="AQ307" s="1067" t="s">
        <v>857</v>
      </c>
      <c r="AR307" s="1068" t="s">
        <v>857</v>
      </c>
      <c r="AS307" s="426"/>
    </row>
    <row r="308" spans="2:45" ht="18" customHeight="1">
      <c r="B308" s="1946" t="str">
        <f>+$B$7</f>
        <v>集合形式住宅</v>
      </c>
      <c r="C308" s="430">
        <v>16690</v>
      </c>
      <c r="D308" s="437" t="s">
        <v>437</v>
      </c>
      <c r="E308" s="432">
        <v>1.1499999999999999</v>
      </c>
      <c r="F308" s="432" t="s">
        <v>636</v>
      </c>
      <c r="G308" s="432">
        <v>1</v>
      </c>
      <c r="H308" s="432" t="s">
        <v>1051</v>
      </c>
      <c r="I308" s="433" t="s">
        <v>1051</v>
      </c>
      <c r="J308" s="437" t="s">
        <v>438</v>
      </c>
      <c r="K308" s="431">
        <v>0.17</v>
      </c>
      <c r="L308" s="432">
        <v>1.1000000000000001</v>
      </c>
      <c r="M308" s="432" t="s">
        <v>439</v>
      </c>
      <c r="N308" s="432">
        <v>0.14000000000000001</v>
      </c>
      <c r="O308" s="432">
        <v>1</v>
      </c>
      <c r="P308" s="432" t="s">
        <v>440</v>
      </c>
      <c r="Q308" s="436">
        <v>0.08</v>
      </c>
      <c r="R308" s="433">
        <v>0.8</v>
      </c>
      <c r="S308" s="1062" t="s">
        <v>441</v>
      </c>
      <c r="T308" s="1062">
        <v>200</v>
      </c>
      <c r="U308" s="432">
        <v>1.05</v>
      </c>
      <c r="V308" s="435" t="s">
        <v>442</v>
      </c>
      <c r="W308" s="435">
        <v>500</v>
      </c>
      <c r="X308" s="432">
        <v>1</v>
      </c>
      <c r="Y308" s="437" t="s">
        <v>445</v>
      </c>
      <c r="Z308" s="432">
        <v>1.05</v>
      </c>
      <c r="AA308" s="432" t="s">
        <v>446</v>
      </c>
      <c r="AB308" s="432">
        <v>1</v>
      </c>
      <c r="AC308" s="432" t="s">
        <v>1051</v>
      </c>
      <c r="AD308" s="433" t="s">
        <v>1051</v>
      </c>
      <c r="AE308" s="437" t="s">
        <v>447</v>
      </c>
      <c r="AF308" s="432">
        <v>1.1000000000000001</v>
      </c>
      <c r="AG308" s="432" t="s">
        <v>448</v>
      </c>
      <c r="AH308" s="432">
        <v>1</v>
      </c>
      <c r="AI308" s="432"/>
      <c r="AJ308" s="433"/>
      <c r="AK308" s="1262">
        <v>360</v>
      </c>
      <c r="AL308" s="1251">
        <v>1.05</v>
      </c>
      <c r="AM308" s="1202">
        <v>1800</v>
      </c>
      <c r="AN308" s="1251">
        <v>1</v>
      </c>
      <c r="AO308" s="1202">
        <v>3600</v>
      </c>
      <c r="AP308" s="1251">
        <v>0.93</v>
      </c>
      <c r="AQ308" s="1253">
        <v>4500</v>
      </c>
      <c r="AR308" s="1254">
        <v>0.9</v>
      </c>
      <c r="AS308" s="426"/>
    </row>
    <row r="309" spans="2:45" ht="18" customHeight="1">
      <c r="B309" s="1946" t="str">
        <f>+$B$8</f>
        <v>事務所・店舗</v>
      </c>
      <c r="C309" s="430">
        <v>16690</v>
      </c>
      <c r="D309" s="437" t="s">
        <v>437</v>
      </c>
      <c r="E309" s="432">
        <v>1.1499999999999999</v>
      </c>
      <c r="F309" s="432" t="s">
        <v>636</v>
      </c>
      <c r="G309" s="432">
        <v>1</v>
      </c>
      <c r="H309" s="432" t="s">
        <v>1051</v>
      </c>
      <c r="I309" s="433" t="s">
        <v>1051</v>
      </c>
      <c r="J309" s="437" t="s">
        <v>438</v>
      </c>
      <c r="K309" s="431">
        <v>0.17</v>
      </c>
      <c r="L309" s="432">
        <v>1.1000000000000001</v>
      </c>
      <c r="M309" s="432" t="s">
        <v>439</v>
      </c>
      <c r="N309" s="432">
        <v>0.14000000000000001</v>
      </c>
      <c r="O309" s="432">
        <v>1</v>
      </c>
      <c r="P309" s="432" t="s">
        <v>440</v>
      </c>
      <c r="Q309" s="436">
        <v>0.08</v>
      </c>
      <c r="R309" s="433">
        <v>0.8</v>
      </c>
      <c r="S309" s="1062" t="s">
        <v>441</v>
      </c>
      <c r="T309" s="1062">
        <v>200</v>
      </c>
      <c r="U309" s="432">
        <v>1.05</v>
      </c>
      <c r="V309" s="435" t="s">
        <v>442</v>
      </c>
      <c r="W309" s="435">
        <v>500</v>
      </c>
      <c r="X309" s="432">
        <v>1</v>
      </c>
      <c r="Y309" s="437" t="s">
        <v>445</v>
      </c>
      <c r="Z309" s="432">
        <v>1.05</v>
      </c>
      <c r="AA309" s="432" t="s">
        <v>446</v>
      </c>
      <c r="AB309" s="432">
        <v>1</v>
      </c>
      <c r="AC309" s="432" t="s">
        <v>1051</v>
      </c>
      <c r="AD309" s="433" t="s">
        <v>1051</v>
      </c>
      <c r="AE309" s="437" t="s">
        <v>447</v>
      </c>
      <c r="AF309" s="432">
        <v>1.1000000000000001</v>
      </c>
      <c r="AG309" s="432" t="s">
        <v>448</v>
      </c>
      <c r="AH309" s="432">
        <v>1</v>
      </c>
      <c r="AI309" s="432"/>
      <c r="AJ309" s="433"/>
      <c r="AK309" s="1262">
        <v>1000</v>
      </c>
      <c r="AL309" s="432">
        <v>1.05</v>
      </c>
      <c r="AM309" s="1202">
        <v>3000</v>
      </c>
      <c r="AN309" s="432">
        <v>1</v>
      </c>
      <c r="AO309" s="1202">
        <v>10000</v>
      </c>
      <c r="AP309" s="432">
        <v>0.93</v>
      </c>
      <c r="AQ309" s="1202">
        <v>20000</v>
      </c>
      <c r="AR309" s="1255">
        <v>0.9</v>
      </c>
      <c r="AS309" s="426"/>
    </row>
    <row r="310" spans="2:45" ht="18" customHeight="1">
      <c r="B310" s="1946" t="str">
        <f>+$B$9</f>
        <v>病院・ホテル</v>
      </c>
      <c r="C310" s="430">
        <v>16690</v>
      </c>
      <c r="D310" s="437" t="s">
        <v>437</v>
      </c>
      <c r="E310" s="432">
        <v>1.1499999999999999</v>
      </c>
      <c r="F310" s="432" t="s">
        <v>636</v>
      </c>
      <c r="G310" s="432">
        <v>1</v>
      </c>
      <c r="H310" s="432" t="s">
        <v>1051</v>
      </c>
      <c r="I310" s="433" t="s">
        <v>1051</v>
      </c>
      <c r="J310" s="437" t="s">
        <v>438</v>
      </c>
      <c r="K310" s="431">
        <v>0.17</v>
      </c>
      <c r="L310" s="432">
        <v>1.1000000000000001</v>
      </c>
      <c r="M310" s="432" t="s">
        <v>439</v>
      </c>
      <c r="N310" s="432">
        <v>0.14000000000000001</v>
      </c>
      <c r="O310" s="432">
        <v>1</v>
      </c>
      <c r="P310" s="432" t="s">
        <v>440</v>
      </c>
      <c r="Q310" s="436">
        <v>0.08</v>
      </c>
      <c r="R310" s="433">
        <v>0.8</v>
      </c>
      <c r="S310" s="1062" t="s">
        <v>441</v>
      </c>
      <c r="T310" s="1062">
        <v>200</v>
      </c>
      <c r="U310" s="432">
        <v>1.05</v>
      </c>
      <c r="V310" s="435" t="s">
        <v>442</v>
      </c>
      <c r="W310" s="435">
        <v>500</v>
      </c>
      <c r="X310" s="432">
        <v>1</v>
      </c>
      <c r="Y310" s="437" t="s">
        <v>445</v>
      </c>
      <c r="Z310" s="432">
        <v>1.05</v>
      </c>
      <c r="AA310" s="432" t="s">
        <v>446</v>
      </c>
      <c r="AB310" s="432">
        <v>1</v>
      </c>
      <c r="AC310" s="432" t="s">
        <v>1051</v>
      </c>
      <c r="AD310" s="433" t="s">
        <v>1051</v>
      </c>
      <c r="AE310" s="437" t="s">
        <v>447</v>
      </c>
      <c r="AF310" s="432">
        <v>1.1000000000000001</v>
      </c>
      <c r="AG310" s="432" t="s">
        <v>448</v>
      </c>
      <c r="AH310" s="432">
        <v>1</v>
      </c>
      <c r="AI310" s="432"/>
      <c r="AJ310" s="433"/>
      <c r="AK310" s="1262">
        <v>1000</v>
      </c>
      <c r="AL310" s="432">
        <v>1.05</v>
      </c>
      <c r="AM310" s="1202">
        <v>3000</v>
      </c>
      <c r="AN310" s="432">
        <v>1</v>
      </c>
      <c r="AO310" s="1202">
        <v>10000</v>
      </c>
      <c r="AP310" s="432">
        <v>0.93</v>
      </c>
      <c r="AQ310" s="1202">
        <v>20000</v>
      </c>
      <c r="AR310" s="1255">
        <v>0.9</v>
      </c>
      <c r="AS310" s="426"/>
    </row>
    <row r="311" spans="2:45" ht="18" customHeight="1">
      <c r="B311" s="1947" t="str">
        <f>+$B$10</f>
        <v>工場・倉庫</v>
      </c>
      <c r="C311" s="430">
        <v>16690</v>
      </c>
      <c r="D311" s="1283" t="s">
        <v>437</v>
      </c>
      <c r="E311" s="442">
        <v>1.1499999999999999</v>
      </c>
      <c r="F311" s="442" t="s">
        <v>636</v>
      </c>
      <c r="G311" s="442">
        <v>1</v>
      </c>
      <c r="H311" s="442" t="s">
        <v>1051</v>
      </c>
      <c r="I311" s="447" t="s">
        <v>1051</v>
      </c>
      <c r="J311" s="445" t="s">
        <v>438</v>
      </c>
      <c r="K311" s="441">
        <v>0.17</v>
      </c>
      <c r="L311" s="442">
        <v>1.1000000000000001</v>
      </c>
      <c r="M311" s="442" t="s">
        <v>439</v>
      </c>
      <c r="N311" s="442">
        <v>0.14000000000000001</v>
      </c>
      <c r="O311" s="442">
        <v>1</v>
      </c>
      <c r="P311" s="442" t="s">
        <v>440</v>
      </c>
      <c r="Q311" s="444">
        <v>0.08</v>
      </c>
      <c r="R311" s="443">
        <v>0.8</v>
      </c>
      <c r="S311" s="1256" t="s">
        <v>441</v>
      </c>
      <c r="T311" s="1256">
        <v>200</v>
      </c>
      <c r="U311" s="442">
        <v>1.05</v>
      </c>
      <c r="V311" s="1257" t="s">
        <v>442</v>
      </c>
      <c r="W311" s="1257">
        <v>500</v>
      </c>
      <c r="X311" s="442">
        <v>1</v>
      </c>
      <c r="Y311" s="1283" t="s">
        <v>445</v>
      </c>
      <c r="Z311" s="442">
        <v>1.05</v>
      </c>
      <c r="AA311" s="442" t="s">
        <v>446</v>
      </c>
      <c r="AB311" s="442">
        <v>1</v>
      </c>
      <c r="AC311" s="442" t="s">
        <v>1051</v>
      </c>
      <c r="AD311" s="447" t="s">
        <v>1051</v>
      </c>
      <c r="AE311" s="445" t="s">
        <v>447</v>
      </c>
      <c r="AF311" s="442">
        <v>1.1000000000000001</v>
      </c>
      <c r="AG311" s="442" t="s">
        <v>448</v>
      </c>
      <c r="AH311" s="442">
        <v>1</v>
      </c>
      <c r="AI311" s="442"/>
      <c r="AJ311" s="443"/>
      <c r="AK311" s="1263">
        <v>1000</v>
      </c>
      <c r="AL311" s="446">
        <v>1.05</v>
      </c>
      <c r="AM311" s="1264">
        <v>3000</v>
      </c>
      <c r="AN311" s="446">
        <v>1</v>
      </c>
      <c r="AO311" s="1264">
        <v>10000</v>
      </c>
      <c r="AP311" s="446">
        <v>0.93</v>
      </c>
      <c r="AQ311" s="1260">
        <v>20000</v>
      </c>
      <c r="AR311" s="1261">
        <v>0.9</v>
      </c>
      <c r="AS311" s="426"/>
    </row>
    <row r="312" spans="2:45" ht="18" customHeight="1">
      <c r="B312" s="1941" t="s">
        <v>311</v>
      </c>
      <c r="C312" s="1916" t="s">
        <v>185</v>
      </c>
      <c r="D312" s="1888" t="s">
        <v>944</v>
      </c>
      <c r="E312" s="1889"/>
      <c r="F312" s="1889"/>
      <c r="G312" s="1889"/>
      <c r="H312" s="1889"/>
      <c r="I312" s="1891"/>
      <c r="J312" s="1887" t="s">
        <v>945</v>
      </c>
      <c r="K312" s="1889"/>
      <c r="L312" s="1889"/>
      <c r="M312" s="1889"/>
      <c r="N312" s="1889"/>
      <c r="O312" s="1891"/>
      <c r="P312" s="1935"/>
      <c r="Q312" s="1935"/>
      <c r="R312" s="423"/>
      <c r="S312" s="423"/>
      <c r="T312" s="423"/>
      <c r="U312" s="423"/>
      <c r="V312" s="423"/>
      <c r="W312" s="423"/>
      <c r="X312" s="423"/>
      <c r="Y312" s="423"/>
      <c r="Z312" s="423"/>
      <c r="AA312" s="423"/>
      <c r="AB312" s="423"/>
      <c r="AC312" s="423"/>
      <c r="AD312" s="423"/>
      <c r="AE312" s="423"/>
      <c r="AF312" s="423"/>
      <c r="AG312" s="423"/>
      <c r="AH312" s="423"/>
      <c r="AI312" s="423"/>
      <c r="AJ312" s="423"/>
      <c r="AK312" s="423"/>
      <c r="AL312" s="423"/>
      <c r="AM312" s="423"/>
      <c r="AN312" s="423"/>
      <c r="AO312" s="423"/>
      <c r="AP312" s="423"/>
      <c r="AQ312" s="423"/>
      <c r="AR312" s="423"/>
      <c r="AS312" s="424"/>
    </row>
    <row r="313" spans="2:45" ht="18" customHeight="1">
      <c r="B313" s="1942"/>
      <c r="C313" s="1907" t="s">
        <v>946</v>
      </c>
      <c r="D313" s="1899" t="s">
        <v>318</v>
      </c>
      <c r="E313" s="1900"/>
      <c r="F313" s="1900" t="s">
        <v>319</v>
      </c>
      <c r="G313" s="1900"/>
      <c r="H313" s="1900" t="s">
        <v>320</v>
      </c>
      <c r="I313" s="1902"/>
      <c r="J313" s="1898" t="s">
        <v>318</v>
      </c>
      <c r="K313" s="1900"/>
      <c r="L313" s="1900" t="s">
        <v>319</v>
      </c>
      <c r="M313" s="1900"/>
      <c r="N313" s="1900" t="s">
        <v>320</v>
      </c>
      <c r="O313" s="1900"/>
      <c r="P313" s="1937" t="s">
        <v>19</v>
      </c>
      <c r="Q313" s="1938"/>
      <c r="R313" s="425"/>
      <c r="S313" s="425"/>
      <c r="T313" s="425"/>
      <c r="U313" s="425"/>
      <c r="V313" s="425"/>
      <c r="W313" s="425"/>
      <c r="X313" s="425"/>
      <c r="Y313" s="425"/>
      <c r="Z313" s="425"/>
      <c r="AA313" s="425"/>
      <c r="AB313" s="425"/>
      <c r="AC313" s="425"/>
      <c r="AD313" s="425"/>
      <c r="AE313" s="425"/>
      <c r="AF313" s="425"/>
      <c r="AG313" s="425"/>
      <c r="AH313" s="425"/>
      <c r="AI313" s="425"/>
      <c r="AJ313" s="425"/>
      <c r="AK313" s="425"/>
      <c r="AL313" s="425"/>
      <c r="AM313" s="425"/>
      <c r="AN313" s="425"/>
      <c r="AO313" s="425"/>
      <c r="AP313" s="425"/>
      <c r="AQ313" s="425"/>
      <c r="AR313" s="425"/>
      <c r="AS313" s="426"/>
    </row>
    <row r="314" spans="2:45" ht="18" customHeight="1">
      <c r="B314" s="1945" t="str">
        <f>+$B$6</f>
        <v>戸建形式住宅</v>
      </c>
      <c r="C314" s="588" t="s">
        <v>23</v>
      </c>
      <c r="D314" s="431" t="s">
        <v>857</v>
      </c>
      <c r="E314" s="432" t="s">
        <v>857</v>
      </c>
      <c r="F314" s="432" t="s">
        <v>857</v>
      </c>
      <c r="G314" s="432" t="s">
        <v>857</v>
      </c>
      <c r="H314" s="432" t="s">
        <v>857</v>
      </c>
      <c r="I314" s="436" t="s">
        <v>857</v>
      </c>
      <c r="J314" s="437" t="s">
        <v>857</v>
      </c>
      <c r="K314" s="432" t="s">
        <v>857</v>
      </c>
      <c r="L314" s="432" t="s">
        <v>857</v>
      </c>
      <c r="M314" s="432" t="s">
        <v>857</v>
      </c>
      <c r="N314" s="432" t="s">
        <v>857</v>
      </c>
      <c r="O314" s="436" t="s">
        <v>857</v>
      </c>
      <c r="P314" s="436" t="s">
        <v>857</v>
      </c>
      <c r="Q314" s="433" t="s">
        <v>857</v>
      </c>
      <c r="R314" s="425"/>
      <c r="S314" s="425"/>
      <c r="T314" s="425"/>
      <c r="U314" s="425"/>
      <c r="V314" s="425"/>
      <c r="W314" s="425"/>
      <c r="X314" s="425"/>
      <c r="Y314" s="425"/>
      <c r="Z314" s="425"/>
      <c r="AA314" s="425"/>
      <c r="AB314" s="425"/>
      <c r="AC314" s="425"/>
      <c r="AD314" s="425"/>
      <c r="AE314" s="425"/>
      <c r="AF314" s="425"/>
      <c r="AG314" s="425"/>
      <c r="AH314" s="425"/>
      <c r="AI314" s="425"/>
      <c r="AJ314" s="425"/>
      <c r="AK314" s="425"/>
      <c r="AL314" s="425"/>
      <c r="AM314" s="425"/>
      <c r="AN314" s="425"/>
      <c r="AO314" s="425"/>
      <c r="AP314" s="425"/>
      <c r="AQ314" s="425"/>
      <c r="AR314" s="425"/>
      <c r="AS314" s="426"/>
    </row>
    <row r="315" spans="2:45" ht="18" customHeight="1">
      <c r="B315" s="1946" t="str">
        <f>+$B$7</f>
        <v>集合形式住宅</v>
      </c>
      <c r="C315" s="430">
        <v>9870</v>
      </c>
      <c r="D315" s="431" t="s">
        <v>947</v>
      </c>
      <c r="E315" s="432">
        <v>1.2</v>
      </c>
      <c r="F315" s="432" t="s">
        <v>948</v>
      </c>
      <c r="G315" s="432">
        <v>1</v>
      </c>
      <c r="H315" s="432" t="s">
        <v>949</v>
      </c>
      <c r="I315" s="433">
        <v>0.85</v>
      </c>
      <c r="J315" s="1262">
        <v>360</v>
      </c>
      <c r="K315" s="1251">
        <v>1.05</v>
      </c>
      <c r="L315" s="1202">
        <v>1800</v>
      </c>
      <c r="M315" s="1251">
        <v>1</v>
      </c>
      <c r="N315" s="1202">
        <v>3600</v>
      </c>
      <c r="O315" s="1251">
        <v>0.93</v>
      </c>
      <c r="P315" s="1253">
        <v>4500</v>
      </c>
      <c r="Q315" s="1254">
        <v>0.9</v>
      </c>
      <c r="R315" s="425"/>
      <c r="S315" s="425"/>
      <c r="T315" s="425"/>
      <c r="U315" s="425"/>
      <c r="V315" s="425"/>
      <c r="W315" s="425"/>
      <c r="X315" s="425"/>
      <c r="Y315" s="425"/>
      <c r="Z315" s="425"/>
      <c r="AA315" s="425"/>
      <c r="AB315" s="425"/>
      <c r="AC315" s="425"/>
      <c r="AD315" s="425"/>
      <c r="AE315" s="425"/>
      <c r="AF315" s="425"/>
      <c r="AG315" s="425"/>
      <c r="AH315" s="425"/>
      <c r="AI315" s="425"/>
      <c r="AJ315" s="425"/>
      <c r="AK315" s="425"/>
      <c r="AL315" s="425"/>
      <c r="AM315" s="425"/>
      <c r="AN315" s="425"/>
      <c r="AO315" s="425"/>
      <c r="AP315" s="425"/>
      <c r="AQ315" s="425"/>
      <c r="AR315" s="425"/>
      <c r="AS315" s="426"/>
    </row>
    <row r="316" spans="2:45" ht="18" customHeight="1">
      <c r="B316" s="1946" t="str">
        <f>+$B$8</f>
        <v>事務所・店舗</v>
      </c>
      <c r="C316" s="430">
        <v>9020</v>
      </c>
      <c r="D316" s="431" t="s">
        <v>947</v>
      </c>
      <c r="E316" s="432">
        <v>1.2</v>
      </c>
      <c r="F316" s="432" t="s">
        <v>948</v>
      </c>
      <c r="G316" s="432">
        <v>1</v>
      </c>
      <c r="H316" s="432" t="s">
        <v>949</v>
      </c>
      <c r="I316" s="433">
        <v>0.85</v>
      </c>
      <c r="J316" s="1262">
        <v>1000</v>
      </c>
      <c r="K316" s="432">
        <v>1.05</v>
      </c>
      <c r="L316" s="1202">
        <v>3000</v>
      </c>
      <c r="M316" s="432">
        <v>1</v>
      </c>
      <c r="N316" s="1202">
        <v>10000</v>
      </c>
      <c r="O316" s="432">
        <v>0.93</v>
      </c>
      <c r="P316" s="1202">
        <v>20000</v>
      </c>
      <c r="Q316" s="1255">
        <v>0.9</v>
      </c>
      <c r="R316" s="425"/>
      <c r="S316" s="425"/>
      <c r="T316" s="425"/>
      <c r="U316" s="425"/>
      <c r="V316" s="425"/>
      <c r="W316" s="425"/>
      <c r="X316" s="425"/>
      <c r="Y316" s="425"/>
      <c r="Z316" s="425"/>
      <c r="AA316" s="425"/>
      <c r="AB316" s="425"/>
      <c r="AC316" s="425"/>
      <c r="AD316" s="425"/>
      <c r="AE316" s="425"/>
      <c r="AF316" s="425"/>
      <c r="AG316" s="425"/>
      <c r="AH316" s="425"/>
      <c r="AI316" s="425"/>
      <c r="AJ316" s="425"/>
      <c r="AK316" s="425"/>
      <c r="AL316" s="425"/>
      <c r="AM316" s="425"/>
      <c r="AN316" s="425"/>
      <c r="AO316" s="425"/>
      <c r="AP316" s="425"/>
      <c r="AQ316" s="425"/>
      <c r="AR316" s="425"/>
      <c r="AS316" s="426"/>
    </row>
    <row r="317" spans="2:45" ht="18" customHeight="1">
      <c r="B317" s="1946" t="str">
        <f>+$B$9</f>
        <v>病院・ホテル</v>
      </c>
      <c r="C317" s="430">
        <v>9870</v>
      </c>
      <c r="D317" s="431" t="s">
        <v>947</v>
      </c>
      <c r="E317" s="432">
        <v>1.2</v>
      </c>
      <c r="F317" s="432" t="s">
        <v>948</v>
      </c>
      <c r="G317" s="432">
        <v>1</v>
      </c>
      <c r="H317" s="432" t="s">
        <v>949</v>
      </c>
      <c r="I317" s="433">
        <v>0.85</v>
      </c>
      <c r="J317" s="1262">
        <v>1000</v>
      </c>
      <c r="K317" s="432">
        <v>1.05</v>
      </c>
      <c r="L317" s="1202">
        <v>3000</v>
      </c>
      <c r="M317" s="432">
        <v>1</v>
      </c>
      <c r="N317" s="1202">
        <v>10000</v>
      </c>
      <c r="O317" s="432">
        <v>0.93</v>
      </c>
      <c r="P317" s="1202">
        <v>20000</v>
      </c>
      <c r="Q317" s="1255">
        <v>0.9</v>
      </c>
      <c r="R317" s="425"/>
      <c r="S317" s="425"/>
      <c r="T317" s="425"/>
      <c r="U317" s="425"/>
      <c r="V317" s="425"/>
      <c r="W317" s="425"/>
      <c r="X317" s="425"/>
      <c r="Y317" s="425"/>
      <c r="Z317" s="425"/>
      <c r="AA317" s="425"/>
      <c r="AB317" s="425"/>
      <c r="AC317" s="425"/>
      <c r="AD317" s="425"/>
      <c r="AE317" s="425"/>
      <c r="AF317" s="425"/>
      <c r="AG317" s="425"/>
      <c r="AH317" s="425"/>
      <c r="AI317" s="425"/>
      <c r="AJ317" s="425"/>
      <c r="AK317" s="425"/>
      <c r="AL317" s="425"/>
      <c r="AM317" s="425"/>
      <c r="AN317" s="425"/>
      <c r="AO317" s="425"/>
      <c r="AP317" s="425"/>
      <c r="AQ317" s="425"/>
      <c r="AR317" s="425"/>
      <c r="AS317" s="426"/>
    </row>
    <row r="318" spans="2:45" ht="18" customHeight="1">
      <c r="B318" s="1947" t="str">
        <f>+$B$10</f>
        <v>工場・倉庫</v>
      </c>
      <c r="C318" s="1203">
        <v>9020</v>
      </c>
      <c r="D318" s="441" t="s">
        <v>947</v>
      </c>
      <c r="E318" s="442">
        <v>1.2</v>
      </c>
      <c r="F318" s="442" t="s">
        <v>948</v>
      </c>
      <c r="G318" s="442">
        <v>1</v>
      </c>
      <c r="H318" s="442" t="s">
        <v>949</v>
      </c>
      <c r="I318" s="443">
        <v>0.85</v>
      </c>
      <c r="J318" s="1263">
        <v>1000</v>
      </c>
      <c r="K318" s="446">
        <v>1.05</v>
      </c>
      <c r="L318" s="1264">
        <v>3000</v>
      </c>
      <c r="M318" s="446">
        <v>1</v>
      </c>
      <c r="N318" s="1264">
        <v>10000</v>
      </c>
      <c r="O318" s="446">
        <v>0.93</v>
      </c>
      <c r="P318" s="1260">
        <v>20000</v>
      </c>
      <c r="Q318" s="818">
        <v>0.9</v>
      </c>
      <c r="R318" s="425"/>
      <c r="S318" s="425"/>
      <c r="T318" s="425"/>
      <c r="U318" s="425"/>
      <c r="V318" s="425"/>
      <c r="W318" s="425"/>
      <c r="X318" s="425"/>
      <c r="Y318" s="425"/>
      <c r="Z318" s="425"/>
      <c r="AA318" s="425"/>
      <c r="AB318" s="425"/>
      <c r="AC318" s="425"/>
      <c r="AD318" s="425"/>
      <c r="AE318" s="425"/>
      <c r="AF318" s="425"/>
      <c r="AG318" s="425"/>
      <c r="AH318" s="425"/>
      <c r="AI318" s="425"/>
      <c r="AJ318" s="425"/>
      <c r="AK318" s="425"/>
      <c r="AL318" s="425"/>
      <c r="AM318" s="425"/>
      <c r="AN318" s="425"/>
      <c r="AO318" s="425"/>
      <c r="AP318" s="425"/>
      <c r="AQ318" s="425"/>
      <c r="AR318" s="425"/>
      <c r="AS318" s="426"/>
    </row>
    <row r="319" spans="2:45" ht="18" customHeight="1">
      <c r="B319" s="1941" t="s">
        <v>311</v>
      </c>
      <c r="C319" s="1916" t="s">
        <v>950</v>
      </c>
      <c r="D319" s="1887" t="s">
        <v>951</v>
      </c>
      <c r="E319" s="1888"/>
      <c r="F319" s="1889"/>
      <c r="G319" s="1889"/>
      <c r="H319" s="1889"/>
      <c r="I319" s="1889"/>
      <c r="J319" s="1889"/>
      <c r="K319" s="1890"/>
      <c r="L319" s="1891"/>
      <c r="M319" s="1888" t="s">
        <v>952</v>
      </c>
      <c r="N319" s="1889"/>
      <c r="O319" s="1889"/>
      <c r="P319" s="1889"/>
      <c r="Q319" s="1889"/>
      <c r="R319" s="1891"/>
      <c r="S319" s="1888" t="s">
        <v>953</v>
      </c>
      <c r="T319" s="1889"/>
      <c r="U319" s="1889"/>
      <c r="V319" s="1889"/>
      <c r="W319" s="1889"/>
      <c r="X319" s="1890"/>
      <c r="Y319" s="1939"/>
      <c r="Z319" s="1939"/>
      <c r="AA319" s="423"/>
      <c r="AB319" s="423"/>
      <c r="AC319" s="423"/>
      <c r="AD319" s="423"/>
      <c r="AE319" s="423"/>
      <c r="AF319" s="423"/>
      <c r="AG319" s="423"/>
      <c r="AH319" s="423"/>
      <c r="AI319" s="423"/>
      <c r="AJ319" s="423"/>
      <c r="AK319" s="423"/>
      <c r="AL319" s="423"/>
      <c r="AM319" s="423"/>
      <c r="AN319" s="423"/>
      <c r="AO319" s="423"/>
      <c r="AP319" s="423"/>
      <c r="AQ319" s="423"/>
      <c r="AR319" s="423"/>
      <c r="AS319" s="424"/>
    </row>
    <row r="320" spans="2:45" ht="18" customHeight="1">
      <c r="B320" s="1942"/>
      <c r="C320" s="1907" t="s">
        <v>954</v>
      </c>
      <c r="D320" s="1898" t="s">
        <v>318</v>
      </c>
      <c r="E320" s="1899"/>
      <c r="F320" s="1900"/>
      <c r="G320" s="1900" t="s">
        <v>319</v>
      </c>
      <c r="H320" s="1900"/>
      <c r="I320" s="1900"/>
      <c r="J320" s="1900" t="s">
        <v>320</v>
      </c>
      <c r="K320" s="1901"/>
      <c r="L320" s="1902"/>
      <c r="M320" s="1899" t="s">
        <v>318</v>
      </c>
      <c r="N320" s="1900"/>
      <c r="O320" s="1900" t="s">
        <v>319</v>
      </c>
      <c r="P320" s="1900"/>
      <c r="Q320" s="1900" t="s">
        <v>320</v>
      </c>
      <c r="R320" s="1902"/>
      <c r="S320" s="1899" t="s">
        <v>318</v>
      </c>
      <c r="T320" s="1900"/>
      <c r="U320" s="1900" t="s">
        <v>319</v>
      </c>
      <c r="V320" s="1900"/>
      <c r="W320" s="1900" t="s">
        <v>320</v>
      </c>
      <c r="X320" s="1901"/>
      <c r="Y320" s="1937" t="s">
        <v>19</v>
      </c>
      <c r="Z320" s="1938"/>
      <c r="AA320" s="425"/>
      <c r="AB320" s="425"/>
      <c r="AC320" s="425"/>
      <c r="AD320" s="425"/>
      <c r="AE320" s="425"/>
      <c r="AF320" s="425"/>
      <c r="AG320" s="425"/>
      <c r="AH320" s="425"/>
      <c r="AI320" s="425"/>
      <c r="AJ320" s="425"/>
      <c r="AK320" s="425"/>
      <c r="AL320" s="425"/>
      <c r="AM320" s="425"/>
      <c r="AN320" s="425"/>
      <c r="AO320" s="425"/>
      <c r="AP320" s="425"/>
      <c r="AQ320" s="425"/>
      <c r="AR320" s="425"/>
      <c r="AS320" s="426"/>
    </row>
    <row r="321" spans="2:51" ht="18" customHeight="1">
      <c r="B321" s="1945" t="str">
        <f>+$B$6</f>
        <v>戸建形式住宅</v>
      </c>
      <c r="C321" s="588" t="s">
        <v>23</v>
      </c>
      <c r="D321" s="431" t="s">
        <v>857</v>
      </c>
      <c r="E321" s="432" t="s">
        <v>857</v>
      </c>
      <c r="F321" s="432" t="s">
        <v>857</v>
      </c>
      <c r="G321" s="432" t="s">
        <v>857</v>
      </c>
      <c r="H321" s="432" t="s">
        <v>857</v>
      </c>
      <c r="I321" s="432" t="s">
        <v>857</v>
      </c>
      <c r="J321" s="432" t="s">
        <v>857</v>
      </c>
      <c r="K321" s="432" t="s">
        <v>857</v>
      </c>
      <c r="L321" s="432" t="s">
        <v>857</v>
      </c>
      <c r="M321" s="437" t="s">
        <v>857</v>
      </c>
      <c r="N321" s="432" t="s">
        <v>857</v>
      </c>
      <c r="O321" s="432" t="s">
        <v>857</v>
      </c>
      <c r="P321" s="432" t="s">
        <v>857</v>
      </c>
      <c r="Q321" s="432" t="s">
        <v>857</v>
      </c>
      <c r="R321" s="436" t="s">
        <v>857</v>
      </c>
      <c r="S321" s="437" t="s">
        <v>857</v>
      </c>
      <c r="T321" s="432" t="s">
        <v>857</v>
      </c>
      <c r="U321" s="432" t="s">
        <v>857</v>
      </c>
      <c r="V321" s="432" t="s">
        <v>857</v>
      </c>
      <c r="W321" s="432" t="s">
        <v>857</v>
      </c>
      <c r="X321" s="436" t="s">
        <v>857</v>
      </c>
      <c r="Y321" s="436" t="s">
        <v>857</v>
      </c>
      <c r="Z321" s="433" t="s">
        <v>857</v>
      </c>
      <c r="AA321" s="425"/>
      <c r="AB321" s="425"/>
      <c r="AC321" s="425"/>
      <c r="AD321" s="425"/>
      <c r="AE321" s="425"/>
      <c r="AF321" s="425"/>
      <c r="AG321" s="425"/>
      <c r="AH321" s="425"/>
      <c r="AI321" s="425"/>
      <c r="AJ321" s="425"/>
      <c r="AK321" s="425"/>
      <c r="AL321" s="425"/>
      <c r="AM321" s="425"/>
      <c r="AN321" s="425"/>
      <c r="AO321" s="425"/>
      <c r="AP321" s="425"/>
      <c r="AQ321" s="425"/>
      <c r="AR321" s="425"/>
      <c r="AS321" s="426"/>
    </row>
    <row r="322" spans="2:51" ht="18" customHeight="1">
      <c r="B322" s="1946" t="str">
        <f>+$B$7</f>
        <v>集合形式住宅</v>
      </c>
      <c r="C322" s="430">
        <v>12470</v>
      </c>
      <c r="D322" s="1062" t="s">
        <v>441</v>
      </c>
      <c r="E322" s="1062">
        <v>200</v>
      </c>
      <c r="F322" s="432">
        <v>1.05</v>
      </c>
      <c r="G322" s="435" t="s">
        <v>442</v>
      </c>
      <c r="H322" s="435">
        <v>500</v>
      </c>
      <c r="I322" s="432">
        <v>1</v>
      </c>
      <c r="J322" s="432" t="s">
        <v>1051</v>
      </c>
      <c r="K322" s="436" t="s">
        <v>1051</v>
      </c>
      <c r="L322" s="433" t="s">
        <v>1051</v>
      </c>
      <c r="M322" s="431" t="s">
        <v>437</v>
      </c>
      <c r="N322" s="432">
        <v>1.2</v>
      </c>
      <c r="O322" s="432" t="s">
        <v>636</v>
      </c>
      <c r="P322" s="432">
        <v>1</v>
      </c>
      <c r="Q322" s="436" t="s">
        <v>1051</v>
      </c>
      <c r="R322" s="433" t="s">
        <v>1051</v>
      </c>
      <c r="S322" s="1201">
        <v>360</v>
      </c>
      <c r="T322" s="1251">
        <v>1.05</v>
      </c>
      <c r="U322" s="1202">
        <v>1800</v>
      </c>
      <c r="V322" s="1251">
        <v>1</v>
      </c>
      <c r="W322" s="1202">
        <v>3600</v>
      </c>
      <c r="X322" s="1252">
        <v>0.93</v>
      </c>
      <c r="Y322" s="1253">
        <v>4500</v>
      </c>
      <c r="Z322" s="1254">
        <v>0.9</v>
      </c>
      <c r="AA322" s="425"/>
      <c r="AB322" s="425"/>
      <c r="AC322" s="425"/>
      <c r="AD322" s="425"/>
      <c r="AE322" s="425"/>
      <c r="AF322" s="425"/>
      <c r="AG322" s="425"/>
      <c r="AH322" s="425"/>
      <c r="AI322" s="425"/>
      <c r="AJ322" s="425"/>
      <c r="AK322" s="425"/>
      <c r="AL322" s="425"/>
      <c r="AM322" s="425"/>
      <c r="AN322" s="425"/>
      <c r="AO322" s="425"/>
      <c r="AP322" s="425"/>
      <c r="AQ322" s="425"/>
      <c r="AR322" s="425"/>
      <c r="AS322" s="426"/>
    </row>
    <row r="323" spans="2:51" ht="18" customHeight="1">
      <c r="B323" s="1946" t="str">
        <f>+$B$8</f>
        <v>事務所・店舗</v>
      </c>
      <c r="C323" s="430">
        <v>11280</v>
      </c>
      <c r="D323" s="1062" t="s">
        <v>441</v>
      </c>
      <c r="E323" s="1062">
        <v>200</v>
      </c>
      <c r="F323" s="432">
        <v>1.05</v>
      </c>
      <c r="G323" s="435" t="s">
        <v>442</v>
      </c>
      <c r="H323" s="435">
        <v>500</v>
      </c>
      <c r="I323" s="432">
        <v>1</v>
      </c>
      <c r="J323" s="432" t="s">
        <v>1051</v>
      </c>
      <c r="K323" s="436" t="s">
        <v>1051</v>
      </c>
      <c r="L323" s="433" t="s">
        <v>1051</v>
      </c>
      <c r="M323" s="431" t="s">
        <v>437</v>
      </c>
      <c r="N323" s="432">
        <v>1.2</v>
      </c>
      <c r="O323" s="432" t="s">
        <v>636</v>
      </c>
      <c r="P323" s="432">
        <v>1</v>
      </c>
      <c r="Q323" s="436" t="s">
        <v>1051</v>
      </c>
      <c r="R323" s="433" t="s">
        <v>1051</v>
      </c>
      <c r="S323" s="1201">
        <v>1000</v>
      </c>
      <c r="T323" s="432">
        <v>1.05</v>
      </c>
      <c r="U323" s="1202">
        <v>3000</v>
      </c>
      <c r="V323" s="432">
        <v>1</v>
      </c>
      <c r="W323" s="1202">
        <v>10000</v>
      </c>
      <c r="X323" s="436">
        <v>0.93</v>
      </c>
      <c r="Y323" s="1202">
        <v>20000</v>
      </c>
      <c r="Z323" s="1255">
        <v>0.9</v>
      </c>
      <c r="AA323" s="425"/>
      <c r="AB323" s="425"/>
      <c r="AC323" s="425"/>
      <c r="AD323" s="425"/>
      <c r="AE323" s="425"/>
      <c r="AF323" s="425"/>
      <c r="AG323" s="425"/>
      <c r="AH323" s="425"/>
      <c r="AI323" s="425"/>
      <c r="AJ323" s="425"/>
      <c r="AK323" s="425"/>
      <c r="AL323" s="425"/>
      <c r="AM323" s="425"/>
      <c r="AN323" s="425"/>
      <c r="AO323" s="425"/>
      <c r="AP323" s="425"/>
      <c r="AQ323" s="425"/>
      <c r="AR323" s="425"/>
      <c r="AS323" s="426"/>
    </row>
    <row r="324" spans="2:51" ht="18" customHeight="1">
      <c r="B324" s="1946" t="str">
        <f>+$B$9</f>
        <v>病院・ホテル</v>
      </c>
      <c r="C324" s="430">
        <v>12470</v>
      </c>
      <c r="D324" s="1062" t="s">
        <v>441</v>
      </c>
      <c r="E324" s="1062">
        <v>200</v>
      </c>
      <c r="F324" s="432">
        <v>1.05</v>
      </c>
      <c r="G324" s="435" t="s">
        <v>442</v>
      </c>
      <c r="H324" s="435">
        <v>500</v>
      </c>
      <c r="I324" s="432">
        <v>1</v>
      </c>
      <c r="J324" s="432" t="s">
        <v>1051</v>
      </c>
      <c r="K324" s="436" t="s">
        <v>1051</v>
      </c>
      <c r="L324" s="433" t="s">
        <v>1051</v>
      </c>
      <c r="M324" s="431" t="s">
        <v>437</v>
      </c>
      <c r="N324" s="432">
        <v>1.2</v>
      </c>
      <c r="O324" s="432" t="s">
        <v>636</v>
      </c>
      <c r="P324" s="432">
        <v>1</v>
      </c>
      <c r="Q324" s="436" t="s">
        <v>1051</v>
      </c>
      <c r="R324" s="433" t="s">
        <v>1051</v>
      </c>
      <c r="S324" s="1201">
        <v>1000</v>
      </c>
      <c r="T324" s="432">
        <v>1.05</v>
      </c>
      <c r="U324" s="1202">
        <v>3000</v>
      </c>
      <c r="V324" s="432">
        <v>1</v>
      </c>
      <c r="W324" s="1202">
        <v>10000</v>
      </c>
      <c r="X324" s="436">
        <v>0.93</v>
      </c>
      <c r="Y324" s="1202">
        <v>20000</v>
      </c>
      <c r="Z324" s="1255">
        <v>0.9</v>
      </c>
      <c r="AA324" s="425"/>
      <c r="AB324" s="425"/>
      <c r="AC324" s="425"/>
      <c r="AD324" s="425"/>
      <c r="AE324" s="425"/>
      <c r="AF324" s="425"/>
      <c r="AG324" s="425"/>
      <c r="AH324" s="425"/>
      <c r="AI324" s="425"/>
      <c r="AJ324" s="425"/>
      <c r="AK324" s="425"/>
      <c r="AL324" s="425"/>
      <c r="AM324" s="425"/>
      <c r="AN324" s="425"/>
      <c r="AO324" s="425"/>
      <c r="AP324" s="425"/>
      <c r="AQ324" s="425"/>
      <c r="AR324" s="425"/>
      <c r="AS324" s="426"/>
    </row>
    <row r="325" spans="2:51" ht="18" customHeight="1">
      <c r="B325" s="1947" t="str">
        <f>+$B$10</f>
        <v>工場・倉庫</v>
      </c>
      <c r="C325" s="1203">
        <v>11280</v>
      </c>
      <c r="D325" s="1256" t="s">
        <v>441</v>
      </c>
      <c r="E325" s="1256">
        <v>200</v>
      </c>
      <c r="F325" s="442">
        <v>1.05</v>
      </c>
      <c r="G325" s="1257" t="s">
        <v>442</v>
      </c>
      <c r="H325" s="1257">
        <v>500</v>
      </c>
      <c r="I325" s="442">
        <v>1</v>
      </c>
      <c r="J325" s="442" t="s">
        <v>1051</v>
      </c>
      <c r="K325" s="444" t="s">
        <v>1051</v>
      </c>
      <c r="L325" s="443" t="s">
        <v>1051</v>
      </c>
      <c r="M325" s="441" t="s">
        <v>437</v>
      </c>
      <c r="N325" s="442">
        <v>1.2</v>
      </c>
      <c r="O325" s="442" t="s">
        <v>636</v>
      </c>
      <c r="P325" s="442">
        <v>1</v>
      </c>
      <c r="Q325" s="444" t="s">
        <v>1051</v>
      </c>
      <c r="R325" s="443" t="s">
        <v>1051</v>
      </c>
      <c r="S325" s="1258">
        <v>1000</v>
      </c>
      <c r="T325" s="442">
        <v>1.05</v>
      </c>
      <c r="U325" s="1259">
        <v>3000</v>
      </c>
      <c r="V325" s="442">
        <v>1</v>
      </c>
      <c r="W325" s="1259">
        <v>10000</v>
      </c>
      <c r="X325" s="444">
        <v>0.93</v>
      </c>
      <c r="Y325" s="1260">
        <v>20000</v>
      </c>
      <c r="Z325" s="1261">
        <v>0.9</v>
      </c>
      <c r="AA325" s="452"/>
      <c r="AB325" s="425"/>
      <c r="AC325" s="425"/>
      <c r="AD325" s="425"/>
      <c r="AE325" s="425"/>
      <c r="AF325" s="425"/>
      <c r="AG325" s="425"/>
      <c r="AH325" s="425"/>
      <c r="AI325" s="425"/>
      <c r="AJ325" s="425"/>
      <c r="AK325" s="425"/>
      <c r="AL325" s="425"/>
      <c r="AM325" s="425"/>
      <c r="AN325" s="425"/>
      <c r="AO325" s="425"/>
      <c r="AP325" s="425"/>
      <c r="AQ325" s="425"/>
      <c r="AR325" s="425"/>
      <c r="AS325" s="426"/>
    </row>
    <row r="326" spans="2:51" ht="18" customHeight="1">
      <c r="B326" s="1941" t="s">
        <v>311</v>
      </c>
      <c r="C326" s="1917" t="s">
        <v>955</v>
      </c>
      <c r="D326" s="1940" t="s">
        <v>956</v>
      </c>
      <c r="E326" s="1930"/>
      <c r="F326" s="1885"/>
      <c r="G326" s="1885"/>
      <c r="H326" s="1885"/>
      <c r="I326" s="1893"/>
      <c r="J326" s="1250"/>
      <c r="K326" s="736"/>
      <c r="L326" s="737"/>
      <c r="M326" s="737"/>
      <c r="N326" s="737"/>
      <c r="O326" s="737"/>
      <c r="P326" s="455"/>
      <c r="Q326" s="455"/>
      <c r="R326" s="455"/>
      <c r="S326" s="455"/>
      <c r="T326" s="455"/>
      <c r="U326" s="455"/>
      <c r="V326" s="455"/>
      <c r="W326" s="455"/>
      <c r="X326" s="455"/>
      <c r="Y326" s="455"/>
      <c r="Z326" s="455"/>
      <c r="AA326" s="455"/>
      <c r="AB326" s="455"/>
      <c r="AC326" s="455"/>
      <c r="AD326" s="455"/>
      <c r="AE326" s="455"/>
      <c r="AF326" s="455"/>
      <c r="AG326" s="455"/>
      <c r="AH326" s="423"/>
      <c r="AI326" s="423"/>
      <c r="AJ326" s="423"/>
      <c r="AK326" s="423"/>
      <c r="AL326" s="423"/>
      <c r="AM326" s="423"/>
      <c r="AN326" s="423"/>
      <c r="AO326" s="423"/>
      <c r="AP326" s="423"/>
      <c r="AQ326" s="423"/>
      <c r="AR326" s="423"/>
      <c r="AS326" s="423"/>
      <c r="AT326" s="423"/>
      <c r="AU326" s="423"/>
      <c r="AV326" s="423"/>
      <c r="AW326" s="423"/>
      <c r="AX326" s="423"/>
      <c r="AY326" s="424"/>
    </row>
    <row r="327" spans="2:51" ht="18" customHeight="1">
      <c r="B327" s="1942"/>
      <c r="C327" s="1894" t="s">
        <v>957</v>
      </c>
      <c r="D327" s="1898" t="s">
        <v>318</v>
      </c>
      <c r="E327" s="1900"/>
      <c r="F327" s="1900" t="s">
        <v>319</v>
      </c>
      <c r="G327" s="1900"/>
      <c r="H327" s="1900" t="s">
        <v>320</v>
      </c>
      <c r="I327" s="1902"/>
      <c r="J327" s="547"/>
      <c r="K327" s="547"/>
      <c r="L327" s="473"/>
      <c r="M327" s="473"/>
      <c r="N327" s="473"/>
      <c r="O327" s="473"/>
      <c r="P327" s="451"/>
      <c r="Q327" s="451"/>
      <c r="R327" s="451"/>
      <c r="S327" s="451"/>
      <c r="T327" s="451"/>
      <c r="U327" s="451"/>
      <c r="V327" s="451"/>
      <c r="W327" s="451"/>
      <c r="X327" s="451"/>
      <c r="Y327" s="451"/>
      <c r="Z327" s="451"/>
      <c r="AA327" s="451"/>
      <c r="AB327" s="451"/>
      <c r="AC327" s="451"/>
      <c r="AD327" s="451"/>
      <c r="AE327" s="451"/>
      <c r="AF327" s="451"/>
      <c r="AG327" s="451"/>
      <c r="AH327" s="425"/>
      <c r="AI327" s="425"/>
      <c r="AJ327" s="425"/>
      <c r="AK327" s="425"/>
      <c r="AL327" s="425"/>
      <c r="AM327" s="425"/>
      <c r="AN327" s="425"/>
      <c r="AO327" s="425"/>
      <c r="AP327" s="425"/>
      <c r="AQ327" s="425"/>
      <c r="AR327" s="425"/>
      <c r="AS327" s="425"/>
      <c r="AT327" s="425"/>
      <c r="AU327" s="425"/>
      <c r="AV327" s="425"/>
      <c r="AW327" s="425"/>
      <c r="AX327" s="425"/>
      <c r="AY327" s="426"/>
    </row>
    <row r="328" spans="2:51" ht="18" customHeight="1">
      <c r="B328" s="1945" t="str">
        <f>+$B$6</f>
        <v>戸建形式住宅</v>
      </c>
      <c r="C328" s="588" t="s">
        <v>23</v>
      </c>
      <c r="D328" s="431" t="s">
        <v>857</v>
      </c>
      <c r="E328" s="432" t="s">
        <v>857</v>
      </c>
      <c r="F328" s="432" t="s">
        <v>857</v>
      </c>
      <c r="G328" s="432" t="s">
        <v>857</v>
      </c>
      <c r="H328" s="432" t="s">
        <v>857</v>
      </c>
      <c r="I328" s="433" t="s">
        <v>857</v>
      </c>
      <c r="J328" s="582"/>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c r="AG328" s="451"/>
      <c r="AH328" s="425"/>
      <c r="AI328" s="425"/>
      <c r="AJ328" s="425"/>
      <c r="AK328" s="425"/>
      <c r="AL328" s="425"/>
      <c r="AM328" s="425"/>
      <c r="AN328" s="425"/>
      <c r="AO328" s="425"/>
      <c r="AP328" s="425"/>
      <c r="AQ328" s="425"/>
      <c r="AR328" s="425"/>
      <c r="AS328" s="425"/>
      <c r="AT328" s="425"/>
      <c r="AU328" s="425"/>
      <c r="AV328" s="425"/>
      <c r="AW328" s="425"/>
      <c r="AX328" s="425"/>
      <c r="AY328" s="426"/>
    </row>
    <row r="329" spans="2:51" ht="18" customHeight="1">
      <c r="B329" s="1946" t="str">
        <f>+$B$7</f>
        <v>集合形式住宅</v>
      </c>
      <c r="C329" s="430">
        <v>15420</v>
      </c>
      <c r="D329" s="437" t="s">
        <v>375</v>
      </c>
      <c r="E329" s="432">
        <v>1.2</v>
      </c>
      <c r="F329" s="432" t="s">
        <v>324</v>
      </c>
      <c r="G329" s="432">
        <v>1</v>
      </c>
      <c r="H329" s="432" t="s">
        <v>376</v>
      </c>
      <c r="I329" s="433">
        <v>0.8</v>
      </c>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c r="AG329" s="451"/>
      <c r="AH329" s="425"/>
      <c r="AI329" s="425"/>
      <c r="AJ329" s="425"/>
      <c r="AK329" s="425"/>
      <c r="AL329" s="425"/>
      <c r="AM329" s="425"/>
      <c r="AN329" s="425"/>
      <c r="AO329" s="425"/>
      <c r="AP329" s="425"/>
      <c r="AQ329" s="425"/>
      <c r="AR329" s="425"/>
      <c r="AS329" s="425"/>
      <c r="AT329" s="425"/>
      <c r="AU329" s="425"/>
      <c r="AV329" s="425"/>
      <c r="AW329" s="425"/>
      <c r="AX329" s="425"/>
      <c r="AY329" s="426"/>
    </row>
    <row r="330" spans="2:51" ht="18" customHeight="1">
      <c r="B330" s="1946" t="str">
        <f>+$B$8</f>
        <v>事務所・店舗</v>
      </c>
      <c r="C330" s="430">
        <v>15420</v>
      </c>
      <c r="D330" s="437" t="s">
        <v>375</v>
      </c>
      <c r="E330" s="432">
        <v>1.2</v>
      </c>
      <c r="F330" s="432" t="s">
        <v>324</v>
      </c>
      <c r="G330" s="432">
        <v>1</v>
      </c>
      <c r="H330" s="432" t="s">
        <v>376</v>
      </c>
      <c r="I330" s="433">
        <v>0.8</v>
      </c>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c r="AG330" s="451"/>
      <c r="AH330" s="425"/>
      <c r="AI330" s="425"/>
      <c r="AJ330" s="425"/>
      <c r="AK330" s="425"/>
      <c r="AL330" s="425"/>
      <c r="AM330" s="425"/>
      <c r="AN330" s="425"/>
      <c r="AO330" s="425"/>
      <c r="AP330" s="425"/>
      <c r="AQ330" s="425"/>
      <c r="AR330" s="425"/>
      <c r="AS330" s="425"/>
      <c r="AT330" s="425"/>
      <c r="AU330" s="425"/>
      <c r="AV330" s="425"/>
      <c r="AW330" s="425"/>
      <c r="AX330" s="425"/>
      <c r="AY330" s="426"/>
    </row>
    <row r="331" spans="2:51" ht="18" customHeight="1">
      <c r="B331" s="1946" t="str">
        <f>+$B$9</f>
        <v>病院・ホテル</v>
      </c>
      <c r="C331" s="430">
        <v>15420</v>
      </c>
      <c r="D331" s="437" t="s">
        <v>375</v>
      </c>
      <c r="E331" s="432">
        <v>1.2</v>
      </c>
      <c r="F331" s="432" t="s">
        <v>324</v>
      </c>
      <c r="G331" s="432">
        <v>1</v>
      </c>
      <c r="H331" s="432" t="s">
        <v>376</v>
      </c>
      <c r="I331" s="433">
        <v>0.8</v>
      </c>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c r="AG331" s="451"/>
      <c r="AH331" s="425"/>
      <c r="AI331" s="425"/>
      <c r="AJ331" s="425"/>
      <c r="AK331" s="425"/>
      <c r="AL331" s="425"/>
      <c r="AM331" s="425"/>
      <c r="AN331" s="425"/>
      <c r="AO331" s="425"/>
      <c r="AP331" s="425"/>
      <c r="AQ331" s="425"/>
      <c r="AR331" s="425"/>
      <c r="AS331" s="425"/>
      <c r="AT331" s="425"/>
      <c r="AU331" s="425"/>
      <c r="AV331" s="425"/>
      <c r="AW331" s="425"/>
      <c r="AX331" s="425"/>
      <c r="AY331" s="426"/>
    </row>
    <row r="332" spans="2:51" ht="18" customHeight="1">
      <c r="B332" s="1947" t="str">
        <f>+$B$10</f>
        <v>工場・倉庫</v>
      </c>
      <c r="C332" s="1060">
        <v>15420</v>
      </c>
      <c r="D332" s="445" t="s">
        <v>375</v>
      </c>
      <c r="E332" s="446">
        <v>1.2</v>
      </c>
      <c r="F332" s="446" t="s">
        <v>324</v>
      </c>
      <c r="G332" s="446">
        <v>1</v>
      </c>
      <c r="H332" s="446" t="s">
        <v>376</v>
      </c>
      <c r="I332" s="447">
        <v>0.8</v>
      </c>
      <c r="J332" s="739"/>
      <c r="K332" s="739"/>
      <c r="L332" s="739"/>
      <c r="M332" s="739"/>
      <c r="N332" s="739"/>
      <c r="O332" s="739"/>
      <c r="P332" s="451"/>
      <c r="Q332" s="451"/>
      <c r="R332" s="451"/>
      <c r="S332" s="451"/>
      <c r="T332" s="451"/>
      <c r="U332" s="451"/>
      <c r="V332" s="451"/>
      <c r="W332" s="451"/>
      <c r="X332" s="451"/>
      <c r="Y332" s="451"/>
      <c r="Z332" s="451"/>
      <c r="AA332" s="451"/>
      <c r="AB332" s="451"/>
      <c r="AC332" s="451"/>
      <c r="AD332" s="451"/>
      <c r="AE332" s="451"/>
      <c r="AF332" s="451"/>
      <c r="AG332" s="451"/>
      <c r="AH332" s="425"/>
      <c r="AI332" s="425"/>
      <c r="AJ332" s="425"/>
      <c r="AK332" s="425"/>
      <c r="AL332" s="425"/>
      <c r="AM332" s="425"/>
      <c r="AN332" s="425"/>
      <c r="AO332" s="425"/>
      <c r="AP332" s="425"/>
      <c r="AQ332" s="425"/>
      <c r="AR332" s="425"/>
      <c r="AS332" s="425"/>
      <c r="AT332" s="425"/>
      <c r="AU332" s="425"/>
      <c r="AV332" s="425"/>
      <c r="AW332" s="425"/>
      <c r="AX332" s="425"/>
      <c r="AY332" s="426"/>
    </row>
    <row r="333" spans="2:51" ht="18" customHeight="1">
      <c r="B333" s="1941" t="s">
        <v>311</v>
      </c>
      <c r="C333" s="1917" t="s">
        <v>191</v>
      </c>
      <c r="D333" s="1888" t="s">
        <v>958</v>
      </c>
      <c r="E333" s="1889"/>
      <c r="F333" s="1889"/>
      <c r="G333" s="1889"/>
      <c r="H333" s="1889"/>
      <c r="I333" s="1891"/>
      <c r="J333" s="1887" t="s">
        <v>959</v>
      </c>
      <c r="K333" s="1889"/>
      <c r="L333" s="1889"/>
      <c r="M333" s="1889"/>
      <c r="N333" s="1889"/>
      <c r="O333" s="1891"/>
      <c r="P333" s="1887" t="s">
        <v>960</v>
      </c>
      <c r="Q333" s="1889"/>
      <c r="R333" s="1889"/>
      <c r="S333" s="1889"/>
      <c r="T333" s="1889"/>
      <c r="U333" s="1891"/>
      <c r="V333" s="459"/>
      <c r="W333" s="455"/>
      <c r="X333" s="455"/>
      <c r="Y333" s="455"/>
      <c r="Z333" s="455"/>
      <c r="AA333" s="455"/>
      <c r="AB333" s="455"/>
      <c r="AC333" s="455"/>
      <c r="AD333" s="455"/>
      <c r="AE333" s="455"/>
      <c r="AF333" s="455"/>
      <c r="AG333" s="455"/>
      <c r="AH333" s="423"/>
      <c r="AI333" s="423"/>
      <c r="AJ333" s="423"/>
      <c r="AK333" s="423"/>
      <c r="AL333" s="423"/>
      <c r="AM333" s="423"/>
      <c r="AN333" s="423"/>
      <c r="AO333" s="423"/>
      <c r="AP333" s="423"/>
      <c r="AQ333" s="423"/>
      <c r="AR333" s="423"/>
      <c r="AS333" s="423"/>
      <c r="AT333" s="423"/>
      <c r="AU333" s="423"/>
      <c r="AV333" s="423"/>
      <c r="AW333" s="423"/>
      <c r="AX333" s="423"/>
      <c r="AY333" s="424"/>
    </row>
    <row r="334" spans="2:51" ht="18" customHeight="1">
      <c r="B334" s="1942"/>
      <c r="C334" s="1894" t="s">
        <v>961</v>
      </c>
      <c r="D334" s="1899" t="s">
        <v>318</v>
      </c>
      <c r="E334" s="1900"/>
      <c r="F334" s="1900" t="s">
        <v>319</v>
      </c>
      <c r="G334" s="1900"/>
      <c r="H334" s="1900" t="s">
        <v>320</v>
      </c>
      <c r="I334" s="1902"/>
      <c r="J334" s="1898" t="s">
        <v>318</v>
      </c>
      <c r="K334" s="1900"/>
      <c r="L334" s="1900" t="s">
        <v>319</v>
      </c>
      <c r="M334" s="1900"/>
      <c r="N334" s="1900" t="s">
        <v>320</v>
      </c>
      <c r="O334" s="1902"/>
      <c r="P334" s="1898" t="s">
        <v>318</v>
      </c>
      <c r="Q334" s="1900"/>
      <c r="R334" s="1900" t="s">
        <v>319</v>
      </c>
      <c r="S334" s="1900"/>
      <c r="T334" s="1900" t="s">
        <v>320</v>
      </c>
      <c r="U334" s="1902"/>
      <c r="V334" s="450"/>
      <c r="W334" s="451"/>
      <c r="X334" s="451"/>
      <c r="Y334" s="451"/>
      <c r="Z334" s="451"/>
      <c r="AA334" s="451"/>
      <c r="AB334" s="451"/>
      <c r="AC334" s="451"/>
      <c r="AD334" s="451"/>
      <c r="AE334" s="451"/>
      <c r="AF334" s="451"/>
      <c r="AG334" s="451"/>
      <c r="AH334" s="425"/>
      <c r="AI334" s="425"/>
      <c r="AJ334" s="425"/>
      <c r="AK334" s="425"/>
      <c r="AL334" s="425"/>
      <c r="AM334" s="425"/>
      <c r="AN334" s="425"/>
      <c r="AO334" s="425"/>
      <c r="AP334" s="425"/>
      <c r="AQ334" s="425"/>
      <c r="AR334" s="425"/>
      <c r="AS334" s="425"/>
      <c r="AT334" s="425"/>
      <c r="AU334" s="425"/>
      <c r="AV334" s="425"/>
      <c r="AW334" s="425"/>
      <c r="AX334" s="425"/>
      <c r="AY334" s="426"/>
    </row>
    <row r="335" spans="2:51" ht="18" customHeight="1">
      <c r="B335" s="1945" t="str">
        <f>+$B$6</f>
        <v>戸建形式住宅</v>
      </c>
      <c r="C335" s="588" t="s">
        <v>5706</v>
      </c>
      <c r="D335" s="431" t="s">
        <v>857</v>
      </c>
      <c r="E335" s="432" t="s">
        <v>857</v>
      </c>
      <c r="F335" s="432" t="s">
        <v>857</v>
      </c>
      <c r="G335" s="432" t="s">
        <v>857</v>
      </c>
      <c r="H335" s="432" t="s">
        <v>857</v>
      </c>
      <c r="I335" s="433" t="s">
        <v>857</v>
      </c>
      <c r="J335" s="437" t="s">
        <v>857</v>
      </c>
      <c r="K335" s="432" t="s">
        <v>857</v>
      </c>
      <c r="L335" s="432" t="s">
        <v>857</v>
      </c>
      <c r="M335" s="432" t="s">
        <v>857</v>
      </c>
      <c r="N335" s="432" t="s">
        <v>857</v>
      </c>
      <c r="O335" s="433" t="s">
        <v>857</v>
      </c>
      <c r="P335" s="437" t="s">
        <v>857</v>
      </c>
      <c r="Q335" s="432" t="s">
        <v>857</v>
      </c>
      <c r="R335" s="432" t="s">
        <v>857</v>
      </c>
      <c r="S335" s="432" t="s">
        <v>857</v>
      </c>
      <c r="T335" s="432" t="s">
        <v>857</v>
      </c>
      <c r="U335" s="433" t="s">
        <v>857</v>
      </c>
      <c r="V335" s="450"/>
      <c r="W335" s="451"/>
      <c r="X335" s="451"/>
      <c r="Y335" s="451"/>
      <c r="Z335" s="451"/>
      <c r="AA335" s="451"/>
      <c r="AB335" s="451"/>
      <c r="AC335" s="451"/>
      <c r="AD335" s="451"/>
      <c r="AE335" s="451"/>
      <c r="AF335" s="451"/>
      <c r="AG335" s="451"/>
      <c r="AH335" s="425"/>
      <c r="AI335" s="425"/>
      <c r="AJ335" s="425"/>
      <c r="AK335" s="425"/>
      <c r="AL335" s="425"/>
      <c r="AM335" s="425"/>
      <c r="AN335" s="425"/>
      <c r="AO335" s="425"/>
      <c r="AP335" s="425"/>
      <c r="AQ335" s="425"/>
      <c r="AR335" s="425"/>
      <c r="AS335" s="425"/>
      <c r="AT335" s="425"/>
      <c r="AU335" s="425"/>
      <c r="AV335" s="425"/>
      <c r="AW335" s="425"/>
      <c r="AX335" s="425"/>
      <c r="AY335" s="426"/>
    </row>
    <row r="336" spans="2:51" ht="18" customHeight="1">
      <c r="B336" s="1946" t="str">
        <f>+$B$7</f>
        <v>集合形式住宅</v>
      </c>
      <c r="C336" s="1069" t="s">
        <v>5707</v>
      </c>
      <c r="D336" s="431" t="s">
        <v>857</v>
      </c>
      <c r="E336" s="432" t="s">
        <v>857</v>
      </c>
      <c r="F336" s="432" t="s">
        <v>857</v>
      </c>
      <c r="G336" s="432" t="s">
        <v>857</v>
      </c>
      <c r="H336" s="432" t="s">
        <v>857</v>
      </c>
      <c r="I336" s="433" t="s">
        <v>857</v>
      </c>
      <c r="J336" s="437" t="s">
        <v>857</v>
      </c>
      <c r="K336" s="432" t="s">
        <v>857</v>
      </c>
      <c r="L336" s="432" t="s">
        <v>857</v>
      </c>
      <c r="M336" s="432" t="s">
        <v>857</v>
      </c>
      <c r="N336" s="432" t="s">
        <v>857</v>
      </c>
      <c r="O336" s="433" t="s">
        <v>857</v>
      </c>
      <c r="P336" s="437" t="s">
        <v>857</v>
      </c>
      <c r="Q336" s="432" t="s">
        <v>857</v>
      </c>
      <c r="R336" s="432" t="s">
        <v>857</v>
      </c>
      <c r="S336" s="432" t="s">
        <v>857</v>
      </c>
      <c r="T336" s="432" t="s">
        <v>857</v>
      </c>
      <c r="U336" s="433" t="s">
        <v>857</v>
      </c>
      <c r="V336" s="450"/>
      <c r="W336" s="451"/>
      <c r="X336" s="451"/>
      <c r="Y336" s="451"/>
      <c r="Z336" s="451"/>
      <c r="AA336" s="451"/>
      <c r="AB336" s="451"/>
      <c r="AC336" s="451"/>
      <c r="AD336" s="451"/>
      <c r="AE336" s="451"/>
      <c r="AF336" s="451"/>
      <c r="AG336" s="451"/>
      <c r="AH336" s="425"/>
      <c r="AI336" s="425"/>
      <c r="AJ336" s="425"/>
      <c r="AK336" s="425"/>
      <c r="AL336" s="425"/>
      <c r="AM336" s="425"/>
      <c r="AN336" s="425"/>
      <c r="AO336" s="425"/>
      <c r="AP336" s="425"/>
      <c r="AQ336" s="425"/>
      <c r="AR336" s="425"/>
      <c r="AS336" s="425"/>
      <c r="AT336" s="425"/>
      <c r="AU336" s="425"/>
      <c r="AV336" s="425"/>
      <c r="AW336" s="425"/>
      <c r="AX336" s="425"/>
      <c r="AY336" s="426"/>
    </row>
    <row r="337" spans="2:51" ht="18" customHeight="1">
      <c r="B337" s="1946" t="str">
        <f>+$B$8</f>
        <v>事務所・店舗</v>
      </c>
      <c r="C337" s="430">
        <v>4310</v>
      </c>
      <c r="D337" s="431" t="s">
        <v>878</v>
      </c>
      <c r="E337" s="432">
        <v>1.6</v>
      </c>
      <c r="F337" s="432" t="s">
        <v>879</v>
      </c>
      <c r="G337" s="432">
        <v>1</v>
      </c>
      <c r="H337" s="436" t="s">
        <v>1051</v>
      </c>
      <c r="I337" s="433" t="s">
        <v>1051</v>
      </c>
      <c r="J337" s="437" t="s">
        <v>1051</v>
      </c>
      <c r="K337" s="432" t="s">
        <v>1051</v>
      </c>
      <c r="L337" s="432" t="s">
        <v>880</v>
      </c>
      <c r="M337" s="432">
        <v>1</v>
      </c>
      <c r="N337" s="432" t="s">
        <v>881</v>
      </c>
      <c r="O337" s="433">
        <v>0.5</v>
      </c>
      <c r="P337" s="437" t="s">
        <v>676</v>
      </c>
      <c r="Q337" s="432">
        <v>1.1000000000000001</v>
      </c>
      <c r="R337" s="432" t="s">
        <v>712</v>
      </c>
      <c r="S337" s="432">
        <v>1</v>
      </c>
      <c r="T337" s="432" t="s">
        <v>883</v>
      </c>
      <c r="U337" s="433">
        <v>0.8</v>
      </c>
      <c r="V337" s="450"/>
      <c r="W337" s="451"/>
      <c r="X337" s="451"/>
      <c r="Y337" s="451"/>
      <c r="Z337" s="451"/>
      <c r="AA337" s="451"/>
      <c r="AB337" s="451"/>
      <c r="AC337" s="451"/>
      <c r="AD337" s="451"/>
      <c r="AE337" s="451"/>
      <c r="AF337" s="451"/>
      <c r="AG337" s="451"/>
      <c r="AH337" s="425"/>
      <c r="AI337" s="425"/>
      <c r="AJ337" s="425"/>
      <c r="AK337" s="425"/>
      <c r="AL337" s="425"/>
      <c r="AM337" s="425"/>
      <c r="AN337" s="425"/>
      <c r="AO337" s="425"/>
      <c r="AP337" s="425"/>
      <c r="AQ337" s="425"/>
      <c r="AR337" s="425"/>
      <c r="AS337" s="425"/>
      <c r="AT337" s="425"/>
      <c r="AU337" s="425"/>
      <c r="AV337" s="425"/>
      <c r="AW337" s="425"/>
      <c r="AX337" s="425"/>
      <c r="AY337" s="426"/>
    </row>
    <row r="338" spans="2:51" ht="18" customHeight="1">
      <c r="B338" s="1946" t="str">
        <f>+$B$9</f>
        <v>病院・ホテル</v>
      </c>
      <c r="C338" s="430">
        <v>4310</v>
      </c>
      <c r="D338" s="431" t="s">
        <v>878</v>
      </c>
      <c r="E338" s="432">
        <v>1.6</v>
      </c>
      <c r="F338" s="432" t="s">
        <v>879</v>
      </c>
      <c r="G338" s="432">
        <v>1</v>
      </c>
      <c r="H338" s="436" t="s">
        <v>1051</v>
      </c>
      <c r="I338" s="433" t="s">
        <v>1051</v>
      </c>
      <c r="J338" s="437" t="s">
        <v>1051</v>
      </c>
      <c r="K338" s="432" t="s">
        <v>1051</v>
      </c>
      <c r="L338" s="432" t="s">
        <v>880</v>
      </c>
      <c r="M338" s="432">
        <v>1</v>
      </c>
      <c r="N338" s="432" t="s">
        <v>881</v>
      </c>
      <c r="O338" s="433">
        <v>0.5</v>
      </c>
      <c r="P338" s="437" t="s">
        <v>676</v>
      </c>
      <c r="Q338" s="432">
        <v>1.1000000000000001</v>
      </c>
      <c r="R338" s="432" t="s">
        <v>712</v>
      </c>
      <c r="S338" s="432">
        <v>1</v>
      </c>
      <c r="T338" s="432" t="s">
        <v>883</v>
      </c>
      <c r="U338" s="433">
        <v>0.8</v>
      </c>
      <c r="V338" s="450"/>
      <c r="W338" s="451"/>
      <c r="X338" s="451"/>
      <c r="Y338" s="451"/>
      <c r="Z338" s="451"/>
      <c r="AA338" s="451"/>
      <c r="AB338" s="451"/>
      <c r="AC338" s="451"/>
      <c r="AD338" s="451"/>
      <c r="AE338" s="451"/>
      <c r="AF338" s="451"/>
      <c r="AG338" s="451"/>
      <c r="AH338" s="425"/>
      <c r="AI338" s="425"/>
      <c r="AJ338" s="425"/>
      <c r="AK338" s="425"/>
      <c r="AL338" s="425"/>
      <c r="AM338" s="425"/>
      <c r="AN338" s="425"/>
      <c r="AO338" s="425"/>
      <c r="AP338" s="425"/>
      <c r="AQ338" s="425"/>
      <c r="AR338" s="425"/>
      <c r="AS338" s="425"/>
      <c r="AT338" s="425"/>
      <c r="AU338" s="425"/>
      <c r="AV338" s="425"/>
      <c r="AW338" s="425"/>
      <c r="AX338" s="425"/>
      <c r="AY338" s="426"/>
    </row>
    <row r="339" spans="2:51" ht="18" customHeight="1">
      <c r="B339" s="1947" t="str">
        <f>+$B$10</f>
        <v>工場・倉庫</v>
      </c>
      <c r="C339" s="1060">
        <v>1730</v>
      </c>
      <c r="D339" s="823" t="s">
        <v>878</v>
      </c>
      <c r="E339" s="446">
        <v>1.6</v>
      </c>
      <c r="F339" s="446" t="s">
        <v>879</v>
      </c>
      <c r="G339" s="446">
        <v>1</v>
      </c>
      <c r="H339" s="479" t="s">
        <v>1051</v>
      </c>
      <c r="I339" s="447" t="s">
        <v>1051</v>
      </c>
      <c r="J339" s="445" t="s">
        <v>1051</v>
      </c>
      <c r="K339" s="446" t="s">
        <v>1051</v>
      </c>
      <c r="L339" s="446" t="s">
        <v>880</v>
      </c>
      <c r="M339" s="446">
        <v>1</v>
      </c>
      <c r="N339" s="446" t="s">
        <v>881</v>
      </c>
      <c r="O339" s="447">
        <v>0.5</v>
      </c>
      <c r="P339" s="445" t="s">
        <v>676</v>
      </c>
      <c r="Q339" s="446">
        <v>1.1000000000000001</v>
      </c>
      <c r="R339" s="446" t="s">
        <v>712</v>
      </c>
      <c r="S339" s="446">
        <v>1</v>
      </c>
      <c r="T339" s="446" t="s">
        <v>883</v>
      </c>
      <c r="U339" s="447">
        <v>0.8</v>
      </c>
      <c r="V339" s="450"/>
      <c r="W339" s="451"/>
      <c r="X339" s="451"/>
      <c r="Y339" s="451"/>
      <c r="Z339" s="451"/>
      <c r="AA339" s="451"/>
      <c r="AB339" s="451"/>
      <c r="AC339" s="451"/>
      <c r="AD339" s="451"/>
      <c r="AE339" s="451"/>
      <c r="AF339" s="451"/>
      <c r="AG339" s="451"/>
      <c r="AH339" s="425"/>
      <c r="AI339" s="425"/>
      <c r="AJ339" s="425"/>
      <c r="AK339" s="425"/>
      <c r="AL339" s="425"/>
      <c r="AM339" s="425"/>
      <c r="AN339" s="425"/>
      <c r="AO339" s="425"/>
      <c r="AP339" s="425"/>
      <c r="AQ339" s="425"/>
      <c r="AR339" s="425"/>
      <c r="AS339" s="425"/>
      <c r="AT339" s="425"/>
      <c r="AU339" s="425"/>
      <c r="AV339" s="425"/>
      <c r="AW339" s="425"/>
      <c r="AX339" s="425"/>
      <c r="AY339" s="426"/>
    </row>
    <row r="340" spans="2:51" ht="18" customHeight="1">
      <c r="B340" s="1476"/>
      <c r="C340" s="1477"/>
      <c r="D340" s="1478"/>
      <c r="E340" s="1479"/>
      <c r="F340" s="1479"/>
      <c r="G340" s="1479"/>
      <c r="H340" s="1479"/>
      <c r="I340" s="1480"/>
      <c r="J340" s="1481"/>
      <c r="K340" s="1482"/>
      <c r="L340" s="1483"/>
      <c r="M340" s="1483"/>
      <c r="N340" s="1483"/>
      <c r="O340" s="1484"/>
      <c r="P340" s="455"/>
      <c r="Q340" s="455"/>
      <c r="R340" s="455"/>
      <c r="S340" s="455"/>
      <c r="T340" s="455"/>
      <c r="U340" s="455"/>
      <c r="V340" s="455"/>
      <c r="W340" s="455"/>
      <c r="X340" s="455"/>
      <c r="Y340" s="455"/>
      <c r="Z340" s="455"/>
      <c r="AA340" s="455"/>
      <c r="AB340" s="455"/>
      <c r="AC340" s="455"/>
      <c r="AD340" s="455"/>
      <c r="AE340" s="455"/>
      <c r="AF340" s="455"/>
      <c r="AG340" s="455"/>
      <c r="AH340" s="423"/>
      <c r="AI340" s="423"/>
      <c r="AJ340" s="423"/>
      <c r="AK340" s="423"/>
      <c r="AL340" s="423"/>
      <c r="AM340" s="423"/>
      <c r="AN340" s="423"/>
      <c r="AO340" s="423"/>
      <c r="AP340" s="423"/>
      <c r="AQ340" s="423"/>
      <c r="AR340" s="423"/>
      <c r="AS340" s="423"/>
      <c r="AT340" s="423"/>
      <c r="AU340" s="423"/>
      <c r="AV340" s="423"/>
      <c r="AW340" s="423"/>
      <c r="AX340" s="423"/>
      <c r="AY340" s="424"/>
    </row>
    <row r="341" spans="2:51" ht="18" customHeight="1">
      <c r="B341" s="1485"/>
      <c r="C341" s="1486"/>
      <c r="D341" s="1487"/>
      <c r="E341" s="1488"/>
      <c r="F341" s="1488"/>
      <c r="G341" s="1488"/>
      <c r="H341" s="1488"/>
      <c r="I341" s="1489"/>
      <c r="J341" s="1490"/>
      <c r="K341" s="1488"/>
      <c r="L341" s="1488"/>
      <c r="M341" s="1488"/>
      <c r="N341" s="1488"/>
      <c r="O341" s="1489"/>
      <c r="P341" s="451"/>
      <c r="Q341" s="451"/>
      <c r="R341" s="451"/>
      <c r="S341" s="451"/>
      <c r="T341" s="451"/>
      <c r="U341" s="451"/>
      <c r="V341" s="451"/>
      <c r="W341" s="451"/>
      <c r="X341" s="451"/>
      <c r="Y341" s="451"/>
      <c r="Z341" s="451"/>
      <c r="AA341" s="451"/>
      <c r="AB341" s="451"/>
      <c r="AC341" s="451"/>
      <c r="AD341" s="451"/>
      <c r="AE341" s="451"/>
      <c r="AF341" s="451"/>
      <c r="AG341" s="451"/>
      <c r="AH341" s="425"/>
      <c r="AI341" s="425"/>
      <c r="AJ341" s="425"/>
      <c r="AK341" s="425"/>
      <c r="AL341" s="425"/>
      <c r="AM341" s="425"/>
      <c r="AN341" s="425"/>
      <c r="AO341" s="425"/>
      <c r="AP341" s="425"/>
      <c r="AQ341" s="425"/>
      <c r="AR341" s="425"/>
      <c r="AS341" s="425"/>
      <c r="AT341" s="425"/>
      <c r="AU341" s="425"/>
      <c r="AV341" s="425"/>
      <c r="AW341" s="425"/>
      <c r="AX341" s="425"/>
      <c r="AY341" s="426"/>
    </row>
    <row r="342" spans="2:51" ht="18" customHeight="1">
      <c r="B342" s="1491"/>
      <c r="C342" s="430"/>
      <c r="D342" s="431"/>
      <c r="E342" s="432"/>
      <c r="F342" s="432"/>
      <c r="G342" s="432"/>
      <c r="H342" s="432"/>
      <c r="I342" s="433"/>
      <c r="J342" s="437"/>
      <c r="K342" s="432"/>
      <c r="L342" s="432"/>
      <c r="M342" s="432"/>
      <c r="N342" s="432"/>
      <c r="O342" s="433"/>
      <c r="P342" s="451"/>
      <c r="Q342" s="451"/>
      <c r="R342" s="451"/>
      <c r="S342" s="451"/>
      <c r="T342" s="451"/>
      <c r="U342" s="451"/>
      <c r="V342" s="451"/>
      <c r="W342" s="451"/>
      <c r="X342" s="451"/>
      <c r="Y342" s="451"/>
      <c r="Z342" s="451"/>
      <c r="AA342" s="451"/>
      <c r="AB342" s="451"/>
      <c r="AC342" s="451"/>
      <c r="AD342" s="451"/>
      <c r="AE342" s="451"/>
      <c r="AF342" s="451"/>
      <c r="AG342" s="451"/>
      <c r="AH342" s="425"/>
      <c r="AI342" s="425"/>
      <c r="AJ342" s="425"/>
      <c r="AK342" s="425"/>
      <c r="AL342" s="425"/>
      <c r="AM342" s="425"/>
      <c r="AN342" s="425"/>
      <c r="AO342" s="425"/>
      <c r="AP342" s="425"/>
      <c r="AQ342" s="425"/>
      <c r="AR342" s="425"/>
      <c r="AS342" s="425"/>
      <c r="AT342" s="425"/>
      <c r="AU342" s="425"/>
      <c r="AV342" s="425"/>
      <c r="AW342" s="425"/>
      <c r="AX342" s="425"/>
      <c r="AY342" s="426"/>
    </row>
    <row r="343" spans="2:51" ht="18" customHeight="1">
      <c r="B343" s="1492"/>
      <c r="C343" s="430"/>
      <c r="D343" s="431"/>
      <c r="E343" s="432"/>
      <c r="F343" s="432"/>
      <c r="G343" s="432"/>
      <c r="H343" s="432"/>
      <c r="I343" s="433"/>
      <c r="J343" s="431"/>
      <c r="K343" s="432"/>
      <c r="L343" s="432"/>
      <c r="M343" s="432"/>
      <c r="N343" s="432"/>
      <c r="O343" s="433"/>
      <c r="P343" s="451"/>
      <c r="Q343" s="451"/>
      <c r="R343" s="451"/>
      <c r="S343" s="451"/>
      <c r="T343" s="451"/>
      <c r="U343" s="451"/>
      <c r="V343" s="451"/>
      <c r="W343" s="451"/>
      <c r="X343" s="451"/>
      <c r="Y343" s="451"/>
      <c r="Z343" s="451"/>
      <c r="AA343" s="451"/>
      <c r="AB343" s="451"/>
      <c r="AC343" s="451"/>
      <c r="AD343" s="451"/>
      <c r="AE343" s="451"/>
      <c r="AF343" s="451"/>
      <c r="AG343" s="451"/>
      <c r="AH343" s="425"/>
      <c r="AI343" s="425"/>
      <c r="AJ343" s="425"/>
      <c r="AK343" s="425"/>
      <c r="AL343" s="425"/>
      <c r="AM343" s="425"/>
      <c r="AN343" s="425"/>
      <c r="AO343" s="425"/>
      <c r="AP343" s="425"/>
      <c r="AQ343" s="425"/>
      <c r="AR343" s="425"/>
      <c r="AS343" s="425"/>
      <c r="AT343" s="425"/>
      <c r="AU343" s="425"/>
      <c r="AV343" s="425"/>
      <c r="AW343" s="425"/>
      <c r="AX343" s="425"/>
      <c r="AY343" s="426"/>
    </row>
    <row r="344" spans="2:51" ht="18" customHeight="1">
      <c r="B344" s="1492"/>
      <c r="C344" s="430"/>
      <c r="D344" s="431"/>
      <c r="E344" s="432"/>
      <c r="F344" s="432"/>
      <c r="G344" s="432"/>
      <c r="H344" s="432"/>
      <c r="I344" s="433"/>
      <c r="J344" s="431"/>
      <c r="K344" s="432"/>
      <c r="L344" s="432"/>
      <c r="M344" s="432"/>
      <c r="N344" s="432"/>
      <c r="O344" s="433"/>
      <c r="P344" s="451"/>
      <c r="Q344" s="451"/>
      <c r="R344" s="451"/>
      <c r="S344" s="451"/>
      <c r="T344" s="451"/>
      <c r="U344" s="451"/>
      <c r="V344" s="451"/>
      <c r="W344" s="451"/>
      <c r="X344" s="451"/>
      <c r="Y344" s="451"/>
      <c r="Z344" s="451"/>
      <c r="AA344" s="451"/>
      <c r="AB344" s="451"/>
      <c r="AC344" s="451"/>
      <c r="AD344" s="451"/>
      <c r="AE344" s="451"/>
      <c r="AF344" s="451"/>
      <c r="AG344" s="451"/>
      <c r="AH344" s="425"/>
      <c r="AI344" s="425"/>
      <c r="AJ344" s="425"/>
      <c r="AK344" s="425"/>
      <c r="AL344" s="425"/>
      <c r="AM344" s="425"/>
      <c r="AN344" s="425"/>
      <c r="AO344" s="425"/>
      <c r="AP344" s="425"/>
      <c r="AQ344" s="425"/>
      <c r="AR344" s="425"/>
      <c r="AS344" s="425"/>
      <c r="AT344" s="425"/>
      <c r="AU344" s="425"/>
      <c r="AV344" s="425"/>
      <c r="AW344" s="425"/>
      <c r="AX344" s="425"/>
      <c r="AY344" s="426"/>
    </row>
    <row r="345" spans="2:51" ht="18" customHeight="1">
      <c r="B345" s="1492"/>
      <c r="C345" s="430"/>
      <c r="D345" s="431"/>
      <c r="E345" s="432"/>
      <c r="F345" s="432"/>
      <c r="G345" s="432"/>
      <c r="H345" s="432"/>
      <c r="I345" s="433"/>
      <c r="J345" s="431"/>
      <c r="K345" s="432"/>
      <c r="L345" s="432"/>
      <c r="M345" s="432"/>
      <c r="N345" s="432"/>
      <c r="O345" s="433"/>
      <c r="P345" s="451"/>
      <c r="Q345" s="451"/>
      <c r="R345" s="451"/>
      <c r="S345" s="451"/>
      <c r="T345" s="451"/>
      <c r="U345" s="451"/>
      <c r="V345" s="451"/>
      <c r="W345" s="451"/>
      <c r="X345" s="451"/>
      <c r="Y345" s="451"/>
      <c r="Z345" s="451"/>
      <c r="AA345" s="451"/>
      <c r="AB345" s="451"/>
      <c r="AC345" s="451"/>
      <c r="AD345" s="451"/>
      <c r="AE345" s="451"/>
      <c r="AF345" s="451"/>
      <c r="AG345" s="451"/>
      <c r="AH345" s="425"/>
      <c r="AI345" s="425"/>
      <c r="AJ345" s="425"/>
      <c r="AK345" s="425"/>
      <c r="AL345" s="425"/>
      <c r="AM345" s="425"/>
      <c r="AN345" s="425"/>
      <c r="AO345" s="425"/>
      <c r="AP345" s="425"/>
      <c r="AQ345" s="425"/>
      <c r="AR345" s="425"/>
      <c r="AS345" s="425"/>
      <c r="AT345" s="425"/>
      <c r="AU345" s="425"/>
      <c r="AV345" s="425"/>
      <c r="AW345" s="425"/>
      <c r="AX345" s="425"/>
      <c r="AY345" s="426"/>
    </row>
    <row r="346" spans="2:51" ht="18" customHeight="1">
      <c r="B346" s="1493"/>
      <c r="C346" s="430"/>
      <c r="D346" s="441"/>
      <c r="E346" s="442"/>
      <c r="F346" s="442"/>
      <c r="G346" s="442"/>
      <c r="H346" s="442"/>
      <c r="I346" s="443"/>
      <c r="J346" s="441"/>
      <c r="K346" s="442"/>
      <c r="L346" s="442"/>
      <c r="M346" s="442"/>
      <c r="N346" s="442"/>
      <c r="O346" s="443"/>
      <c r="P346" s="451"/>
      <c r="Q346" s="451"/>
      <c r="R346" s="451"/>
      <c r="S346" s="451"/>
      <c r="T346" s="451"/>
      <c r="U346" s="451"/>
      <c r="V346" s="451"/>
      <c r="W346" s="451"/>
      <c r="X346" s="451"/>
      <c r="Y346" s="451"/>
      <c r="Z346" s="451"/>
      <c r="AA346" s="451"/>
      <c r="AB346" s="451"/>
      <c r="AC346" s="451"/>
      <c r="AD346" s="451"/>
      <c r="AE346" s="451"/>
      <c r="AF346" s="451"/>
      <c r="AG346" s="451"/>
      <c r="AH346" s="425"/>
      <c r="AI346" s="425"/>
      <c r="AJ346" s="425"/>
      <c r="AK346" s="425"/>
      <c r="AL346" s="425"/>
      <c r="AM346" s="425"/>
      <c r="AN346" s="425"/>
      <c r="AO346" s="425"/>
      <c r="AP346" s="425"/>
      <c r="AQ346" s="425"/>
      <c r="AR346" s="425"/>
      <c r="AS346" s="425"/>
      <c r="AT346" s="425"/>
      <c r="AU346" s="425"/>
      <c r="AV346" s="425"/>
      <c r="AW346" s="425"/>
      <c r="AX346" s="425"/>
      <c r="AY346" s="426"/>
    </row>
    <row r="347" spans="2:51" ht="18" customHeight="1">
      <c r="B347" s="1941" t="s">
        <v>311</v>
      </c>
      <c r="C347" s="1928" t="s">
        <v>5385</v>
      </c>
      <c r="D347" s="1888" t="s">
        <v>958</v>
      </c>
      <c r="E347" s="1889"/>
      <c r="F347" s="1889"/>
      <c r="G347" s="1889"/>
      <c r="H347" s="1889"/>
      <c r="I347" s="1891"/>
      <c r="J347" s="1940" t="s">
        <v>884</v>
      </c>
      <c r="K347" s="1930"/>
      <c r="L347" s="1885"/>
      <c r="M347" s="1885"/>
      <c r="N347" s="1885"/>
      <c r="O347" s="1893"/>
      <c r="P347" s="423"/>
      <c r="Q347" s="423"/>
      <c r="R347" s="423"/>
      <c r="S347" s="423"/>
      <c r="T347" s="423"/>
      <c r="U347" s="423"/>
      <c r="V347" s="423"/>
      <c r="W347" s="423"/>
      <c r="X347" s="423"/>
      <c r="Y347" s="423"/>
      <c r="Z347" s="423"/>
      <c r="AA347" s="423"/>
      <c r="AB347" s="423"/>
      <c r="AC347" s="423"/>
      <c r="AD347" s="423"/>
      <c r="AE347" s="423"/>
      <c r="AF347" s="423"/>
      <c r="AG347" s="423"/>
      <c r="AH347" s="423"/>
      <c r="AI347" s="423"/>
      <c r="AJ347" s="423"/>
      <c r="AK347" s="423"/>
      <c r="AL347" s="423"/>
      <c r="AM347" s="423"/>
      <c r="AN347" s="423"/>
      <c r="AO347" s="423"/>
      <c r="AP347" s="423"/>
      <c r="AQ347" s="423"/>
      <c r="AR347" s="423"/>
      <c r="AS347" s="423"/>
      <c r="AT347" s="423"/>
      <c r="AU347" s="423"/>
      <c r="AV347" s="423"/>
      <c r="AW347" s="423"/>
      <c r="AX347" s="423"/>
      <c r="AY347" s="424"/>
    </row>
    <row r="348" spans="2:51" ht="18" customHeight="1">
      <c r="B348" s="1942"/>
      <c r="C348" s="1907" t="s">
        <v>5386</v>
      </c>
      <c r="D348" s="1899" t="s">
        <v>318</v>
      </c>
      <c r="E348" s="1900"/>
      <c r="F348" s="1900" t="s">
        <v>319</v>
      </c>
      <c r="G348" s="1900"/>
      <c r="H348" s="1900" t="s">
        <v>320</v>
      </c>
      <c r="I348" s="1902"/>
      <c r="J348" s="1898" t="s">
        <v>318</v>
      </c>
      <c r="K348" s="1900"/>
      <c r="L348" s="1900" t="s">
        <v>319</v>
      </c>
      <c r="M348" s="1900"/>
      <c r="N348" s="1900" t="s">
        <v>320</v>
      </c>
      <c r="O348" s="1902"/>
      <c r="P348" s="425"/>
      <c r="Q348" s="425"/>
      <c r="R348" s="425"/>
      <c r="S348" s="425"/>
      <c r="T348" s="425"/>
      <c r="U348" s="425"/>
      <c r="V348" s="425"/>
      <c r="W348" s="425"/>
      <c r="X348" s="425"/>
      <c r="Y348" s="425"/>
      <c r="Z348" s="425"/>
      <c r="AA348" s="425"/>
      <c r="AB348" s="425"/>
      <c r="AC348" s="425"/>
      <c r="AD348" s="425"/>
      <c r="AE348" s="425"/>
      <c r="AF348" s="425"/>
      <c r="AG348" s="425"/>
      <c r="AH348" s="425"/>
      <c r="AI348" s="425"/>
      <c r="AJ348" s="425"/>
      <c r="AK348" s="425"/>
      <c r="AL348" s="425"/>
      <c r="AM348" s="425"/>
      <c r="AN348" s="425"/>
      <c r="AO348" s="425"/>
      <c r="AP348" s="425"/>
      <c r="AQ348" s="425"/>
      <c r="AR348" s="425"/>
      <c r="AS348" s="425"/>
      <c r="AT348" s="425"/>
      <c r="AU348" s="425"/>
      <c r="AV348" s="425"/>
      <c r="AW348" s="425"/>
      <c r="AX348" s="425"/>
      <c r="AY348" s="426"/>
    </row>
    <row r="349" spans="2:51" ht="18" customHeight="1">
      <c r="B349" s="1945" t="str">
        <f>+$B$6</f>
        <v>戸建形式住宅</v>
      </c>
      <c r="C349" s="588" t="s">
        <v>5654</v>
      </c>
      <c r="D349" s="427" t="s">
        <v>23</v>
      </c>
      <c r="E349" s="428" t="s">
        <v>23</v>
      </c>
      <c r="F349" s="428" t="s">
        <v>23</v>
      </c>
      <c r="G349" s="428" t="s">
        <v>23</v>
      </c>
      <c r="H349" s="428" t="s">
        <v>23</v>
      </c>
      <c r="I349" s="429" t="s">
        <v>23</v>
      </c>
      <c r="J349" s="427" t="s">
        <v>23</v>
      </c>
      <c r="K349" s="428" t="s">
        <v>23</v>
      </c>
      <c r="L349" s="428" t="s">
        <v>23</v>
      </c>
      <c r="M349" s="428" t="s">
        <v>23</v>
      </c>
      <c r="N349" s="428" t="s">
        <v>23</v>
      </c>
      <c r="O349" s="429" t="s">
        <v>23</v>
      </c>
      <c r="P349" s="425"/>
      <c r="Q349" s="425"/>
      <c r="R349" s="425"/>
      <c r="S349" s="425"/>
      <c r="T349" s="425"/>
      <c r="U349" s="425"/>
      <c r="V349" s="425"/>
      <c r="W349" s="425"/>
      <c r="X349" s="425"/>
      <c r="Y349" s="425"/>
      <c r="Z349" s="425"/>
      <c r="AA349" s="425"/>
      <c r="AB349" s="425"/>
      <c r="AC349" s="425"/>
      <c r="AD349" s="425"/>
      <c r="AE349" s="425"/>
      <c r="AF349" s="425"/>
      <c r="AG349" s="425"/>
      <c r="AH349" s="425"/>
      <c r="AI349" s="425"/>
      <c r="AJ349" s="425"/>
      <c r="AK349" s="425"/>
      <c r="AL349" s="425"/>
      <c r="AM349" s="425"/>
      <c r="AN349" s="425"/>
      <c r="AO349" s="425"/>
      <c r="AP349" s="425"/>
      <c r="AQ349" s="425"/>
      <c r="AR349" s="425"/>
      <c r="AS349" s="425"/>
      <c r="AT349" s="425"/>
      <c r="AU349" s="425"/>
      <c r="AV349" s="425"/>
      <c r="AW349" s="425"/>
      <c r="AX349" s="425"/>
      <c r="AY349" s="426"/>
    </row>
    <row r="350" spans="2:51" ht="18" customHeight="1">
      <c r="B350" s="1946" t="str">
        <f>+$B$7</f>
        <v>集合形式住宅</v>
      </c>
      <c r="C350" s="430">
        <v>1370</v>
      </c>
      <c r="D350" s="431" t="s">
        <v>5387</v>
      </c>
      <c r="E350" s="432">
        <v>2</v>
      </c>
      <c r="F350" s="432" t="s">
        <v>5388</v>
      </c>
      <c r="G350" s="432">
        <v>1</v>
      </c>
      <c r="H350" s="432" t="s">
        <v>5389</v>
      </c>
      <c r="I350" s="433">
        <v>0.5</v>
      </c>
      <c r="J350" s="437" t="s">
        <v>375</v>
      </c>
      <c r="K350" s="432">
        <v>1.2</v>
      </c>
      <c r="L350" s="432" t="s">
        <v>324</v>
      </c>
      <c r="M350" s="432">
        <v>1</v>
      </c>
      <c r="N350" s="432" t="s">
        <v>376</v>
      </c>
      <c r="O350" s="433">
        <v>0.8</v>
      </c>
      <c r="P350" s="425"/>
      <c r="Q350" s="425"/>
      <c r="R350" s="425"/>
      <c r="S350" s="425"/>
      <c r="T350" s="425"/>
      <c r="U350" s="425"/>
      <c r="V350" s="425"/>
      <c r="W350" s="425"/>
      <c r="X350" s="425"/>
      <c r="Y350" s="425"/>
      <c r="Z350" s="425"/>
      <c r="AA350" s="425"/>
      <c r="AB350" s="425"/>
      <c r="AC350" s="425"/>
      <c r="AD350" s="425"/>
      <c r="AE350" s="425"/>
      <c r="AF350" s="425"/>
      <c r="AG350" s="425"/>
      <c r="AH350" s="425"/>
      <c r="AI350" s="425"/>
      <c r="AJ350" s="425"/>
      <c r="AK350" s="425"/>
      <c r="AL350" s="425"/>
      <c r="AM350" s="425"/>
      <c r="AN350" s="425"/>
      <c r="AO350" s="425"/>
      <c r="AP350" s="425"/>
      <c r="AQ350" s="425"/>
      <c r="AR350" s="425"/>
      <c r="AS350" s="425"/>
      <c r="AT350" s="425"/>
      <c r="AU350" s="425"/>
      <c r="AV350" s="425"/>
      <c r="AW350" s="425"/>
      <c r="AX350" s="425"/>
      <c r="AY350" s="426"/>
    </row>
    <row r="351" spans="2:51" ht="18" customHeight="1">
      <c r="B351" s="1946" t="str">
        <f>+$B$8</f>
        <v>事務所・店舗</v>
      </c>
      <c r="C351" s="430" t="s">
        <v>5655</v>
      </c>
      <c r="D351" s="431" t="s">
        <v>23</v>
      </c>
      <c r="E351" s="432" t="s">
        <v>23</v>
      </c>
      <c r="F351" s="432" t="s">
        <v>23</v>
      </c>
      <c r="G351" s="432" t="s">
        <v>23</v>
      </c>
      <c r="H351" s="432" t="s">
        <v>23</v>
      </c>
      <c r="I351" s="433" t="s">
        <v>23</v>
      </c>
      <c r="J351" s="431" t="s">
        <v>23</v>
      </c>
      <c r="K351" s="432" t="s">
        <v>23</v>
      </c>
      <c r="L351" s="432" t="s">
        <v>23</v>
      </c>
      <c r="M351" s="432" t="s">
        <v>23</v>
      </c>
      <c r="N351" s="432" t="s">
        <v>23</v>
      </c>
      <c r="O351" s="433" t="s">
        <v>23</v>
      </c>
      <c r="P351" s="425"/>
      <c r="Q351" s="425"/>
      <c r="R351" s="425"/>
      <c r="S351" s="425"/>
      <c r="T351" s="425"/>
      <c r="U351" s="425"/>
      <c r="V351" s="425"/>
      <c r="W351" s="425"/>
      <c r="X351" s="425"/>
      <c r="Y351" s="425"/>
      <c r="Z351" s="425"/>
      <c r="AA351" s="425"/>
      <c r="AB351" s="425"/>
      <c r="AC351" s="425"/>
      <c r="AD351" s="425"/>
      <c r="AE351" s="425"/>
      <c r="AF351" s="425"/>
      <c r="AG351" s="425"/>
      <c r="AH351" s="425"/>
      <c r="AI351" s="425"/>
      <c r="AJ351" s="425"/>
      <c r="AK351" s="425"/>
      <c r="AL351" s="425"/>
      <c r="AM351" s="425"/>
      <c r="AN351" s="425"/>
      <c r="AO351" s="425"/>
      <c r="AP351" s="425"/>
      <c r="AQ351" s="425"/>
      <c r="AR351" s="425"/>
      <c r="AS351" s="425"/>
      <c r="AT351" s="425"/>
      <c r="AU351" s="425"/>
      <c r="AV351" s="425"/>
      <c r="AW351" s="425"/>
      <c r="AX351" s="425"/>
      <c r="AY351" s="426"/>
    </row>
    <row r="352" spans="2:51" ht="18" customHeight="1">
      <c r="B352" s="1946" t="str">
        <f>+$B$9</f>
        <v>病院・ホテル</v>
      </c>
      <c r="C352" s="430" t="s">
        <v>5655</v>
      </c>
      <c r="D352" s="431" t="s">
        <v>23</v>
      </c>
      <c r="E352" s="432" t="s">
        <v>23</v>
      </c>
      <c r="F352" s="432" t="s">
        <v>23</v>
      </c>
      <c r="G352" s="432" t="s">
        <v>23</v>
      </c>
      <c r="H352" s="432" t="s">
        <v>23</v>
      </c>
      <c r="I352" s="433" t="s">
        <v>23</v>
      </c>
      <c r="J352" s="431" t="s">
        <v>23</v>
      </c>
      <c r="K352" s="432" t="s">
        <v>23</v>
      </c>
      <c r="L352" s="432" t="s">
        <v>23</v>
      </c>
      <c r="M352" s="432" t="s">
        <v>23</v>
      </c>
      <c r="N352" s="432" t="s">
        <v>23</v>
      </c>
      <c r="O352" s="433" t="s">
        <v>23</v>
      </c>
      <c r="P352" s="425"/>
      <c r="Q352" s="425"/>
      <c r="R352" s="425"/>
      <c r="S352" s="425"/>
      <c r="T352" s="425"/>
      <c r="U352" s="425"/>
      <c r="V352" s="425"/>
      <c r="W352" s="425"/>
      <c r="X352" s="425"/>
      <c r="Y352" s="425"/>
      <c r="Z352" s="425"/>
      <c r="AA352" s="425"/>
      <c r="AB352" s="425"/>
      <c r="AC352" s="425"/>
      <c r="AD352" s="425"/>
      <c r="AE352" s="425"/>
      <c r="AF352" s="425"/>
      <c r="AG352" s="425"/>
      <c r="AH352" s="425"/>
      <c r="AI352" s="425"/>
      <c r="AJ352" s="425"/>
      <c r="AK352" s="425"/>
      <c r="AL352" s="425"/>
      <c r="AM352" s="425"/>
      <c r="AN352" s="425"/>
      <c r="AO352" s="425"/>
      <c r="AP352" s="425"/>
      <c r="AQ352" s="425"/>
      <c r="AR352" s="425"/>
      <c r="AS352" s="425"/>
      <c r="AT352" s="425"/>
      <c r="AU352" s="425"/>
      <c r="AV352" s="425"/>
      <c r="AW352" s="425"/>
      <c r="AX352" s="425"/>
      <c r="AY352" s="426"/>
    </row>
    <row r="353" spans="2:51" ht="18" customHeight="1">
      <c r="B353" s="1947" t="str">
        <f>+$B$10</f>
        <v>工場・倉庫</v>
      </c>
      <c r="C353" s="430" t="s">
        <v>5655</v>
      </c>
      <c r="D353" s="441" t="s">
        <v>23</v>
      </c>
      <c r="E353" s="442" t="s">
        <v>23</v>
      </c>
      <c r="F353" s="442" t="s">
        <v>23</v>
      </c>
      <c r="G353" s="442" t="s">
        <v>23</v>
      </c>
      <c r="H353" s="442" t="s">
        <v>23</v>
      </c>
      <c r="I353" s="443" t="s">
        <v>23</v>
      </c>
      <c r="J353" s="441" t="s">
        <v>23</v>
      </c>
      <c r="K353" s="442" t="s">
        <v>23</v>
      </c>
      <c r="L353" s="442" t="s">
        <v>23</v>
      </c>
      <c r="M353" s="442" t="s">
        <v>23</v>
      </c>
      <c r="N353" s="442" t="s">
        <v>23</v>
      </c>
      <c r="O353" s="443" t="s">
        <v>23</v>
      </c>
      <c r="P353" s="452"/>
      <c r="Q353" s="452"/>
      <c r="R353" s="452"/>
      <c r="S353" s="452"/>
      <c r="T353" s="452"/>
      <c r="U353" s="452"/>
      <c r="V353" s="452"/>
      <c r="W353" s="452"/>
      <c r="X353" s="452"/>
      <c r="Y353" s="452"/>
      <c r="Z353" s="452"/>
      <c r="AA353" s="452"/>
      <c r="AB353" s="452"/>
      <c r="AC353" s="452"/>
      <c r="AD353" s="452"/>
      <c r="AE353" s="452"/>
      <c r="AF353" s="452"/>
      <c r="AG353" s="452"/>
      <c r="AH353" s="452"/>
      <c r="AI353" s="452"/>
      <c r="AJ353" s="452"/>
      <c r="AK353" s="452"/>
      <c r="AL353" s="452"/>
      <c r="AM353" s="452"/>
      <c r="AN353" s="452"/>
      <c r="AO353" s="452"/>
      <c r="AP353" s="452"/>
      <c r="AQ353" s="452"/>
      <c r="AR353" s="452"/>
      <c r="AS353" s="452"/>
      <c r="AT353" s="452"/>
      <c r="AU353" s="452"/>
      <c r="AV353" s="452"/>
      <c r="AW353" s="452"/>
      <c r="AX353" s="452"/>
      <c r="AY353" s="453"/>
    </row>
    <row r="354" spans="2:51" ht="18" customHeight="1">
      <c r="B354" s="1941" t="s">
        <v>311</v>
      </c>
      <c r="C354" s="1916" t="s">
        <v>196</v>
      </c>
      <c r="D354" s="1887" t="s">
        <v>886</v>
      </c>
      <c r="E354" s="1889"/>
      <c r="F354" s="1889"/>
      <c r="G354" s="1889"/>
      <c r="H354" s="1889"/>
      <c r="I354" s="1891"/>
      <c r="J354" s="545"/>
      <c r="K354" s="545"/>
      <c r="L354" s="423"/>
      <c r="M354" s="423"/>
      <c r="N354" s="423"/>
      <c r="O354" s="423"/>
      <c r="P354" s="423"/>
      <c r="Q354" s="423"/>
      <c r="R354" s="423"/>
      <c r="S354" s="423"/>
      <c r="T354" s="423"/>
      <c r="U354" s="423"/>
      <c r="V354" s="423"/>
      <c r="W354" s="423"/>
      <c r="X354" s="423"/>
      <c r="Y354" s="423"/>
      <c r="Z354" s="423"/>
      <c r="AA354" s="423"/>
      <c r="AB354" s="423"/>
      <c r="AC354" s="423"/>
      <c r="AD354" s="423"/>
      <c r="AE354" s="423"/>
      <c r="AF354" s="423"/>
      <c r="AG354" s="423"/>
      <c r="AH354" s="423"/>
      <c r="AI354" s="423"/>
      <c r="AJ354" s="423"/>
      <c r="AK354" s="423"/>
      <c r="AL354" s="423"/>
      <c r="AM354" s="423"/>
      <c r="AN354" s="423"/>
      <c r="AO354" s="423"/>
      <c r="AP354" s="423"/>
      <c r="AQ354" s="423"/>
      <c r="AR354" s="423"/>
      <c r="AS354" s="423"/>
      <c r="AT354" s="423"/>
      <c r="AU354" s="423"/>
      <c r="AV354" s="423"/>
      <c r="AW354" s="423"/>
      <c r="AX354" s="423"/>
      <c r="AY354" s="424"/>
    </row>
    <row r="355" spans="2:51" ht="18" customHeight="1">
      <c r="B355" s="1942"/>
      <c r="C355" s="1907" t="s">
        <v>887</v>
      </c>
      <c r="D355" s="1898" t="s">
        <v>318</v>
      </c>
      <c r="E355" s="1900"/>
      <c r="F355" s="1900" t="s">
        <v>319</v>
      </c>
      <c r="G355" s="1900"/>
      <c r="H355" s="1900" t="s">
        <v>320</v>
      </c>
      <c r="I355" s="1902"/>
      <c r="J355" s="547"/>
      <c r="K355" s="547"/>
      <c r="L355" s="425"/>
      <c r="M355" s="425"/>
      <c r="N355" s="425"/>
      <c r="O355" s="425"/>
      <c r="P355" s="425"/>
      <c r="Q355" s="425"/>
      <c r="R355" s="425"/>
      <c r="S355" s="425"/>
      <c r="T355" s="425"/>
      <c r="U355" s="425"/>
      <c r="V355" s="425"/>
      <c r="W355" s="425"/>
      <c r="X355" s="425"/>
      <c r="Y355" s="425"/>
      <c r="Z355" s="425"/>
      <c r="AA355" s="425"/>
      <c r="AB355" s="425"/>
      <c r="AC355" s="425"/>
      <c r="AD355" s="425"/>
      <c r="AE355" s="425"/>
      <c r="AF355" s="425"/>
      <c r="AG355" s="425"/>
      <c r="AH355" s="425"/>
      <c r="AI355" s="425"/>
      <c r="AJ355" s="425"/>
      <c r="AK355" s="425"/>
      <c r="AL355" s="425"/>
      <c r="AM355" s="425"/>
      <c r="AN355" s="425"/>
      <c r="AO355" s="425"/>
      <c r="AP355" s="425"/>
      <c r="AQ355" s="425"/>
      <c r="AR355" s="425"/>
      <c r="AS355" s="425"/>
      <c r="AT355" s="425"/>
      <c r="AU355" s="425"/>
      <c r="AV355" s="425"/>
      <c r="AW355" s="425"/>
      <c r="AX355" s="425"/>
      <c r="AY355" s="426"/>
    </row>
    <row r="356" spans="2:51" ht="18" customHeight="1">
      <c r="B356" s="1945" t="str">
        <f>+$B$6</f>
        <v>戸建形式住宅</v>
      </c>
      <c r="C356" s="588" t="s">
        <v>5706</v>
      </c>
      <c r="D356" s="434" t="s">
        <v>23</v>
      </c>
      <c r="E356" s="432" t="s">
        <v>23</v>
      </c>
      <c r="F356" s="435" t="s">
        <v>23</v>
      </c>
      <c r="G356" s="432" t="s">
        <v>23</v>
      </c>
      <c r="H356" s="435" t="s">
        <v>23</v>
      </c>
      <c r="I356" s="433" t="s">
        <v>23</v>
      </c>
      <c r="J356" s="589"/>
      <c r="K356" s="547"/>
      <c r="L356" s="425"/>
      <c r="M356" s="425"/>
      <c r="N356" s="425"/>
      <c r="O356" s="425"/>
      <c r="P356" s="425"/>
      <c r="Q356" s="425"/>
      <c r="R356" s="425"/>
      <c r="S356" s="425"/>
      <c r="T356" s="425"/>
      <c r="U356" s="425"/>
      <c r="V356" s="425"/>
      <c r="W356" s="425"/>
      <c r="X356" s="425"/>
      <c r="Y356" s="425"/>
      <c r="Z356" s="425"/>
      <c r="AA356" s="425"/>
      <c r="AB356" s="425"/>
      <c r="AC356" s="425"/>
      <c r="AD356" s="425"/>
      <c r="AE356" s="425"/>
      <c r="AF356" s="425"/>
      <c r="AG356" s="425"/>
      <c r="AH356" s="425"/>
      <c r="AI356" s="425"/>
      <c r="AJ356" s="425"/>
      <c r="AK356" s="425"/>
      <c r="AL356" s="425"/>
      <c r="AM356" s="425"/>
      <c r="AN356" s="425"/>
      <c r="AO356" s="425"/>
      <c r="AP356" s="425"/>
      <c r="AQ356" s="425"/>
      <c r="AR356" s="425"/>
      <c r="AS356" s="425"/>
      <c r="AT356" s="425"/>
      <c r="AU356" s="425"/>
      <c r="AV356" s="425"/>
      <c r="AW356" s="425"/>
      <c r="AX356" s="425"/>
      <c r="AY356" s="426"/>
    </row>
    <row r="357" spans="2:51" ht="18" customHeight="1">
      <c r="B357" s="1946" t="str">
        <f>+$B$7</f>
        <v>集合形式住宅</v>
      </c>
      <c r="C357" s="1069" t="s">
        <v>5707</v>
      </c>
      <c r="D357" s="434" t="s">
        <v>885</v>
      </c>
      <c r="E357" s="432" t="s">
        <v>885</v>
      </c>
      <c r="F357" s="435" t="s">
        <v>885</v>
      </c>
      <c r="G357" s="432" t="s">
        <v>885</v>
      </c>
      <c r="H357" s="435" t="s">
        <v>885</v>
      </c>
      <c r="I357" s="433" t="s">
        <v>885</v>
      </c>
      <c r="J357" s="589"/>
      <c r="K357" s="547"/>
      <c r="L357" s="425"/>
      <c r="M357" s="425"/>
      <c r="N357" s="425"/>
      <c r="O357" s="425"/>
      <c r="P357" s="425"/>
      <c r="Q357" s="425"/>
      <c r="R357" s="425"/>
      <c r="S357" s="425"/>
      <c r="T357" s="425"/>
      <c r="U357" s="425"/>
      <c r="V357" s="425"/>
      <c r="W357" s="425"/>
      <c r="X357" s="425"/>
      <c r="Y357" s="425"/>
      <c r="Z357" s="425"/>
      <c r="AA357" s="425"/>
      <c r="AB357" s="425"/>
      <c r="AC357" s="425"/>
      <c r="AD357" s="425"/>
      <c r="AE357" s="425"/>
      <c r="AF357" s="425"/>
      <c r="AG357" s="425"/>
      <c r="AH357" s="425"/>
      <c r="AI357" s="425"/>
      <c r="AJ357" s="425"/>
      <c r="AK357" s="425"/>
      <c r="AL357" s="425"/>
      <c r="AM357" s="425"/>
      <c r="AN357" s="425"/>
      <c r="AO357" s="425"/>
      <c r="AP357" s="425"/>
      <c r="AQ357" s="425"/>
      <c r="AR357" s="425"/>
      <c r="AS357" s="425"/>
      <c r="AT357" s="425"/>
      <c r="AU357" s="425"/>
      <c r="AV357" s="425"/>
      <c r="AW357" s="425"/>
      <c r="AX357" s="425"/>
      <c r="AY357" s="426"/>
    </row>
    <row r="358" spans="2:51" ht="18" customHeight="1">
      <c r="B358" s="1946" t="str">
        <f>+$B$8</f>
        <v>事務所・店舗</v>
      </c>
      <c r="C358" s="430">
        <v>20890</v>
      </c>
      <c r="D358" s="434">
        <v>50</v>
      </c>
      <c r="E358" s="432">
        <v>1.6</v>
      </c>
      <c r="F358" s="435">
        <v>40</v>
      </c>
      <c r="G358" s="432">
        <v>1</v>
      </c>
      <c r="H358" s="435">
        <v>30</v>
      </c>
      <c r="I358" s="433">
        <v>0.8</v>
      </c>
      <c r="J358" s="589"/>
      <c r="K358" s="547"/>
      <c r="L358" s="425"/>
      <c r="M358" s="425"/>
      <c r="N358" s="425"/>
      <c r="O358" s="425"/>
      <c r="P358" s="425"/>
      <c r="Q358" s="425"/>
      <c r="R358" s="425"/>
      <c r="S358" s="425"/>
      <c r="T358" s="425"/>
      <c r="U358" s="425"/>
      <c r="V358" s="425"/>
      <c r="W358" s="425"/>
      <c r="X358" s="425"/>
      <c r="Y358" s="425"/>
      <c r="Z358" s="425"/>
      <c r="AA358" s="425"/>
      <c r="AB358" s="425"/>
      <c r="AC358" s="425"/>
      <c r="AD358" s="425"/>
      <c r="AE358" s="425"/>
      <c r="AF358" s="425"/>
      <c r="AG358" s="425"/>
      <c r="AH358" s="425"/>
      <c r="AI358" s="425"/>
      <c r="AJ358" s="425"/>
      <c r="AK358" s="425"/>
      <c r="AL358" s="425"/>
      <c r="AM358" s="425"/>
      <c r="AN358" s="425"/>
      <c r="AO358" s="425"/>
      <c r="AP358" s="425"/>
      <c r="AQ358" s="425"/>
      <c r="AR358" s="425"/>
      <c r="AS358" s="425"/>
      <c r="AT358" s="425"/>
      <c r="AU358" s="425"/>
      <c r="AV358" s="425"/>
      <c r="AW358" s="425"/>
      <c r="AX358" s="425"/>
      <c r="AY358" s="426"/>
    </row>
    <row r="359" spans="2:51" ht="18" customHeight="1">
      <c r="B359" s="1946" t="str">
        <f>+$B$9</f>
        <v>病院・ホテル</v>
      </c>
      <c r="C359" s="430">
        <v>20890</v>
      </c>
      <c r="D359" s="434">
        <v>50</v>
      </c>
      <c r="E359" s="432">
        <v>1.6</v>
      </c>
      <c r="F359" s="435">
        <v>40</v>
      </c>
      <c r="G359" s="432">
        <v>1</v>
      </c>
      <c r="H359" s="435">
        <v>30</v>
      </c>
      <c r="I359" s="433">
        <v>0.8</v>
      </c>
      <c r="J359" s="589"/>
      <c r="K359" s="547"/>
      <c r="L359" s="425"/>
      <c r="M359" s="425"/>
      <c r="N359" s="425"/>
      <c r="O359" s="425"/>
      <c r="P359" s="425"/>
      <c r="Q359" s="425"/>
      <c r="R359" s="425"/>
      <c r="S359" s="425"/>
      <c r="T359" s="425"/>
      <c r="U359" s="425"/>
      <c r="V359" s="425"/>
      <c r="W359" s="425"/>
      <c r="X359" s="425"/>
      <c r="Y359" s="425"/>
      <c r="Z359" s="425"/>
      <c r="AA359" s="425"/>
      <c r="AB359" s="425"/>
      <c r="AC359" s="425"/>
      <c r="AD359" s="425"/>
      <c r="AE359" s="425"/>
      <c r="AF359" s="425"/>
      <c r="AG359" s="425"/>
      <c r="AH359" s="425"/>
      <c r="AI359" s="425"/>
      <c r="AJ359" s="425"/>
      <c r="AK359" s="425"/>
      <c r="AL359" s="425"/>
      <c r="AM359" s="425"/>
      <c r="AN359" s="425"/>
      <c r="AO359" s="425"/>
      <c r="AP359" s="425"/>
      <c r="AQ359" s="425"/>
      <c r="AR359" s="425"/>
      <c r="AS359" s="425"/>
      <c r="AT359" s="425"/>
      <c r="AU359" s="425"/>
      <c r="AV359" s="425"/>
      <c r="AW359" s="425"/>
      <c r="AX359" s="425"/>
      <c r="AY359" s="426"/>
    </row>
    <row r="360" spans="2:51" ht="18" customHeight="1">
      <c r="B360" s="1947" t="str">
        <f>+$B$10</f>
        <v>工場・倉庫</v>
      </c>
      <c r="C360" s="430">
        <v>20890</v>
      </c>
      <c r="D360" s="1195">
        <v>50</v>
      </c>
      <c r="E360" s="446">
        <v>1.6</v>
      </c>
      <c r="F360" s="1196">
        <v>40</v>
      </c>
      <c r="G360" s="446">
        <v>1</v>
      </c>
      <c r="H360" s="1196">
        <v>30</v>
      </c>
      <c r="I360" s="447">
        <v>0.8</v>
      </c>
      <c r="J360" s="590"/>
      <c r="K360" s="577"/>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5"/>
      <c r="AL360" s="425"/>
      <c r="AM360" s="425"/>
      <c r="AN360" s="425"/>
      <c r="AO360" s="425"/>
      <c r="AP360" s="425"/>
      <c r="AQ360" s="425"/>
      <c r="AR360" s="425"/>
      <c r="AS360" s="425"/>
      <c r="AT360" s="425"/>
      <c r="AU360" s="425"/>
      <c r="AV360" s="425"/>
      <c r="AW360" s="425"/>
      <c r="AX360" s="425"/>
      <c r="AY360" s="426"/>
    </row>
    <row r="361" spans="2:51" ht="18" customHeight="1">
      <c r="B361" s="1941" t="s">
        <v>311</v>
      </c>
      <c r="C361" s="1916" t="s">
        <v>888</v>
      </c>
      <c r="D361" s="1887" t="s">
        <v>889</v>
      </c>
      <c r="E361" s="1889"/>
      <c r="F361" s="1889"/>
      <c r="G361" s="1889"/>
      <c r="H361" s="1889"/>
      <c r="I361" s="1891"/>
      <c r="J361" s="459"/>
      <c r="K361" s="455"/>
      <c r="L361" s="455"/>
      <c r="M361" s="455"/>
      <c r="N361" s="455"/>
      <c r="O361" s="455"/>
      <c r="P361" s="455"/>
      <c r="Q361" s="455"/>
      <c r="R361" s="455"/>
      <c r="S361" s="455"/>
      <c r="T361" s="455"/>
      <c r="U361" s="455"/>
      <c r="V361" s="423"/>
      <c r="W361" s="423"/>
      <c r="X361" s="423"/>
      <c r="Y361" s="423"/>
      <c r="Z361" s="423"/>
      <c r="AA361" s="423"/>
      <c r="AB361" s="423"/>
      <c r="AC361" s="423"/>
      <c r="AD361" s="423"/>
      <c r="AE361" s="423"/>
      <c r="AF361" s="423"/>
      <c r="AG361" s="423"/>
      <c r="AH361" s="423"/>
      <c r="AI361" s="423"/>
      <c r="AJ361" s="423"/>
      <c r="AK361" s="423"/>
      <c r="AL361" s="423"/>
      <c r="AM361" s="423"/>
      <c r="AN361" s="423"/>
      <c r="AO361" s="423"/>
      <c r="AP361" s="423"/>
      <c r="AQ361" s="423"/>
      <c r="AR361" s="423"/>
      <c r="AS361" s="423"/>
      <c r="AT361" s="423"/>
      <c r="AU361" s="423"/>
      <c r="AV361" s="423"/>
      <c r="AW361" s="423"/>
      <c r="AX361" s="423"/>
      <c r="AY361" s="424"/>
    </row>
    <row r="362" spans="2:51" ht="18" customHeight="1">
      <c r="B362" s="1942"/>
      <c r="C362" s="1907" t="s">
        <v>890</v>
      </c>
      <c r="D362" s="1898" t="s">
        <v>318</v>
      </c>
      <c r="E362" s="1900"/>
      <c r="F362" s="1900" t="s">
        <v>319</v>
      </c>
      <c r="G362" s="1900"/>
      <c r="H362" s="1900" t="s">
        <v>320</v>
      </c>
      <c r="I362" s="1902"/>
      <c r="J362" s="565" t="s">
        <v>5625</v>
      </c>
      <c r="K362" s="451"/>
      <c r="L362" s="451"/>
      <c r="M362" s="451"/>
      <c r="N362" s="451"/>
      <c r="O362" s="451"/>
      <c r="P362" s="451"/>
      <c r="Q362" s="451"/>
      <c r="R362" s="451"/>
      <c r="S362" s="451"/>
      <c r="T362" s="451"/>
      <c r="U362" s="451"/>
      <c r="V362" s="425"/>
      <c r="W362" s="425"/>
      <c r="X362" s="425"/>
      <c r="Y362" s="425"/>
      <c r="Z362" s="425"/>
      <c r="AA362" s="425"/>
      <c r="AB362" s="425"/>
      <c r="AC362" s="425"/>
      <c r="AD362" s="425"/>
      <c r="AE362" s="425"/>
      <c r="AF362" s="425"/>
      <c r="AG362" s="425"/>
      <c r="AH362" s="425"/>
      <c r="AI362" s="425"/>
      <c r="AJ362" s="425"/>
      <c r="AK362" s="425"/>
      <c r="AL362" s="425"/>
      <c r="AM362" s="425"/>
      <c r="AN362" s="425"/>
      <c r="AO362" s="425"/>
      <c r="AP362" s="425"/>
      <c r="AQ362" s="425"/>
      <c r="AR362" s="425"/>
      <c r="AS362" s="425"/>
      <c r="AT362" s="425"/>
      <c r="AU362" s="425"/>
      <c r="AV362" s="425"/>
      <c r="AW362" s="425"/>
      <c r="AX362" s="425"/>
      <c r="AY362" s="426"/>
    </row>
    <row r="363" spans="2:51" ht="18" customHeight="1">
      <c r="B363" s="1945" t="str">
        <f>+$B$6</f>
        <v>戸建形式住宅</v>
      </c>
      <c r="C363" s="588" t="s">
        <v>23</v>
      </c>
      <c r="D363" s="431" t="s">
        <v>857</v>
      </c>
      <c r="E363" s="432" t="s">
        <v>857</v>
      </c>
      <c r="F363" s="432" t="s">
        <v>857</v>
      </c>
      <c r="G363" s="432" t="s">
        <v>857</v>
      </c>
      <c r="H363" s="432" t="s">
        <v>857</v>
      </c>
      <c r="I363" s="432" t="s">
        <v>857</v>
      </c>
      <c r="J363" s="450"/>
      <c r="K363" s="451"/>
      <c r="L363" s="451"/>
      <c r="M363" s="451"/>
      <c r="N363" s="451"/>
      <c r="O363" s="451"/>
      <c r="P363" s="451"/>
      <c r="Q363" s="451"/>
      <c r="R363" s="451"/>
      <c r="S363" s="451"/>
      <c r="T363" s="451"/>
      <c r="U363" s="451"/>
      <c r="V363" s="425"/>
      <c r="W363" s="425"/>
      <c r="X363" s="425"/>
      <c r="Y363" s="425"/>
      <c r="Z363" s="425"/>
      <c r="AA363" s="425"/>
      <c r="AB363" s="425"/>
      <c r="AC363" s="425"/>
      <c r="AD363" s="425"/>
      <c r="AE363" s="425"/>
      <c r="AF363" s="425"/>
      <c r="AG363" s="425"/>
      <c r="AH363" s="425"/>
      <c r="AI363" s="425"/>
      <c r="AJ363" s="425"/>
      <c r="AK363" s="425"/>
      <c r="AL363" s="425"/>
      <c r="AM363" s="425"/>
      <c r="AN363" s="425"/>
      <c r="AO363" s="425"/>
      <c r="AP363" s="425"/>
      <c r="AQ363" s="425"/>
      <c r="AR363" s="425"/>
      <c r="AS363" s="425"/>
      <c r="AT363" s="425"/>
      <c r="AU363" s="425"/>
      <c r="AV363" s="425"/>
      <c r="AW363" s="425"/>
      <c r="AX363" s="425"/>
      <c r="AY363" s="426"/>
    </row>
    <row r="364" spans="2:51" ht="18" customHeight="1">
      <c r="B364" s="1946" t="str">
        <f>+$B$7</f>
        <v>集合形式住宅</v>
      </c>
      <c r="C364" s="430">
        <v>33290</v>
      </c>
      <c r="D364" s="437" t="s">
        <v>741</v>
      </c>
      <c r="E364" s="432">
        <v>1.1000000000000001</v>
      </c>
      <c r="F364" s="432" t="s">
        <v>712</v>
      </c>
      <c r="G364" s="432">
        <v>1</v>
      </c>
      <c r="H364" s="432" t="s">
        <v>743</v>
      </c>
      <c r="I364" s="433">
        <v>0.9</v>
      </c>
      <c r="J364" s="450"/>
      <c r="K364" s="451"/>
      <c r="L364" s="451"/>
      <c r="M364" s="451"/>
      <c r="N364" s="451"/>
      <c r="O364" s="451"/>
      <c r="P364" s="451"/>
      <c r="Q364" s="451"/>
      <c r="R364" s="451"/>
      <c r="S364" s="451"/>
      <c r="T364" s="451"/>
      <c r="U364" s="451"/>
      <c r="V364" s="425"/>
      <c r="W364" s="425"/>
      <c r="X364" s="425"/>
      <c r="Y364" s="425"/>
      <c r="Z364" s="425"/>
      <c r="AA364" s="425"/>
      <c r="AB364" s="425"/>
      <c r="AC364" s="425"/>
      <c r="AD364" s="425"/>
      <c r="AE364" s="425"/>
      <c r="AF364" s="425"/>
      <c r="AG364" s="425"/>
      <c r="AH364" s="425"/>
      <c r="AI364" s="425"/>
      <c r="AJ364" s="425"/>
      <c r="AK364" s="425"/>
      <c r="AL364" s="425"/>
      <c r="AM364" s="425"/>
      <c r="AN364" s="425"/>
      <c r="AO364" s="425"/>
      <c r="AP364" s="425"/>
      <c r="AQ364" s="425"/>
      <c r="AR364" s="425"/>
      <c r="AS364" s="425"/>
      <c r="AT364" s="425"/>
      <c r="AU364" s="425"/>
      <c r="AV364" s="425"/>
      <c r="AW364" s="425"/>
      <c r="AX364" s="425"/>
      <c r="AY364" s="426"/>
    </row>
    <row r="365" spans="2:51" ht="18" customHeight="1">
      <c r="B365" s="1946" t="str">
        <f>+$B$8</f>
        <v>事務所・店舗</v>
      </c>
      <c r="C365" s="1205">
        <f t="shared" ref="C365:I365" si="52">C364</f>
        <v>33290</v>
      </c>
      <c r="D365" s="1209" t="str">
        <f t="shared" si="52"/>
        <v>良い</v>
      </c>
      <c r="E365" s="1207">
        <f t="shared" si="52"/>
        <v>1.1000000000000001</v>
      </c>
      <c r="F365" s="1207" t="str">
        <f t="shared" si="52"/>
        <v>普通</v>
      </c>
      <c r="G365" s="1207">
        <f t="shared" si="52"/>
        <v>1</v>
      </c>
      <c r="H365" s="1207" t="str">
        <f t="shared" si="52"/>
        <v>悪い</v>
      </c>
      <c r="I365" s="1210">
        <f t="shared" si="52"/>
        <v>0.9</v>
      </c>
      <c r="J365" s="450"/>
      <c r="K365" s="451"/>
      <c r="L365" s="451"/>
      <c r="M365" s="451"/>
      <c r="N365" s="451"/>
      <c r="O365" s="451"/>
      <c r="P365" s="451"/>
      <c r="Q365" s="451"/>
      <c r="R365" s="451"/>
      <c r="S365" s="451"/>
      <c r="T365" s="451"/>
      <c r="U365" s="451"/>
      <c r="V365" s="425"/>
      <c r="W365" s="425"/>
      <c r="X365" s="425"/>
      <c r="Y365" s="425"/>
      <c r="Z365" s="425"/>
      <c r="AA365" s="425"/>
      <c r="AB365" s="425"/>
      <c r="AC365" s="425"/>
      <c r="AD365" s="425"/>
      <c r="AE365" s="425"/>
      <c r="AF365" s="425"/>
      <c r="AG365" s="425"/>
      <c r="AH365" s="425"/>
      <c r="AI365" s="425"/>
      <c r="AJ365" s="425"/>
      <c r="AK365" s="425"/>
      <c r="AL365" s="425"/>
      <c r="AM365" s="425"/>
      <c r="AN365" s="425"/>
      <c r="AO365" s="425"/>
      <c r="AP365" s="425"/>
      <c r="AQ365" s="425"/>
      <c r="AR365" s="425"/>
      <c r="AS365" s="425"/>
      <c r="AT365" s="425"/>
      <c r="AU365" s="425"/>
      <c r="AV365" s="425"/>
      <c r="AW365" s="425"/>
      <c r="AX365" s="425"/>
      <c r="AY365" s="426"/>
    </row>
    <row r="366" spans="2:51" ht="18" customHeight="1">
      <c r="B366" s="1946" t="str">
        <f>+$B$9</f>
        <v>病院・ホテル</v>
      </c>
      <c r="C366" s="1205">
        <f t="shared" ref="C366:I366" si="53">C364</f>
        <v>33290</v>
      </c>
      <c r="D366" s="1209" t="str">
        <f t="shared" si="53"/>
        <v>良い</v>
      </c>
      <c r="E366" s="1207">
        <f t="shared" si="53"/>
        <v>1.1000000000000001</v>
      </c>
      <c r="F366" s="1207" t="str">
        <f t="shared" si="53"/>
        <v>普通</v>
      </c>
      <c r="G366" s="1207">
        <f t="shared" si="53"/>
        <v>1</v>
      </c>
      <c r="H366" s="1207" t="str">
        <f t="shared" si="53"/>
        <v>悪い</v>
      </c>
      <c r="I366" s="1210">
        <f t="shared" si="53"/>
        <v>0.9</v>
      </c>
      <c r="J366" s="450"/>
      <c r="K366" s="451"/>
      <c r="L366" s="451"/>
      <c r="M366" s="451"/>
      <c r="N366" s="451"/>
      <c r="O366" s="451"/>
      <c r="P366" s="451"/>
      <c r="Q366" s="451"/>
      <c r="R366" s="451"/>
      <c r="S366" s="451"/>
      <c r="T366" s="451"/>
      <c r="U366" s="451"/>
      <c r="V366" s="425"/>
      <c r="W366" s="425"/>
      <c r="X366" s="425"/>
      <c r="Y366" s="425"/>
      <c r="Z366" s="425"/>
      <c r="AA366" s="425"/>
      <c r="AB366" s="425"/>
      <c r="AC366" s="425"/>
      <c r="AD366" s="425"/>
      <c r="AE366" s="425"/>
      <c r="AF366" s="425"/>
      <c r="AG366" s="425"/>
      <c r="AH366" s="425"/>
      <c r="AI366" s="425"/>
      <c r="AJ366" s="425"/>
      <c r="AK366" s="425"/>
      <c r="AL366" s="425"/>
      <c r="AM366" s="425"/>
      <c r="AN366" s="425"/>
      <c r="AO366" s="425"/>
      <c r="AP366" s="425"/>
      <c r="AQ366" s="425"/>
      <c r="AR366" s="425"/>
      <c r="AS366" s="425"/>
      <c r="AT366" s="425"/>
      <c r="AU366" s="425"/>
      <c r="AV366" s="425"/>
      <c r="AW366" s="425"/>
      <c r="AX366" s="425"/>
      <c r="AY366" s="426"/>
    </row>
    <row r="367" spans="2:51" ht="18" customHeight="1">
      <c r="B367" s="1947" t="str">
        <f>+$B$10</f>
        <v>工場・倉庫</v>
      </c>
      <c r="C367" s="1308">
        <f t="shared" ref="C367:I367" si="54">C364</f>
        <v>33290</v>
      </c>
      <c r="D367" s="1342" t="str">
        <f t="shared" si="54"/>
        <v>良い</v>
      </c>
      <c r="E367" s="1215">
        <f t="shared" si="54"/>
        <v>1.1000000000000001</v>
      </c>
      <c r="F367" s="1215" t="str">
        <f t="shared" si="54"/>
        <v>普通</v>
      </c>
      <c r="G367" s="1215">
        <f t="shared" si="54"/>
        <v>1</v>
      </c>
      <c r="H367" s="1215" t="str">
        <f t="shared" si="54"/>
        <v>悪い</v>
      </c>
      <c r="I367" s="1315">
        <f t="shared" si="54"/>
        <v>0.9</v>
      </c>
      <c r="J367" s="450"/>
      <c r="K367" s="451"/>
      <c r="L367" s="451"/>
      <c r="M367" s="451"/>
      <c r="N367" s="451"/>
      <c r="O367" s="451"/>
      <c r="P367" s="451"/>
      <c r="Q367" s="451"/>
      <c r="R367" s="451"/>
      <c r="S367" s="451"/>
      <c r="T367" s="451"/>
      <c r="U367" s="451"/>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5"/>
      <c r="AY367" s="426"/>
    </row>
    <row r="368" spans="2:51" ht="18" customHeight="1">
      <c r="B368" s="1941" t="s">
        <v>311</v>
      </c>
      <c r="C368" s="1916" t="s">
        <v>891</v>
      </c>
      <c r="D368" s="1888" t="s">
        <v>892</v>
      </c>
      <c r="E368" s="1889"/>
      <c r="F368" s="1889"/>
      <c r="G368" s="1889"/>
      <c r="H368" s="1889"/>
      <c r="I368" s="1890"/>
      <c r="J368" s="459"/>
      <c r="K368" s="455"/>
      <c r="L368" s="455"/>
      <c r="M368" s="455"/>
      <c r="N368" s="455"/>
      <c r="O368" s="455"/>
      <c r="P368" s="455"/>
      <c r="Q368" s="455"/>
      <c r="R368" s="455"/>
      <c r="S368" s="455"/>
      <c r="T368" s="455"/>
      <c r="U368" s="455"/>
      <c r="V368" s="455"/>
      <c r="W368" s="455"/>
      <c r="X368" s="455"/>
      <c r="Y368" s="455"/>
      <c r="Z368" s="455"/>
      <c r="AA368" s="455"/>
      <c r="AB368" s="455"/>
      <c r="AC368" s="455"/>
      <c r="AD368" s="455"/>
      <c r="AE368" s="455"/>
      <c r="AF368" s="455"/>
      <c r="AG368" s="455"/>
      <c r="AH368" s="423"/>
      <c r="AI368" s="423"/>
      <c r="AJ368" s="423"/>
      <c r="AK368" s="423"/>
      <c r="AL368" s="423"/>
      <c r="AM368" s="423"/>
      <c r="AN368" s="423"/>
      <c r="AO368" s="423"/>
      <c r="AP368" s="423"/>
      <c r="AQ368" s="423"/>
      <c r="AR368" s="423"/>
      <c r="AS368" s="423"/>
      <c r="AT368" s="423"/>
      <c r="AU368" s="423"/>
      <c r="AV368" s="423"/>
      <c r="AW368" s="423"/>
      <c r="AX368" s="423"/>
      <c r="AY368" s="424"/>
    </row>
    <row r="369" spans="2:51" ht="18" customHeight="1">
      <c r="B369" s="1942"/>
      <c r="C369" s="1907" t="s">
        <v>893</v>
      </c>
      <c r="D369" s="1899" t="s">
        <v>318</v>
      </c>
      <c r="E369" s="1900"/>
      <c r="F369" s="1900" t="s">
        <v>319</v>
      </c>
      <c r="G369" s="1900"/>
      <c r="H369" s="1900" t="s">
        <v>320</v>
      </c>
      <c r="I369" s="1901"/>
      <c r="J369" s="565" t="s">
        <v>1143</v>
      </c>
      <c r="K369" s="451"/>
      <c r="L369" s="451"/>
      <c r="M369" s="451"/>
      <c r="N369" s="451"/>
      <c r="O369" s="451"/>
      <c r="P369" s="451"/>
      <c r="Q369" s="451"/>
      <c r="R369" s="451"/>
      <c r="S369" s="451"/>
      <c r="T369" s="451"/>
      <c r="U369" s="451"/>
      <c r="V369" s="451"/>
      <c r="W369" s="451"/>
      <c r="X369" s="451"/>
      <c r="Y369" s="451"/>
      <c r="Z369" s="451"/>
      <c r="AA369" s="451"/>
      <c r="AB369" s="451"/>
      <c r="AC369" s="451"/>
      <c r="AD369" s="451"/>
      <c r="AE369" s="451"/>
      <c r="AF369" s="451"/>
      <c r="AG369" s="451"/>
      <c r="AH369" s="425"/>
      <c r="AI369" s="425"/>
      <c r="AJ369" s="425"/>
      <c r="AK369" s="425"/>
      <c r="AL369" s="425"/>
      <c r="AM369" s="425"/>
      <c r="AN369" s="425"/>
      <c r="AO369" s="425"/>
      <c r="AP369" s="425"/>
      <c r="AQ369" s="425"/>
      <c r="AR369" s="425"/>
      <c r="AS369" s="425"/>
      <c r="AT369" s="425"/>
      <c r="AU369" s="425"/>
      <c r="AV369" s="425"/>
      <c r="AW369" s="425"/>
      <c r="AX369" s="425"/>
      <c r="AY369" s="426"/>
    </row>
    <row r="370" spans="2:51" ht="18" customHeight="1">
      <c r="B370" s="1945" t="str">
        <f>+$B$6</f>
        <v>戸建形式住宅</v>
      </c>
      <c r="C370" s="588" t="s">
        <v>23</v>
      </c>
      <c r="D370" s="431" t="s">
        <v>857</v>
      </c>
      <c r="E370" s="432" t="s">
        <v>857</v>
      </c>
      <c r="F370" s="432" t="s">
        <v>857</v>
      </c>
      <c r="G370" s="432" t="s">
        <v>857</v>
      </c>
      <c r="H370" s="432" t="s">
        <v>857</v>
      </c>
      <c r="I370" s="432" t="s">
        <v>857</v>
      </c>
      <c r="J370" s="450"/>
      <c r="K370" s="451"/>
      <c r="L370" s="451"/>
      <c r="M370" s="451"/>
      <c r="N370" s="451"/>
      <c r="O370" s="451"/>
      <c r="P370" s="451"/>
      <c r="Q370" s="451"/>
      <c r="R370" s="451"/>
      <c r="S370" s="451"/>
      <c r="T370" s="451"/>
      <c r="U370" s="451"/>
      <c r="V370" s="451"/>
      <c r="W370" s="451"/>
      <c r="X370" s="451"/>
      <c r="Y370" s="451"/>
      <c r="Z370" s="451"/>
      <c r="AA370" s="451"/>
      <c r="AB370" s="451"/>
      <c r="AC370" s="451"/>
      <c r="AD370" s="451"/>
      <c r="AE370" s="451"/>
      <c r="AF370" s="451"/>
      <c r="AG370" s="451"/>
      <c r="AH370" s="425"/>
      <c r="AI370" s="425"/>
      <c r="AJ370" s="425"/>
      <c r="AK370" s="425"/>
      <c r="AL370" s="425"/>
      <c r="AM370" s="425"/>
      <c r="AN370" s="425"/>
      <c r="AO370" s="425"/>
      <c r="AP370" s="425"/>
      <c r="AQ370" s="425"/>
      <c r="AR370" s="425"/>
      <c r="AS370" s="425"/>
      <c r="AT370" s="425"/>
      <c r="AU370" s="425"/>
      <c r="AV370" s="425"/>
      <c r="AW370" s="425"/>
      <c r="AX370" s="425"/>
      <c r="AY370" s="426"/>
    </row>
    <row r="371" spans="2:51" ht="18" customHeight="1">
      <c r="B371" s="1946" t="str">
        <f>+$B$7</f>
        <v>集合形式住宅</v>
      </c>
      <c r="C371" s="1069" t="s">
        <v>23</v>
      </c>
      <c r="D371" s="431" t="s">
        <v>857</v>
      </c>
      <c r="E371" s="432" t="s">
        <v>857</v>
      </c>
      <c r="F371" s="432" t="s">
        <v>857</v>
      </c>
      <c r="G371" s="432" t="s">
        <v>857</v>
      </c>
      <c r="H371" s="432" t="s">
        <v>857</v>
      </c>
      <c r="I371" s="432" t="s">
        <v>857</v>
      </c>
      <c r="J371" s="450"/>
      <c r="K371" s="451"/>
      <c r="L371" s="451"/>
      <c r="M371" s="451"/>
      <c r="N371" s="451"/>
      <c r="O371" s="451"/>
      <c r="P371" s="451"/>
      <c r="Q371" s="451"/>
      <c r="R371" s="451"/>
      <c r="S371" s="451"/>
      <c r="T371" s="451"/>
      <c r="U371" s="451"/>
      <c r="V371" s="451"/>
      <c r="W371" s="451"/>
      <c r="X371" s="451"/>
      <c r="Y371" s="451"/>
      <c r="Z371" s="451"/>
      <c r="AA371" s="451"/>
      <c r="AB371" s="451"/>
      <c r="AC371" s="451"/>
      <c r="AD371" s="451"/>
      <c r="AE371" s="451"/>
      <c r="AF371" s="451"/>
      <c r="AG371" s="451"/>
      <c r="AH371" s="425"/>
      <c r="AI371" s="425"/>
      <c r="AJ371" s="425"/>
      <c r="AK371" s="425"/>
      <c r="AL371" s="425"/>
      <c r="AM371" s="425"/>
      <c r="AN371" s="425"/>
      <c r="AO371" s="425"/>
      <c r="AP371" s="425"/>
      <c r="AQ371" s="425"/>
      <c r="AR371" s="425"/>
      <c r="AS371" s="425"/>
      <c r="AT371" s="425"/>
      <c r="AU371" s="425"/>
      <c r="AV371" s="425"/>
      <c r="AW371" s="425"/>
      <c r="AX371" s="425"/>
      <c r="AY371" s="426"/>
    </row>
    <row r="372" spans="2:51" ht="18" customHeight="1">
      <c r="B372" s="1946" t="str">
        <f>+$B$8</f>
        <v>事務所・店舗</v>
      </c>
      <c r="C372" s="430">
        <v>343420</v>
      </c>
      <c r="D372" s="431" t="s">
        <v>5653</v>
      </c>
      <c r="E372" s="431" t="s">
        <v>5653</v>
      </c>
      <c r="F372" s="431" t="s">
        <v>5653</v>
      </c>
      <c r="G372" s="431" t="s">
        <v>5653</v>
      </c>
      <c r="H372" s="431" t="s">
        <v>5653</v>
      </c>
      <c r="I372" s="431" t="s">
        <v>5653</v>
      </c>
      <c r="J372" s="450"/>
      <c r="K372" s="451"/>
      <c r="L372" s="451"/>
      <c r="M372" s="451"/>
      <c r="N372" s="451"/>
      <c r="O372" s="451"/>
      <c r="P372" s="451"/>
      <c r="Q372" s="451"/>
      <c r="R372" s="451"/>
      <c r="S372" s="451"/>
      <c r="T372" s="451"/>
      <c r="U372" s="451"/>
      <c r="V372" s="451"/>
      <c r="W372" s="451"/>
      <c r="X372" s="451"/>
      <c r="Y372" s="451"/>
      <c r="Z372" s="451"/>
      <c r="AA372" s="451"/>
      <c r="AB372" s="451"/>
      <c r="AC372" s="451"/>
      <c r="AD372" s="451"/>
      <c r="AE372" s="451"/>
      <c r="AF372" s="451"/>
      <c r="AG372" s="451"/>
      <c r="AH372" s="425"/>
      <c r="AI372" s="425"/>
      <c r="AJ372" s="425"/>
      <c r="AK372" s="425"/>
      <c r="AL372" s="425"/>
      <c r="AM372" s="425"/>
      <c r="AN372" s="425"/>
      <c r="AO372" s="425"/>
      <c r="AP372" s="425"/>
      <c r="AQ372" s="425"/>
      <c r="AR372" s="425"/>
      <c r="AS372" s="425"/>
      <c r="AT372" s="425"/>
      <c r="AU372" s="425"/>
      <c r="AV372" s="425"/>
      <c r="AW372" s="425"/>
      <c r="AX372" s="425"/>
      <c r="AY372" s="426"/>
    </row>
    <row r="373" spans="2:51" ht="18" customHeight="1">
      <c r="B373" s="1946" t="str">
        <f>+$B$9</f>
        <v>病院・ホテル</v>
      </c>
      <c r="C373" s="430">
        <v>343420</v>
      </c>
      <c r="D373" s="431" t="s">
        <v>5653</v>
      </c>
      <c r="E373" s="431" t="s">
        <v>5653</v>
      </c>
      <c r="F373" s="431" t="s">
        <v>5653</v>
      </c>
      <c r="G373" s="431" t="s">
        <v>5653</v>
      </c>
      <c r="H373" s="431" t="s">
        <v>5653</v>
      </c>
      <c r="I373" s="431" t="s">
        <v>5653</v>
      </c>
      <c r="J373" s="450"/>
      <c r="K373" s="451"/>
      <c r="L373" s="451"/>
      <c r="M373" s="451"/>
      <c r="N373" s="451"/>
      <c r="O373" s="451"/>
      <c r="P373" s="451"/>
      <c r="Q373" s="451"/>
      <c r="R373" s="451"/>
      <c r="S373" s="451"/>
      <c r="T373" s="451"/>
      <c r="U373" s="451"/>
      <c r="V373" s="451"/>
      <c r="W373" s="451"/>
      <c r="X373" s="451"/>
      <c r="Y373" s="451"/>
      <c r="Z373" s="451"/>
      <c r="AA373" s="451"/>
      <c r="AB373" s="451"/>
      <c r="AC373" s="451"/>
      <c r="AD373" s="451"/>
      <c r="AE373" s="451"/>
      <c r="AF373" s="451"/>
      <c r="AG373" s="451"/>
      <c r="AH373" s="425"/>
      <c r="AI373" s="425"/>
      <c r="AJ373" s="425"/>
      <c r="AK373" s="425"/>
      <c r="AL373" s="425"/>
      <c r="AM373" s="425"/>
      <c r="AN373" s="425"/>
      <c r="AO373" s="425"/>
      <c r="AP373" s="425"/>
      <c r="AQ373" s="425"/>
      <c r="AR373" s="425"/>
      <c r="AS373" s="425"/>
      <c r="AT373" s="425"/>
      <c r="AU373" s="425"/>
      <c r="AV373" s="425"/>
      <c r="AW373" s="425"/>
      <c r="AX373" s="425"/>
      <c r="AY373" s="426"/>
    </row>
    <row r="374" spans="2:51" ht="18" customHeight="1">
      <c r="B374" s="1947" t="str">
        <f>+$B$10</f>
        <v>工場・倉庫</v>
      </c>
      <c r="C374" s="1069" t="s">
        <v>23</v>
      </c>
      <c r="D374" s="431" t="s">
        <v>857</v>
      </c>
      <c r="E374" s="432" t="s">
        <v>857</v>
      </c>
      <c r="F374" s="432" t="s">
        <v>857</v>
      </c>
      <c r="G374" s="432" t="s">
        <v>857</v>
      </c>
      <c r="H374" s="432" t="s">
        <v>857</v>
      </c>
      <c r="I374" s="432" t="s">
        <v>857</v>
      </c>
      <c r="J374" s="450"/>
      <c r="K374" s="451"/>
      <c r="L374" s="451"/>
      <c r="M374" s="451"/>
      <c r="N374" s="451"/>
      <c r="O374" s="451"/>
      <c r="P374" s="451"/>
      <c r="Q374" s="451"/>
      <c r="R374" s="451"/>
      <c r="S374" s="451"/>
      <c r="T374" s="451"/>
      <c r="U374" s="451"/>
      <c r="V374" s="451"/>
      <c r="W374" s="451"/>
      <c r="X374" s="451"/>
      <c r="Y374" s="451"/>
      <c r="Z374" s="451"/>
      <c r="AA374" s="451"/>
      <c r="AB374" s="451"/>
      <c r="AC374" s="451"/>
      <c r="AD374" s="451"/>
      <c r="AE374" s="451"/>
      <c r="AF374" s="451"/>
      <c r="AG374" s="451"/>
      <c r="AH374" s="425"/>
      <c r="AI374" s="425"/>
      <c r="AJ374" s="425"/>
      <c r="AK374" s="425"/>
      <c r="AL374" s="425"/>
      <c r="AM374" s="425"/>
      <c r="AN374" s="425"/>
      <c r="AO374" s="425"/>
      <c r="AP374" s="425"/>
      <c r="AQ374" s="425"/>
      <c r="AR374" s="425"/>
      <c r="AS374" s="425"/>
      <c r="AT374" s="425"/>
      <c r="AU374" s="425"/>
      <c r="AV374" s="425"/>
      <c r="AW374" s="425"/>
      <c r="AX374" s="425"/>
      <c r="AY374" s="426"/>
    </row>
    <row r="375" spans="2:51" ht="18" customHeight="1">
      <c r="B375" s="1941" t="s">
        <v>311</v>
      </c>
      <c r="C375" s="1916" t="s">
        <v>894</v>
      </c>
      <c r="D375" s="1888" t="s">
        <v>895</v>
      </c>
      <c r="E375" s="1889"/>
      <c r="F375" s="1889"/>
      <c r="G375" s="1889"/>
      <c r="H375" s="1889"/>
      <c r="I375" s="1891"/>
      <c r="J375" s="459"/>
      <c r="K375" s="455"/>
      <c r="L375" s="455"/>
      <c r="M375" s="455"/>
      <c r="N375" s="455"/>
      <c r="O375" s="455"/>
      <c r="P375" s="455"/>
      <c r="Q375" s="455"/>
      <c r="R375" s="455"/>
      <c r="S375" s="455"/>
      <c r="T375" s="455"/>
      <c r="U375" s="455"/>
      <c r="V375" s="455"/>
      <c r="W375" s="455"/>
      <c r="X375" s="455"/>
      <c r="Y375" s="455"/>
      <c r="Z375" s="455"/>
      <c r="AA375" s="455"/>
      <c r="AB375" s="455"/>
      <c r="AC375" s="455"/>
      <c r="AD375" s="455"/>
      <c r="AE375" s="455"/>
      <c r="AF375" s="455"/>
      <c r="AG375" s="455"/>
      <c r="AH375" s="423"/>
      <c r="AI375" s="423"/>
      <c r="AJ375" s="423"/>
      <c r="AK375" s="423"/>
      <c r="AL375" s="423"/>
      <c r="AM375" s="423"/>
      <c r="AN375" s="423"/>
      <c r="AO375" s="423"/>
      <c r="AP375" s="423"/>
      <c r="AQ375" s="423"/>
      <c r="AR375" s="423"/>
      <c r="AS375" s="423"/>
      <c r="AT375" s="423"/>
      <c r="AU375" s="423"/>
      <c r="AV375" s="423"/>
      <c r="AW375" s="423"/>
      <c r="AX375" s="423"/>
      <c r="AY375" s="424"/>
    </row>
    <row r="376" spans="2:51" ht="18" customHeight="1">
      <c r="B376" s="1942"/>
      <c r="C376" s="1907" t="s">
        <v>896</v>
      </c>
      <c r="D376" s="1899" t="s">
        <v>318</v>
      </c>
      <c r="E376" s="1900"/>
      <c r="F376" s="1900" t="s">
        <v>319</v>
      </c>
      <c r="G376" s="1900"/>
      <c r="H376" s="1900" t="s">
        <v>320</v>
      </c>
      <c r="I376" s="1902"/>
      <c r="J376" s="565" t="s">
        <v>1143</v>
      </c>
      <c r="K376" s="451"/>
      <c r="L376" s="451"/>
      <c r="M376" s="451"/>
      <c r="N376" s="451"/>
      <c r="O376" s="451"/>
      <c r="P376" s="451"/>
      <c r="Q376" s="451"/>
      <c r="R376" s="451"/>
      <c r="S376" s="451"/>
      <c r="T376" s="451"/>
      <c r="U376" s="451"/>
      <c r="V376" s="451"/>
      <c r="W376" s="451"/>
      <c r="X376" s="451"/>
      <c r="Y376" s="451"/>
      <c r="Z376" s="451"/>
      <c r="AA376" s="451"/>
      <c r="AB376" s="451"/>
      <c r="AC376" s="451"/>
      <c r="AD376" s="451"/>
      <c r="AE376" s="451"/>
      <c r="AF376" s="451"/>
      <c r="AG376" s="451"/>
      <c r="AH376" s="425"/>
      <c r="AI376" s="425"/>
      <c r="AJ376" s="425"/>
      <c r="AK376" s="425"/>
      <c r="AL376" s="425"/>
      <c r="AM376" s="425"/>
      <c r="AN376" s="425"/>
      <c r="AO376" s="425"/>
      <c r="AP376" s="425"/>
      <c r="AQ376" s="425"/>
      <c r="AR376" s="425"/>
      <c r="AS376" s="425"/>
      <c r="AT376" s="425"/>
      <c r="AU376" s="425"/>
      <c r="AV376" s="425"/>
      <c r="AW376" s="425"/>
      <c r="AX376" s="425"/>
      <c r="AY376" s="426"/>
    </row>
    <row r="377" spans="2:51" ht="18" customHeight="1">
      <c r="B377" s="1945" t="str">
        <f>+$B$6</f>
        <v>戸建形式住宅</v>
      </c>
      <c r="C377" s="588" t="s">
        <v>23</v>
      </c>
      <c r="D377" s="431" t="s">
        <v>857</v>
      </c>
      <c r="E377" s="432" t="s">
        <v>857</v>
      </c>
      <c r="F377" s="432" t="s">
        <v>857</v>
      </c>
      <c r="G377" s="432" t="s">
        <v>857</v>
      </c>
      <c r="H377" s="432" t="s">
        <v>857</v>
      </c>
      <c r="I377" s="432" t="s">
        <v>857</v>
      </c>
      <c r="J377" s="450"/>
      <c r="K377" s="451"/>
      <c r="L377" s="451"/>
      <c r="M377" s="451"/>
      <c r="N377" s="451"/>
      <c r="O377" s="451"/>
      <c r="P377" s="451"/>
      <c r="Q377" s="451"/>
      <c r="R377" s="451"/>
      <c r="S377" s="451"/>
      <c r="T377" s="451"/>
      <c r="U377" s="451"/>
      <c r="V377" s="451"/>
      <c r="W377" s="451"/>
      <c r="X377" s="451"/>
      <c r="Y377" s="451"/>
      <c r="Z377" s="451"/>
      <c r="AA377" s="451"/>
      <c r="AB377" s="451"/>
      <c r="AC377" s="451"/>
      <c r="AD377" s="451"/>
      <c r="AE377" s="451"/>
      <c r="AF377" s="451"/>
      <c r="AG377" s="451"/>
      <c r="AH377" s="425"/>
      <c r="AI377" s="425"/>
      <c r="AJ377" s="425"/>
      <c r="AK377" s="425"/>
      <c r="AL377" s="425"/>
      <c r="AM377" s="425"/>
      <c r="AN377" s="425"/>
      <c r="AO377" s="425"/>
      <c r="AP377" s="425"/>
      <c r="AQ377" s="425"/>
      <c r="AR377" s="425"/>
      <c r="AS377" s="425"/>
      <c r="AT377" s="425"/>
      <c r="AU377" s="425"/>
      <c r="AV377" s="425"/>
      <c r="AW377" s="425"/>
      <c r="AX377" s="425"/>
      <c r="AY377" s="426"/>
    </row>
    <row r="378" spans="2:51" ht="18" customHeight="1">
      <c r="B378" s="1946" t="str">
        <f>+$B$7</f>
        <v>集合形式住宅</v>
      </c>
      <c r="C378" s="430">
        <v>539670</v>
      </c>
      <c r="D378" s="431" t="s">
        <v>5653</v>
      </c>
      <c r="E378" s="431" t="s">
        <v>5653</v>
      </c>
      <c r="F378" s="431" t="s">
        <v>5653</v>
      </c>
      <c r="G378" s="431" t="s">
        <v>5653</v>
      </c>
      <c r="H378" s="431" t="s">
        <v>5653</v>
      </c>
      <c r="I378" s="431" t="s">
        <v>5653</v>
      </c>
      <c r="J378" s="450"/>
      <c r="K378" s="451"/>
      <c r="L378" s="451"/>
      <c r="M378" s="451"/>
      <c r="N378" s="451"/>
      <c r="O378" s="451"/>
      <c r="P378" s="451"/>
      <c r="Q378" s="451"/>
      <c r="R378" s="451"/>
      <c r="S378" s="451"/>
      <c r="T378" s="451"/>
      <c r="U378" s="451"/>
      <c r="V378" s="451"/>
      <c r="W378" s="451"/>
      <c r="X378" s="451"/>
      <c r="Y378" s="451"/>
      <c r="Z378" s="451"/>
      <c r="AA378" s="451"/>
      <c r="AB378" s="451"/>
      <c r="AC378" s="451"/>
      <c r="AD378" s="451"/>
      <c r="AE378" s="451"/>
      <c r="AF378" s="451"/>
      <c r="AG378" s="451"/>
      <c r="AH378" s="425"/>
      <c r="AI378" s="425"/>
      <c r="AJ378" s="425"/>
      <c r="AK378" s="425"/>
      <c r="AL378" s="425"/>
      <c r="AM378" s="425"/>
      <c r="AN378" s="425"/>
      <c r="AO378" s="425"/>
      <c r="AP378" s="425"/>
      <c r="AQ378" s="425"/>
      <c r="AR378" s="425"/>
      <c r="AS378" s="425"/>
      <c r="AT378" s="425"/>
      <c r="AU378" s="425"/>
      <c r="AV378" s="425"/>
      <c r="AW378" s="425"/>
      <c r="AX378" s="425"/>
      <c r="AY378" s="426"/>
    </row>
    <row r="379" spans="2:51" ht="18" customHeight="1">
      <c r="B379" s="1946" t="str">
        <f>+$B$8</f>
        <v>事務所・店舗</v>
      </c>
      <c r="C379" s="430">
        <v>539670</v>
      </c>
      <c r="D379" s="431" t="s">
        <v>5653</v>
      </c>
      <c r="E379" s="431" t="s">
        <v>5653</v>
      </c>
      <c r="F379" s="431" t="s">
        <v>5653</v>
      </c>
      <c r="G379" s="431" t="s">
        <v>5653</v>
      </c>
      <c r="H379" s="431" t="s">
        <v>5653</v>
      </c>
      <c r="I379" s="431" t="s">
        <v>5653</v>
      </c>
      <c r="J379" s="450"/>
      <c r="K379" s="451"/>
      <c r="L379" s="451"/>
      <c r="M379" s="451"/>
      <c r="N379" s="451"/>
      <c r="O379" s="451"/>
      <c r="P379" s="451"/>
      <c r="Q379" s="451"/>
      <c r="R379" s="451"/>
      <c r="S379" s="451"/>
      <c r="T379" s="451"/>
      <c r="U379" s="451"/>
      <c r="V379" s="451"/>
      <c r="W379" s="451"/>
      <c r="X379" s="451"/>
      <c r="Y379" s="451"/>
      <c r="Z379" s="451"/>
      <c r="AA379" s="451"/>
      <c r="AB379" s="451"/>
      <c r="AC379" s="451"/>
      <c r="AD379" s="451"/>
      <c r="AE379" s="451"/>
      <c r="AF379" s="451"/>
      <c r="AG379" s="451"/>
      <c r="AH379" s="425"/>
      <c r="AI379" s="425"/>
      <c r="AJ379" s="425"/>
      <c r="AK379" s="425"/>
      <c r="AL379" s="425"/>
      <c r="AM379" s="425"/>
      <c r="AN379" s="425"/>
      <c r="AO379" s="425"/>
      <c r="AP379" s="425"/>
      <c r="AQ379" s="425"/>
      <c r="AR379" s="425"/>
      <c r="AS379" s="425"/>
      <c r="AT379" s="425"/>
      <c r="AU379" s="425"/>
      <c r="AV379" s="425"/>
      <c r="AW379" s="425"/>
      <c r="AX379" s="425"/>
      <c r="AY379" s="426"/>
    </row>
    <row r="380" spans="2:51" ht="18" customHeight="1">
      <c r="B380" s="1946" t="str">
        <f>+$B$9</f>
        <v>病院・ホテル</v>
      </c>
      <c r="C380" s="430">
        <v>539670</v>
      </c>
      <c r="D380" s="431" t="s">
        <v>5653</v>
      </c>
      <c r="E380" s="431" t="s">
        <v>5653</v>
      </c>
      <c r="F380" s="431" t="s">
        <v>5653</v>
      </c>
      <c r="G380" s="431" t="s">
        <v>5653</v>
      </c>
      <c r="H380" s="431" t="s">
        <v>5653</v>
      </c>
      <c r="I380" s="431" t="s">
        <v>5653</v>
      </c>
      <c r="J380" s="450"/>
      <c r="K380" s="451"/>
      <c r="L380" s="451"/>
      <c r="M380" s="451"/>
      <c r="N380" s="451"/>
      <c r="O380" s="451"/>
      <c r="P380" s="451"/>
      <c r="Q380" s="451"/>
      <c r="R380" s="451"/>
      <c r="S380" s="451"/>
      <c r="T380" s="451"/>
      <c r="U380" s="451"/>
      <c r="V380" s="451"/>
      <c r="W380" s="451"/>
      <c r="X380" s="451"/>
      <c r="Y380" s="451"/>
      <c r="Z380" s="451"/>
      <c r="AA380" s="451"/>
      <c r="AB380" s="451"/>
      <c r="AC380" s="451"/>
      <c r="AD380" s="451"/>
      <c r="AE380" s="451"/>
      <c r="AF380" s="451"/>
      <c r="AG380" s="451"/>
      <c r="AH380" s="425"/>
      <c r="AI380" s="425"/>
      <c r="AJ380" s="425"/>
      <c r="AK380" s="425"/>
      <c r="AL380" s="425"/>
      <c r="AM380" s="425"/>
      <c r="AN380" s="425"/>
      <c r="AO380" s="425"/>
      <c r="AP380" s="425"/>
      <c r="AQ380" s="425"/>
      <c r="AR380" s="425"/>
      <c r="AS380" s="425"/>
      <c r="AT380" s="425"/>
      <c r="AU380" s="425"/>
      <c r="AV380" s="425"/>
      <c r="AW380" s="425"/>
      <c r="AX380" s="425"/>
      <c r="AY380" s="426"/>
    </row>
    <row r="381" spans="2:51" ht="18" customHeight="1">
      <c r="B381" s="1947" t="str">
        <f>+$B$10</f>
        <v>工場・倉庫</v>
      </c>
      <c r="C381" s="430">
        <v>539670</v>
      </c>
      <c r="D381" s="431" t="s">
        <v>5653</v>
      </c>
      <c r="E381" s="431" t="s">
        <v>5653</v>
      </c>
      <c r="F381" s="431" t="s">
        <v>5653</v>
      </c>
      <c r="G381" s="431" t="s">
        <v>5653</v>
      </c>
      <c r="H381" s="431" t="s">
        <v>5653</v>
      </c>
      <c r="I381" s="431" t="s">
        <v>5653</v>
      </c>
      <c r="J381" s="450"/>
      <c r="K381" s="451"/>
      <c r="L381" s="451"/>
      <c r="M381" s="451"/>
      <c r="N381" s="451"/>
      <c r="O381" s="451"/>
      <c r="P381" s="451"/>
      <c r="Q381" s="451"/>
      <c r="R381" s="451"/>
      <c r="S381" s="451"/>
      <c r="T381" s="451"/>
      <c r="U381" s="451"/>
      <c r="V381" s="451"/>
      <c r="W381" s="451"/>
      <c r="X381" s="451"/>
      <c r="Y381" s="451"/>
      <c r="Z381" s="451"/>
      <c r="AA381" s="451"/>
      <c r="AB381" s="451"/>
      <c r="AC381" s="451"/>
      <c r="AD381" s="451"/>
      <c r="AE381" s="451"/>
      <c r="AF381" s="451"/>
      <c r="AG381" s="451"/>
      <c r="AH381" s="425"/>
      <c r="AI381" s="425"/>
      <c r="AJ381" s="425"/>
      <c r="AK381" s="425"/>
      <c r="AL381" s="425"/>
      <c r="AM381" s="425"/>
      <c r="AN381" s="425"/>
      <c r="AO381" s="425"/>
      <c r="AP381" s="425"/>
      <c r="AQ381" s="425"/>
      <c r="AR381" s="425"/>
      <c r="AS381" s="425"/>
      <c r="AT381" s="425"/>
      <c r="AU381" s="425"/>
      <c r="AV381" s="425"/>
      <c r="AW381" s="425"/>
      <c r="AX381" s="425"/>
      <c r="AY381" s="426"/>
    </row>
    <row r="382" spans="2:51" ht="18" customHeight="1">
      <c r="B382" s="1941" t="s">
        <v>311</v>
      </c>
      <c r="C382" s="1916" t="s">
        <v>897</v>
      </c>
      <c r="D382" s="1888" t="s">
        <v>898</v>
      </c>
      <c r="E382" s="1889"/>
      <c r="F382" s="1889"/>
      <c r="G382" s="1889"/>
      <c r="H382" s="1889"/>
      <c r="I382" s="1890"/>
      <c r="J382" s="1887" t="s">
        <v>899</v>
      </c>
      <c r="K382" s="1889"/>
      <c r="L382" s="1889"/>
      <c r="M382" s="1889"/>
      <c r="N382" s="1889"/>
      <c r="O382" s="1891"/>
      <c r="P382" s="423"/>
      <c r="Q382" s="423"/>
      <c r="R382" s="423"/>
      <c r="S382" s="423"/>
      <c r="T382" s="423"/>
      <c r="U382" s="423"/>
      <c r="V382" s="423"/>
      <c r="W382" s="423"/>
      <c r="X382" s="423"/>
      <c r="Y382" s="423"/>
      <c r="Z382" s="423"/>
      <c r="AA382" s="423"/>
      <c r="AB382" s="423"/>
      <c r="AC382" s="423"/>
      <c r="AD382" s="423"/>
      <c r="AE382" s="423"/>
      <c r="AF382" s="423"/>
      <c r="AG382" s="423"/>
      <c r="AH382" s="423"/>
      <c r="AI382" s="423"/>
      <c r="AJ382" s="423"/>
      <c r="AK382" s="423"/>
      <c r="AL382" s="423"/>
      <c r="AM382" s="423"/>
      <c r="AN382" s="423"/>
      <c r="AO382" s="423"/>
      <c r="AP382" s="423"/>
      <c r="AQ382" s="423"/>
      <c r="AR382" s="423"/>
      <c r="AS382" s="423"/>
      <c r="AT382" s="423"/>
      <c r="AU382" s="423"/>
      <c r="AV382" s="423"/>
      <c r="AW382" s="423"/>
      <c r="AX382" s="423"/>
      <c r="AY382" s="424"/>
    </row>
    <row r="383" spans="2:51" ht="18" customHeight="1">
      <c r="B383" s="1942"/>
      <c r="C383" s="1907" t="s">
        <v>900</v>
      </c>
      <c r="D383" s="1899" t="s">
        <v>318</v>
      </c>
      <c r="E383" s="1900"/>
      <c r="F383" s="1900" t="s">
        <v>319</v>
      </c>
      <c r="G383" s="1900"/>
      <c r="H383" s="1900" t="s">
        <v>320</v>
      </c>
      <c r="I383" s="1901"/>
      <c r="J383" s="1898" t="s">
        <v>318</v>
      </c>
      <c r="K383" s="1900"/>
      <c r="L383" s="1900" t="s">
        <v>319</v>
      </c>
      <c r="M383" s="1900"/>
      <c r="N383" s="1900" t="s">
        <v>320</v>
      </c>
      <c r="O383" s="1902"/>
      <c r="P383" s="582" t="s">
        <v>5741</v>
      </c>
      <c r="Q383" s="425"/>
      <c r="R383" s="425"/>
      <c r="S383" s="425"/>
      <c r="T383" s="425"/>
      <c r="U383" s="425"/>
      <c r="V383" s="425"/>
      <c r="W383" s="425"/>
      <c r="X383" s="425"/>
      <c r="Y383" s="425"/>
      <c r="Z383" s="425"/>
      <c r="AA383" s="425"/>
      <c r="AB383" s="425"/>
      <c r="AC383" s="425"/>
      <c r="AD383" s="425"/>
      <c r="AE383" s="425"/>
      <c r="AF383" s="425"/>
      <c r="AG383" s="425"/>
      <c r="AH383" s="425"/>
      <c r="AI383" s="425"/>
      <c r="AJ383" s="425"/>
      <c r="AK383" s="425"/>
      <c r="AL383" s="425"/>
      <c r="AM383" s="425"/>
      <c r="AN383" s="425"/>
      <c r="AO383" s="425"/>
      <c r="AP383" s="425"/>
      <c r="AQ383" s="425"/>
      <c r="AR383" s="425"/>
      <c r="AS383" s="425"/>
      <c r="AT383" s="425"/>
      <c r="AU383" s="425"/>
      <c r="AV383" s="425"/>
      <c r="AW383" s="425"/>
      <c r="AX383" s="425"/>
      <c r="AY383" s="426"/>
    </row>
    <row r="384" spans="2:51" ht="18" customHeight="1">
      <c r="B384" s="1945" t="str">
        <f>+$B$6</f>
        <v>戸建形式住宅</v>
      </c>
      <c r="C384" s="588" t="s">
        <v>23</v>
      </c>
      <c r="D384" s="431" t="s">
        <v>857</v>
      </c>
      <c r="E384" s="432" t="s">
        <v>857</v>
      </c>
      <c r="F384" s="432" t="s">
        <v>857</v>
      </c>
      <c r="G384" s="432" t="s">
        <v>857</v>
      </c>
      <c r="H384" s="432" t="s">
        <v>857</v>
      </c>
      <c r="I384" s="432" t="s">
        <v>857</v>
      </c>
      <c r="J384" s="431" t="s">
        <v>857</v>
      </c>
      <c r="K384" s="432" t="s">
        <v>857</v>
      </c>
      <c r="L384" s="432" t="s">
        <v>857</v>
      </c>
      <c r="M384" s="432" t="s">
        <v>857</v>
      </c>
      <c r="N384" s="432" t="s">
        <v>857</v>
      </c>
      <c r="O384" s="432" t="s">
        <v>857</v>
      </c>
      <c r="P384" s="425"/>
      <c r="Q384" s="425"/>
      <c r="R384" s="425"/>
      <c r="S384" s="425"/>
      <c r="T384" s="425"/>
      <c r="U384" s="425"/>
      <c r="V384" s="425"/>
      <c r="W384" s="425"/>
      <c r="X384" s="425"/>
      <c r="Y384" s="425"/>
      <c r="Z384" s="425"/>
      <c r="AA384" s="425"/>
      <c r="AB384" s="425"/>
      <c r="AC384" s="425"/>
      <c r="AD384" s="425"/>
      <c r="AE384" s="425"/>
      <c r="AF384" s="425"/>
      <c r="AG384" s="425"/>
      <c r="AH384" s="425"/>
      <c r="AI384" s="425"/>
      <c r="AJ384" s="425"/>
      <c r="AK384" s="425"/>
      <c r="AL384" s="425"/>
      <c r="AM384" s="425"/>
      <c r="AN384" s="425"/>
      <c r="AO384" s="425"/>
      <c r="AP384" s="425"/>
      <c r="AQ384" s="425"/>
      <c r="AR384" s="425"/>
      <c r="AS384" s="425"/>
      <c r="AT384" s="425"/>
      <c r="AU384" s="425"/>
      <c r="AV384" s="425"/>
      <c r="AW384" s="425"/>
      <c r="AX384" s="425"/>
      <c r="AY384" s="426"/>
    </row>
    <row r="385" spans="2:51" ht="18" customHeight="1">
      <c r="B385" s="1946" t="str">
        <f>+$B$7</f>
        <v>集合形式住宅</v>
      </c>
      <c r="C385" s="1205">
        <f>C388</f>
        <v>33060</v>
      </c>
      <c r="D385" s="1242">
        <f>D388</f>
        <v>120</v>
      </c>
      <c r="E385" s="1207">
        <f>E388</f>
        <v>3</v>
      </c>
      <c r="F385" s="1242">
        <f t="shared" ref="F385:I385" si="55">F388</f>
        <v>60</v>
      </c>
      <c r="G385" s="1207">
        <f t="shared" si="55"/>
        <v>1</v>
      </c>
      <c r="H385" s="1242">
        <f t="shared" si="55"/>
        <v>30</v>
      </c>
      <c r="I385" s="1207">
        <f t="shared" si="55"/>
        <v>0.3</v>
      </c>
      <c r="J385" s="1209" t="str">
        <f>J388</f>
        <v>機械換気</v>
      </c>
      <c r="K385" s="1207">
        <f>K388</f>
        <v>4.5</v>
      </c>
      <c r="L385" s="1207" t="str">
        <f t="shared" ref="L385:O385" si="56">L388</f>
        <v>自然換気</v>
      </c>
      <c r="M385" s="1207">
        <f t="shared" si="56"/>
        <v>1</v>
      </c>
      <c r="N385" s="1207" t="str">
        <f t="shared" si="56"/>
        <v>-</v>
      </c>
      <c r="O385" s="1210" t="str">
        <f t="shared" si="56"/>
        <v>-</v>
      </c>
      <c r="P385" s="425"/>
      <c r="Q385" s="425"/>
      <c r="R385" s="425"/>
      <c r="S385" s="425"/>
      <c r="T385" s="425"/>
      <c r="U385" s="425"/>
      <c r="V385" s="425"/>
      <c r="W385" s="425"/>
      <c r="X385" s="425"/>
      <c r="Y385" s="425"/>
      <c r="Z385" s="425"/>
      <c r="AA385" s="425"/>
      <c r="AB385" s="425"/>
      <c r="AC385" s="425"/>
      <c r="AD385" s="425"/>
      <c r="AE385" s="425"/>
      <c r="AF385" s="425"/>
      <c r="AG385" s="425"/>
      <c r="AH385" s="425"/>
      <c r="AI385" s="425"/>
      <c r="AJ385" s="425"/>
      <c r="AK385" s="425"/>
      <c r="AL385" s="425"/>
      <c r="AM385" s="425"/>
      <c r="AN385" s="425"/>
      <c r="AO385" s="425"/>
      <c r="AP385" s="425"/>
      <c r="AQ385" s="425"/>
      <c r="AR385" s="425"/>
      <c r="AS385" s="425"/>
      <c r="AT385" s="425"/>
      <c r="AU385" s="425"/>
      <c r="AV385" s="425"/>
      <c r="AW385" s="425"/>
      <c r="AX385" s="425"/>
      <c r="AY385" s="426"/>
    </row>
    <row r="386" spans="2:51" ht="18" customHeight="1">
      <c r="B386" s="1946" t="str">
        <f>+$B$8</f>
        <v>事務所・店舗</v>
      </c>
      <c r="C386" s="1205">
        <f>C388</f>
        <v>33060</v>
      </c>
      <c r="D386" s="1242">
        <f>D388</f>
        <v>120</v>
      </c>
      <c r="E386" s="1207">
        <f>E388</f>
        <v>3</v>
      </c>
      <c r="F386" s="1242">
        <f t="shared" ref="F386:I386" si="57">F388</f>
        <v>60</v>
      </c>
      <c r="G386" s="1207">
        <f t="shared" si="57"/>
        <v>1</v>
      </c>
      <c r="H386" s="1242">
        <f t="shared" si="57"/>
        <v>30</v>
      </c>
      <c r="I386" s="1207">
        <f t="shared" si="57"/>
        <v>0.3</v>
      </c>
      <c r="J386" s="1209" t="str">
        <f>J388</f>
        <v>機械換気</v>
      </c>
      <c r="K386" s="1207">
        <f>K388</f>
        <v>4.5</v>
      </c>
      <c r="L386" s="1207" t="str">
        <f t="shared" ref="L386:O386" si="58">L388</f>
        <v>自然換気</v>
      </c>
      <c r="M386" s="1207">
        <f t="shared" si="58"/>
        <v>1</v>
      </c>
      <c r="N386" s="1207" t="str">
        <f t="shared" si="58"/>
        <v>-</v>
      </c>
      <c r="O386" s="1210" t="str">
        <f t="shared" si="58"/>
        <v>-</v>
      </c>
      <c r="P386" s="425"/>
      <c r="Q386" s="425"/>
      <c r="R386" s="425"/>
      <c r="S386" s="425"/>
      <c r="T386" s="425"/>
      <c r="U386" s="425"/>
      <c r="V386" s="425"/>
      <c r="W386" s="425"/>
      <c r="X386" s="425"/>
      <c r="Y386" s="425"/>
      <c r="Z386" s="425"/>
      <c r="AA386" s="425"/>
      <c r="AB386" s="425"/>
      <c r="AC386" s="425"/>
      <c r="AD386" s="425"/>
      <c r="AE386" s="425"/>
      <c r="AF386" s="425"/>
      <c r="AG386" s="425"/>
      <c r="AH386" s="425"/>
      <c r="AI386" s="425"/>
      <c r="AJ386" s="425"/>
      <c r="AK386" s="425"/>
      <c r="AL386" s="425"/>
      <c r="AM386" s="425"/>
      <c r="AN386" s="425"/>
      <c r="AO386" s="425"/>
      <c r="AP386" s="425"/>
      <c r="AQ386" s="425"/>
      <c r="AR386" s="425"/>
      <c r="AS386" s="425"/>
      <c r="AT386" s="425"/>
      <c r="AU386" s="425"/>
      <c r="AV386" s="425"/>
      <c r="AW386" s="425"/>
      <c r="AX386" s="425"/>
      <c r="AY386" s="426"/>
    </row>
    <row r="387" spans="2:51" ht="18" customHeight="1">
      <c r="B387" s="1946" t="str">
        <f>+$B$9</f>
        <v>病院・ホテル</v>
      </c>
      <c r="C387" s="1205">
        <f>C388</f>
        <v>33060</v>
      </c>
      <c r="D387" s="1242">
        <f>D388</f>
        <v>120</v>
      </c>
      <c r="E387" s="1207">
        <f>E388</f>
        <v>3</v>
      </c>
      <c r="F387" s="1242">
        <f t="shared" ref="F387:I387" si="59">F388</f>
        <v>60</v>
      </c>
      <c r="G387" s="1207">
        <f t="shared" si="59"/>
        <v>1</v>
      </c>
      <c r="H387" s="1242">
        <f t="shared" si="59"/>
        <v>30</v>
      </c>
      <c r="I387" s="1207">
        <f t="shared" si="59"/>
        <v>0.3</v>
      </c>
      <c r="J387" s="1209" t="str">
        <f>J388</f>
        <v>機械換気</v>
      </c>
      <c r="K387" s="1207">
        <f>K388</f>
        <v>4.5</v>
      </c>
      <c r="L387" s="1207" t="str">
        <f t="shared" ref="L387:O387" si="60">L388</f>
        <v>自然換気</v>
      </c>
      <c r="M387" s="1207">
        <f t="shared" si="60"/>
        <v>1</v>
      </c>
      <c r="N387" s="1207" t="str">
        <f t="shared" si="60"/>
        <v>-</v>
      </c>
      <c r="O387" s="1210" t="str">
        <f t="shared" si="60"/>
        <v>-</v>
      </c>
      <c r="P387" s="425"/>
      <c r="Q387" s="425"/>
      <c r="R387" s="425"/>
      <c r="S387" s="425"/>
      <c r="T387" s="425"/>
      <c r="U387" s="425"/>
      <c r="V387" s="425"/>
      <c r="W387" s="425"/>
      <c r="X387" s="425"/>
      <c r="Y387" s="425"/>
      <c r="Z387" s="425"/>
      <c r="AA387" s="425"/>
      <c r="AB387" s="425"/>
      <c r="AC387" s="425"/>
      <c r="AD387" s="425"/>
      <c r="AE387" s="425"/>
      <c r="AF387" s="425"/>
      <c r="AG387" s="425"/>
      <c r="AH387" s="425"/>
      <c r="AI387" s="425"/>
      <c r="AJ387" s="425"/>
      <c r="AK387" s="425"/>
      <c r="AL387" s="425"/>
      <c r="AM387" s="425"/>
      <c r="AN387" s="425"/>
      <c r="AO387" s="425"/>
      <c r="AP387" s="425"/>
      <c r="AQ387" s="425"/>
      <c r="AR387" s="425"/>
      <c r="AS387" s="425"/>
      <c r="AT387" s="425"/>
      <c r="AU387" s="425"/>
      <c r="AV387" s="425"/>
      <c r="AW387" s="425"/>
      <c r="AX387" s="425"/>
      <c r="AY387" s="426"/>
    </row>
    <row r="388" spans="2:51" ht="18" customHeight="1">
      <c r="B388" s="1947" t="str">
        <f>+$B$10</f>
        <v>工場・倉庫</v>
      </c>
      <c r="C388" s="1211">
        <v>33060</v>
      </c>
      <c r="D388" s="823">
        <v>120</v>
      </c>
      <c r="E388" s="446">
        <v>3</v>
      </c>
      <c r="F388" s="446">
        <v>60</v>
      </c>
      <c r="G388" s="446">
        <v>1</v>
      </c>
      <c r="H388" s="446">
        <v>30</v>
      </c>
      <c r="I388" s="447">
        <v>0.3</v>
      </c>
      <c r="J388" s="445" t="s">
        <v>1211</v>
      </c>
      <c r="K388" s="446">
        <v>4.5</v>
      </c>
      <c r="L388" s="446" t="s">
        <v>1212</v>
      </c>
      <c r="M388" s="446">
        <v>1</v>
      </c>
      <c r="N388" s="446" t="s">
        <v>1051</v>
      </c>
      <c r="O388" s="447" t="s">
        <v>1051</v>
      </c>
      <c r="P388" s="425"/>
      <c r="Q388" s="425"/>
      <c r="R388" s="425"/>
      <c r="S388" s="425"/>
      <c r="T388" s="425"/>
      <c r="U388" s="425"/>
      <c r="V388" s="425"/>
      <c r="W388" s="425"/>
      <c r="X388" s="425"/>
      <c r="Y388" s="425"/>
      <c r="Z388" s="425"/>
      <c r="AA388" s="425"/>
      <c r="AB388" s="425"/>
      <c r="AC388" s="425"/>
      <c r="AD388" s="425"/>
      <c r="AE388" s="425"/>
      <c r="AF388" s="425"/>
      <c r="AG388" s="425"/>
      <c r="AH388" s="425"/>
      <c r="AI388" s="425"/>
      <c r="AJ388" s="425"/>
      <c r="AK388" s="425"/>
      <c r="AL388" s="425"/>
      <c r="AM388" s="425"/>
      <c r="AN388" s="425"/>
      <c r="AO388" s="425"/>
      <c r="AP388" s="425"/>
      <c r="AQ388" s="425"/>
      <c r="AR388" s="425"/>
      <c r="AS388" s="425"/>
      <c r="AT388" s="425"/>
      <c r="AU388" s="425"/>
      <c r="AV388" s="425"/>
      <c r="AW388" s="425"/>
      <c r="AX388" s="425"/>
      <c r="AY388" s="426"/>
    </row>
    <row r="389" spans="2:51" ht="18" customHeight="1">
      <c r="B389" s="1941" t="s">
        <v>311</v>
      </c>
      <c r="C389" s="1916" t="s">
        <v>203</v>
      </c>
      <c r="D389" s="1912" t="s">
        <v>901</v>
      </c>
      <c r="E389" s="1912"/>
      <c r="F389" s="1912"/>
      <c r="G389" s="1912"/>
      <c r="H389" s="1912"/>
      <c r="I389" s="1912"/>
      <c r="J389" s="1948"/>
      <c r="K389" s="1949"/>
      <c r="L389" s="1949"/>
      <c r="M389" s="1949"/>
      <c r="N389" s="1949"/>
      <c r="O389" s="1950"/>
      <c r="P389" s="1951" t="s">
        <v>902</v>
      </c>
      <c r="Q389" s="1912"/>
      <c r="R389" s="1912"/>
      <c r="S389" s="1912"/>
      <c r="T389" s="1912"/>
      <c r="U389" s="1952"/>
      <c r="V389" s="1951" t="s">
        <v>903</v>
      </c>
      <c r="W389" s="1912"/>
      <c r="X389" s="1912"/>
      <c r="Y389" s="1912"/>
      <c r="Z389" s="1912"/>
      <c r="AA389" s="1952"/>
      <c r="AB389" s="1951" t="s">
        <v>506</v>
      </c>
      <c r="AC389" s="1912"/>
      <c r="AD389" s="1912"/>
      <c r="AE389" s="1912"/>
      <c r="AF389" s="1912"/>
      <c r="AG389" s="1952"/>
      <c r="AH389" s="460"/>
      <c r="AI389" s="423"/>
      <c r="AJ389" s="423"/>
      <c r="AK389" s="423"/>
      <c r="AL389" s="423"/>
      <c r="AM389" s="423"/>
      <c r="AN389" s="423"/>
      <c r="AO389" s="423"/>
      <c r="AP389" s="423"/>
      <c r="AQ389" s="423"/>
      <c r="AR389" s="423"/>
      <c r="AS389" s="423"/>
      <c r="AT389" s="423"/>
      <c r="AU389" s="423"/>
      <c r="AV389" s="423"/>
      <c r="AW389" s="423"/>
      <c r="AX389" s="423"/>
      <c r="AY389" s="424"/>
    </row>
    <row r="390" spans="2:51" ht="18" customHeight="1">
      <c r="B390" s="1942"/>
      <c r="C390" s="1907" t="s">
        <v>507</v>
      </c>
      <c r="D390" s="1953" t="s">
        <v>319</v>
      </c>
      <c r="E390" s="1899"/>
      <c r="F390" s="1901" t="s">
        <v>320</v>
      </c>
      <c r="G390" s="1899"/>
      <c r="H390" s="1901" t="s">
        <v>320</v>
      </c>
      <c r="I390" s="1953"/>
      <c r="J390" s="1954"/>
      <c r="K390" s="1955"/>
      <c r="L390" s="1956"/>
      <c r="M390" s="1955"/>
      <c r="N390" s="1956"/>
      <c r="O390" s="1957"/>
      <c r="P390" s="1908" t="s">
        <v>318</v>
      </c>
      <c r="Q390" s="1899"/>
      <c r="R390" s="1901" t="s">
        <v>319</v>
      </c>
      <c r="S390" s="1899"/>
      <c r="T390" s="1901" t="s">
        <v>320</v>
      </c>
      <c r="U390" s="1921"/>
      <c r="V390" s="1908" t="s">
        <v>318</v>
      </c>
      <c r="W390" s="1899"/>
      <c r="X390" s="1901" t="s">
        <v>319</v>
      </c>
      <c r="Y390" s="1899"/>
      <c r="Z390" s="1901" t="s">
        <v>320</v>
      </c>
      <c r="AA390" s="1921"/>
      <c r="AB390" s="1958" t="s">
        <v>1144</v>
      </c>
      <c r="AC390" s="1899"/>
      <c r="AD390" s="1901" t="s">
        <v>319</v>
      </c>
      <c r="AE390" s="1899"/>
      <c r="AF390" s="1959" t="s">
        <v>1109</v>
      </c>
      <c r="AG390" s="1921"/>
      <c r="AH390" s="461"/>
      <c r="AI390" s="425"/>
      <c r="AJ390" s="425"/>
      <c r="AK390" s="425"/>
      <c r="AL390" s="425"/>
      <c r="AM390" s="425"/>
      <c r="AN390" s="425"/>
      <c r="AO390" s="425"/>
      <c r="AP390" s="425"/>
      <c r="AQ390" s="425"/>
      <c r="AR390" s="425"/>
      <c r="AS390" s="425"/>
      <c r="AT390" s="425"/>
      <c r="AU390" s="425"/>
      <c r="AV390" s="425"/>
      <c r="AW390" s="425"/>
      <c r="AX390" s="425"/>
      <c r="AY390" s="426"/>
    </row>
    <row r="391" spans="2:51" ht="18" customHeight="1">
      <c r="B391" s="1945" t="str">
        <f>+$B$6</f>
        <v>戸建形式住宅</v>
      </c>
      <c r="C391" s="588" t="s">
        <v>23</v>
      </c>
      <c r="D391" s="431" t="s">
        <v>857</v>
      </c>
      <c r="E391" s="432" t="s">
        <v>857</v>
      </c>
      <c r="F391" s="432" t="s">
        <v>857</v>
      </c>
      <c r="G391" s="432" t="s">
        <v>857</v>
      </c>
      <c r="H391" s="432" t="s">
        <v>857</v>
      </c>
      <c r="I391" s="436" t="s">
        <v>857</v>
      </c>
      <c r="J391" s="437" t="s">
        <v>857</v>
      </c>
      <c r="K391" s="432" t="s">
        <v>857</v>
      </c>
      <c r="L391" s="432" t="s">
        <v>857</v>
      </c>
      <c r="M391" s="432" t="s">
        <v>857</v>
      </c>
      <c r="N391" s="432" t="s">
        <v>857</v>
      </c>
      <c r="O391" s="433" t="s">
        <v>857</v>
      </c>
      <c r="P391" s="437" t="s">
        <v>857</v>
      </c>
      <c r="Q391" s="432" t="s">
        <v>857</v>
      </c>
      <c r="R391" s="432" t="s">
        <v>857</v>
      </c>
      <c r="S391" s="432" t="s">
        <v>857</v>
      </c>
      <c r="T391" s="432" t="s">
        <v>857</v>
      </c>
      <c r="U391" s="433" t="s">
        <v>857</v>
      </c>
      <c r="V391" s="437" t="s">
        <v>857</v>
      </c>
      <c r="W391" s="432" t="s">
        <v>857</v>
      </c>
      <c r="X391" s="432" t="s">
        <v>857</v>
      </c>
      <c r="Y391" s="432" t="s">
        <v>857</v>
      </c>
      <c r="Z391" s="432" t="s">
        <v>857</v>
      </c>
      <c r="AA391" s="433" t="s">
        <v>857</v>
      </c>
      <c r="AB391" s="437" t="s">
        <v>857</v>
      </c>
      <c r="AC391" s="432" t="s">
        <v>857</v>
      </c>
      <c r="AD391" s="432" t="s">
        <v>857</v>
      </c>
      <c r="AE391" s="432" t="s">
        <v>857</v>
      </c>
      <c r="AF391" s="432" t="s">
        <v>857</v>
      </c>
      <c r="AG391" s="433" t="s">
        <v>857</v>
      </c>
      <c r="AH391" s="461"/>
      <c r="AI391" s="425"/>
      <c r="AJ391" s="425"/>
      <c r="AK391" s="425"/>
      <c r="AL391" s="425"/>
      <c r="AM391" s="425"/>
      <c r="AN391" s="425"/>
      <c r="AO391" s="425"/>
      <c r="AP391" s="425"/>
      <c r="AQ391" s="425"/>
      <c r="AR391" s="425"/>
      <c r="AS391" s="425"/>
      <c r="AT391" s="425"/>
      <c r="AU391" s="425"/>
      <c r="AV391" s="425"/>
      <c r="AW391" s="425"/>
      <c r="AX391" s="425"/>
      <c r="AY391" s="426"/>
    </row>
    <row r="392" spans="2:51" ht="18" customHeight="1">
      <c r="B392" s="1946" t="str">
        <f>+$B$7</f>
        <v>集合形式住宅</v>
      </c>
      <c r="C392" s="430">
        <v>920</v>
      </c>
      <c r="D392" s="431" t="s">
        <v>508</v>
      </c>
      <c r="E392" s="432">
        <v>1</v>
      </c>
      <c r="F392" s="432" t="s">
        <v>509</v>
      </c>
      <c r="G392" s="432">
        <v>0.9</v>
      </c>
      <c r="H392" s="432" t="s">
        <v>510</v>
      </c>
      <c r="I392" s="436">
        <v>0.86</v>
      </c>
      <c r="J392" s="1050" t="s">
        <v>5656</v>
      </c>
      <c r="K392" s="559" t="s">
        <v>5656</v>
      </c>
      <c r="L392" s="559" t="s">
        <v>5656</v>
      </c>
      <c r="M392" s="559" t="s">
        <v>5656</v>
      </c>
      <c r="N392" s="559" t="s">
        <v>5656</v>
      </c>
      <c r="O392" s="1053" t="s">
        <v>5656</v>
      </c>
      <c r="P392" s="437" t="s">
        <v>323</v>
      </c>
      <c r="Q392" s="432">
        <v>1.25</v>
      </c>
      <c r="R392" s="432" t="s">
        <v>324</v>
      </c>
      <c r="S392" s="432">
        <v>1</v>
      </c>
      <c r="T392" s="432" t="s">
        <v>325</v>
      </c>
      <c r="U392" s="433">
        <v>0.8</v>
      </c>
      <c r="V392" s="437" t="s">
        <v>511</v>
      </c>
      <c r="W392" s="432">
        <v>1.2</v>
      </c>
      <c r="X392" s="432" t="s">
        <v>512</v>
      </c>
      <c r="Y392" s="432">
        <v>1</v>
      </c>
      <c r="Z392" s="432" t="s">
        <v>513</v>
      </c>
      <c r="AA392" s="433">
        <v>0.8</v>
      </c>
      <c r="AB392" s="1262">
        <v>360</v>
      </c>
      <c r="AC392" s="1251">
        <v>1.1499999999999999</v>
      </c>
      <c r="AD392" s="1202">
        <v>1800</v>
      </c>
      <c r="AE392" s="1251">
        <v>1</v>
      </c>
      <c r="AF392" s="1202">
        <v>3600</v>
      </c>
      <c r="AG392" s="1296">
        <v>0.93</v>
      </c>
      <c r="AH392" s="461"/>
      <c r="AI392" s="425"/>
      <c r="AJ392" s="425"/>
      <c r="AK392" s="425"/>
      <c r="AL392" s="425"/>
      <c r="AM392" s="425"/>
      <c r="AN392" s="425"/>
      <c r="AO392" s="425"/>
      <c r="AP392" s="425"/>
      <c r="AQ392" s="425"/>
      <c r="AR392" s="425"/>
      <c r="AS392" s="425"/>
      <c r="AT392" s="425"/>
      <c r="AU392" s="425"/>
      <c r="AV392" s="425"/>
      <c r="AW392" s="425"/>
      <c r="AX392" s="425"/>
      <c r="AY392" s="426"/>
    </row>
    <row r="393" spans="2:51" ht="18" customHeight="1">
      <c r="B393" s="1946" t="str">
        <f>+$B$8</f>
        <v>事務所・店舗</v>
      </c>
      <c r="C393" s="430">
        <v>920</v>
      </c>
      <c r="D393" s="431" t="s">
        <v>508</v>
      </c>
      <c r="E393" s="432">
        <v>1</v>
      </c>
      <c r="F393" s="432" t="s">
        <v>509</v>
      </c>
      <c r="G393" s="432">
        <v>0.9</v>
      </c>
      <c r="H393" s="432" t="s">
        <v>510</v>
      </c>
      <c r="I393" s="436">
        <v>0.86</v>
      </c>
      <c r="J393" s="1050" t="s">
        <v>5656</v>
      </c>
      <c r="K393" s="559" t="s">
        <v>5656</v>
      </c>
      <c r="L393" s="559" t="s">
        <v>5656</v>
      </c>
      <c r="M393" s="559" t="s">
        <v>5656</v>
      </c>
      <c r="N393" s="559" t="s">
        <v>5656</v>
      </c>
      <c r="O393" s="1053" t="s">
        <v>5656</v>
      </c>
      <c r="P393" s="437" t="s">
        <v>323</v>
      </c>
      <c r="Q393" s="432">
        <v>1.25</v>
      </c>
      <c r="R393" s="432" t="s">
        <v>324</v>
      </c>
      <c r="S393" s="432">
        <v>1</v>
      </c>
      <c r="T393" s="432" t="s">
        <v>325</v>
      </c>
      <c r="U393" s="433">
        <v>0.8</v>
      </c>
      <c r="V393" s="437" t="s">
        <v>511</v>
      </c>
      <c r="W393" s="432">
        <v>1.2</v>
      </c>
      <c r="X393" s="432" t="s">
        <v>512</v>
      </c>
      <c r="Y393" s="432">
        <v>1</v>
      </c>
      <c r="Z393" s="432" t="s">
        <v>513</v>
      </c>
      <c r="AA393" s="433">
        <v>0.8</v>
      </c>
      <c r="AB393" s="1262">
        <v>1000</v>
      </c>
      <c r="AC393" s="432">
        <v>1.1499999999999999</v>
      </c>
      <c r="AD393" s="1202">
        <v>3000</v>
      </c>
      <c r="AE393" s="432">
        <v>1</v>
      </c>
      <c r="AF393" s="1202">
        <v>10000</v>
      </c>
      <c r="AG393" s="433">
        <v>0.93</v>
      </c>
      <c r="AH393" s="461"/>
      <c r="AI393" s="425"/>
      <c r="AJ393" s="425"/>
      <c r="AK393" s="425"/>
      <c r="AL393" s="425"/>
      <c r="AM393" s="425"/>
      <c r="AN393" s="425"/>
      <c r="AO393" s="425"/>
      <c r="AP393" s="425"/>
      <c r="AQ393" s="425"/>
      <c r="AR393" s="425"/>
      <c r="AS393" s="425"/>
      <c r="AT393" s="425"/>
      <c r="AU393" s="425"/>
      <c r="AV393" s="425"/>
      <c r="AW393" s="425"/>
      <c r="AX393" s="425"/>
      <c r="AY393" s="426"/>
    </row>
    <row r="394" spans="2:51" ht="18" customHeight="1">
      <c r="B394" s="1946" t="str">
        <f>+$B$9</f>
        <v>病院・ホテル</v>
      </c>
      <c r="C394" s="430">
        <v>920</v>
      </c>
      <c r="D394" s="431" t="s">
        <v>508</v>
      </c>
      <c r="E394" s="432">
        <v>1</v>
      </c>
      <c r="F394" s="432" t="s">
        <v>509</v>
      </c>
      <c r="G394" s="432">
        <v>0.9</v>
      </c>
      <c r="H394" s="432" t="s">
        <v>510</v>
      </c>
      <c r="I394" s="436">
        <v>0.86</v>
      </c>
      <c r="J394" s="1050" t="s">
        <v>5656</v>
      </c>
      <c r="K394" s="559" t="s">
        <v>5656</v>
      </c>
      <c r="L394" s="559" t="s">
        <v>5656</v>
      </c>
      <c r="M394" s="559" t="s">
        <v>5656</v>
      </c>
      <c r="N394" s="559" t="s">
        <v>5656</v>
      </c>
      <c r="O394" s="1053" t="s">
        <v>5656</v>
      </c>
      <c r="P394" s="437" t="s">
        <v>323</v>
      </c>
      <c r="Q394" s="432">
        <v>1.25</v>
      </c>
      <c r="R394" s="432" t="s">
        <v>324</v>
      </c>
      <c r="S394" s="432">
        <v>1</v>
      </c>
      <c r="T394" s="432" t="s">
        <v>325</v>
      </c>
      <c r="U394" s="433">
        <v>0.8</v>
      </c>
      <c r="V394" s="437" t="s">
        <v>511</v>
      </c>
      <c r="W394" s="432">
        <v>1.2</v>
      </c>
      <c r="X394" s="432" t="s">
        <v>512</v>
      </c>
      <c r="Y394" s="432">
        <v>1</v>
      </c>
      <c r="Z394" s="432" t="s">
        <v>513</v>
      </c>
      <c r="AA394" s="433">
        <v>0.8</v>
      </c>
      <c r="AB394" s="1262">
        <v>1000</v>
      </c>
      <c r="AC394" s="432">
        <v>1.1499999999999999</v>
      </c>
      <c r="AD394" s="1202">
        <v>3000</v>
      </c>
      <c r="AE394" s="432">
        <v>1</v>
      </c>
      <c r="AF394" s="1202">
        <v>10000</v>
      </c>
      <c r="AG394" s="433">
        <v>0.93</v>
      </c>
      <c r="AH394" s="461"/>
      <c r="AI394" s="425"/>
      <c r="AJ394" s="425"/>
      <c r="AK394" s="425"/>
      <c r="AL394" s="425"/>
      <c r="AM394" s="425"/>
      <c r="AN394" s="425"/>
      <c r="AO394" s="425"/>
      <c r="AP394" s="425"/>
      <c r="AQ394" s="425"/>
      <c r="AR394" s="425"/>
      <c r="AS394" s="425"/>
      <c r="AT394" s="425"/>
      <c r="AU394" s="425"/>
      <c r="AV394" s="425"/>
      <c r="AW394" s="425"/>
      <c r="AX394" s="425"/>
      <c r="AY394" s="426"/>
    </row>
    <row r="395" spans="2:51" ht="18" customHeight="1">
      <c r="B395" s="1947" t="str">
        <f>+$B$10</f>
        <v>工場・倉庫</v>
      </c>
      <c r="C395" s="430">
        <v>920</v>
      </c>
      <c r="D395" s="441" t="s">
        <v>508</v>
      </c>
      <c r="E395" s="442">
        <v>1</v>
      </c>
      <c r="F395" s="442" t="s">
        <v>509</v>
      </c>
      <c r="G395" s="442">
        <v>0.9</v>
      </c>
      <c r="H395" s="442" t="s">
        <v>510</v>
      </c>
      <c r="I395" s="444">
        <v>0.86</v>
      </c>
      <c r="J395" s="1051" t="s">
        <v>5656</v>
      </c>
      <c r="K395" s="1052" t="s">
        <v>5656</v>
      </c>
      <c r="L395" s="1052" t="s">
        <v>5656</v>
      </c>
      <c r="M395" s="1052" t="s">
        <v>5656</v>
      </c>
      <c r="N395" s="1052" t="s">
        <v>5656</v>
      </c>
      <c r="O395" s="1054" t="s">
        <v>5656</v>
      </c>
      <c r="P395" s="445" t="s">
        <v>323</v>
      </c>
      <c r="Q395" s="446">
        <v>1.25</v>
      </c>
      <c r="R395" s="446" t="s">
        <v>324</v>
      </c>
      <c r="S395" s="446">
        <v>1</v>
      </c>
      <c r="T395" s="446" t="s">
        <v>325</v>
      </c>
      <c r="U395" s="447">
        <v>0.8</v>
      </c>
      <c r="V395" s="445" t="s">
        <v>511</v>
      </c>
      <c r="W395" s="446">
        <v>1.2</v>
      </c>
      <c r="X395" s="446" t="s">
        <v>512</v>
      </c>
      <c r="Y395" s="446">
        <v>1</v>
      </c>
      <c r="Z395" s="446" t="s">
        <v>513</v>
      </c>
      <c r="AA395" s="447">
        <v>0.8</v>
      </c>
      <c r="AB395" s="1262">
        <v>1000</v>
      </c>
      <c r="AC395" s="432">
        <v>1.1499999999999999</v>
      </c>
      <c r="AD395" s="1202">
        <v>3000</v>
      </c>
      <c r="AE395" s="432">
        <v>1</v>
      </c>
      <c r="AF395" s="1202">
        <v>10000</v>
      </c>
      <c r="AG395" s="433">
        <v>0.93</v>
      </c>
      <c r="AH395" s="461"/>
      <c r="AI395" s="425"/>
      <c r="AJ395" s="425"/>
      <c r="AK395" s="425"/>
      <c r="AL395" s="425"/>
      <c r="AM395" s="425"/>
      <c r="AN395" s="425"/>
      <c r="AO395" s="425"/>
      <c r="AP395" s="425"/>
      <c r="AQ395" s="425"/>
      <c r="AR395" s="425"/>
      <c r="AS395" s="425"/>
      <c r="AT395" s="425"/>
      <c r="AU395" s="425"/>
      <c r="AV395" s="425"/>
      <c r="AW395" s="425"/>
      <c r="AX395" s="425"/>
      <c r="AY395" s="426"/>
    </row>
    <row r="396" spans="2:51" ht="18" customHeight="1">
      <c r="B396" s="1941" t="s">
        <v>311</v>
      </c>
      <c r="C396" s="1917" t="s">
        <v>514</v>
      </c>
      <c r="D396" s="1951" t="s">
        <v>515</v>
      </c>
      <c r="E396" s="1912"/>
      <c r="F396" s="1912"/>
      <c r="G396" s="1912"/>
      <c r="H396" s="1912"/>
      <c r="I396" s="1952"/>
      <c r="J396" s="1912" t="s">
        <v>516</v>
      </c>
      <c r="K396" s="1912"/>
      <c r="L396" s="1912"/>
      <c r="M396" s="1912"/>
      <c r="N396" s="1912"/>
      <c r="O396" s="1952"/>
      <c r="P396" s="459"/>
      <c r="Q396" s="455"/>
      <c r="R396" s="455"/>
      <c r="S396" s="455"/>
      <c r="T396" s="455"/>
      <c r="U396" s="455"/>
      <c r="V396" s="455"/>
      <c r="W396" s="455"/>
      <c r="X396" s="455"/>
      <c r="Y396" s="455"/>
      <c r="Z396" s="455"/>
      <c r="AA396" s="455"/>
      <c r="AB396" s="468"/>
      <c r="AC396" s="465"/>
      <c r="AD396" s="468"/>
      <c r="AE396" s="465"/>
      <c r="AF396" s="468"/>
      <c r="AG396" s="465"/>
      <c r="AH396" s="455"/>
      <c r="AI396" s="455"/>
      <c r="AJ396" s="455"/>
      <c r="AK396" s="455"/>
      <c r="AL396" s="455"/>
      <c r="AM396" s="455"/>
      <c r="AN396" s="423"/>
      <c r="AO396" s="423"/>
      <c r="AP396" s="423"/>
      <c r="AQ396" s="423"/>
      <c r="AR396" s="423"/>
      <c r="AS396" s="423"/>
      <c r="AT396" s="423"/>
      <c r="AU396" s="423"/>
      <c r="AV396" s="423"/>
      <c r="AW396" s="423"/>
      <c r="AX396" s="423"/>
      <c r="AY396" s="424"/>
    </row>
    <row r="397" spans="2:51" ht="18" customHeight="1">
      <c r="B397" s="1942"/>
      <c r="C397" s="1894" t="s">
        <v>517</v>
      </c>
      <c r="D397" s="1908" t="s">
        <v>318</v>
      </c>
      <c r="E397" s="1899"/>
      <c r="F397" s="1901" t="s">
        <v>319</v>
      </c>
      <c r="G397" s="1899"/>
      <c r="H397" s="1901" t="s">
        <v>320</v>
      </c>
      <c r="I397" s="1921"/>
      <c r="J397" s="1953" t="s">
        <v>318</v>
      </c>
      <c r="K397" s="1899"/>
      <c r="L397" s="1901" t="s">
        <v>319</v>
      </c>
      <c r="M397" s="1899"/>
      <c r="N397" s="1901" t="s">
        <v>320</v>
      </c>
      <c r="O397" s="1921"/>
      <c r="P397" s="450"/>
      <c r="Q397" s="451"/>
      <c r="R397" s="451"/>
      <c r="S397" s="451"/>
      <c r="T397" s="451"/>
      <c r="U397" s="451"/>
      <c r="V397" s="451"/>
      <c r="W397" s="451"/>
      <c r="X397" s="451"/>
      <c r="Y397" s="451"/>
      <c r="Z397" s="451"/>
      <c r="AA397" s="451"/>
      <c r="AB397" s="469"/>
      <c r="AC397" s="467"/>
      <c r="AD397" s="469"/>
      <c r="AE397" s="467"/>
      <c r="AF397" s="469"/>
      <c r="AG397" s="467"/>
      <c r="AH397" s="451"/>
      <c r="AI397" s="451"/>
      <c r="AJ397" s="451"/>
      <c r="AK397" s="451"/>
      <c r="AL397" s="451"/>
      <c r="AM397" s="451"/>
      <c r="AN397" s="425"/>
      <c r="AO397" s="425"/>
      <c r="AP397" s="425"/>
      <c r="AQ397" s="425"/>
      <c r="AR397" s="425"/>
      <c r="AS397" s="425"/>
      <c r="AT397" s="425"/>
      <c r="AU397" s="425"/>
      <c r="AV397" s="425"/>
      <c r="AW397" s="425"/>
      <c r="AX397" s="425"/>
      <c r="AY397" s="426"/>
    </row>
    <row r="398" spans="2:51" ht="18" customHeight="1">
      <c r="B398" s="1945" t="str">
        <f>+$B$6</f>
        <v>戸建形式住宅</v>
      </c>
      <c r="C398" s="588" t="s">
        <v>23</v>
      </c>
      <c r="D398" s="431" t="s">
        <v>857</v>
      </c>
      <c r="E398" s="432" t="s">
        <v>857</v>
      </c>
      <c r="F398" s="432" t="s">
        <v>857</v>
      </c>
      <c r="G398" s="432" t="s">
        <v>857</v>
      </c>
      <c r="H398" s="432" t="s">
        <v>857</v>
      </c>
      <c r="I398" s="433" t="s">
        <v>857</v>
      </c>
      <c r="J398" s="437" t="s">
        <v>857</v>
      </c>
      <c r="K398" s="432" t="s">
        <v>857</v>
      </c>
      <c r="L398" s="432" t="s">
        <v>857</v>
      </c>
      <c r="M398" s="432" t="s">
        <v>857</v>
      </c>
      <c r="N398" s="432" t="s">
        <v>857</v>
      </c>
      <c r="O398" s="433" t="s">
        <v>857</v>
      </c>
      <c r="P398" s="450"/>
      <c r="Q398" s="451"/>
      <c r="R398" s="451"/>
      <c r="S398" s="451"/>
      <c r="T398" s="451"/>
      <c r="U398" s="451"/>
      <c r="V398" s="451"/>
      <c r="W398" s="451"/>
      <c r="X398" s="451"/>
      <c r="Y398" s="451"/>
      <c r="Z398" s="451"/>
      <c r="AA398" s="451"/>
      <c r="AB398" s="469"/>
      <c r="AC398" s="467"/>
      <c r="AD398" s="469"/>
      <c r="AE398" s="467"/>
      <c r="AF398" s="469"/>
      <c r="AG398" s="467"/>
      <c r="AH398" s="451"/>
      <c r="AI398" s="451"/>
      <c r="AJ398" s="451"/>
      <c r="AK398" s="451"/>
      <c r="AL398" s="451"/>
      <c r="AM398" s="451"/>
      <c r="AN398" s="425"/>
      <c r="AO398" s="425"/>
      <c r="AP398" s="425"/>
      <c r="AQ398" s="425"/>
      <c r="AR398" s="425"/>
      <c r="AS398" s="425"/>
      <c r="AT398" s="425"/>
      <c r="AU398" s="425"/>
      <c r="AV398" s="425"/>
      <c r="AW398" s="425"/>
      <c r="AX398" s="425"/>
      <c r="AY398" s="426"/>
    </row>
    <row r="399" spans="2:51" ht="18" customHeight="1">
      <c r="B399" s="1946" t="str">
        <f>+$B$7</f>
        <v>集合形式住宅</v>
      </c>
      <c r="C399" s="430">
        <v>310620</v>
      </c>
      <c r="D399" s="437" t="s">
        <v>1051</v>
      </c>
      <c r="E399" s="432" t="s">
        <v>1051</v>
      </c>
      <c r="F399" s="432" t="s">
        <v>518</v>
      </c>
      <c r="G399" s="432">
        <v>1</v>
      </c>
      <c r="H399" s="432" t="s">
        <v>519</v>
      </c>
      <c r="I399" s="433">
        <v>0.8</v>
      </c>
      <c r="J399" s="1197">
        <v>60</v>
      </c>
      <c r="K399" s="432">
        <v>1.3</v>
      </c>
      <c r="L399" s="435">
        <v>30</v>
      </c>
      <c r="M399" s="432">
        <v>1</v>
      </c>
      <c r="N399" s="435">
        <v>20</v>
      </c>
      <c r="O399" s="433">
        <v>0.95</v>
      </c>
      <c r="P399" s="450"/>
      <c r="Q399" s="451"/>
      <c r="R399" s="451"/>
      <c r="S399" s="451"/>
      <c r="T399" s="451"/>
      <c r="U399" s="451"/>
      <c r="V399" s="451"/>
      <c r="W399" s="451"/>
      <c r="X399" s="451"/>
      <c r="Y399" s="451"/>
      <c r="Z399" s="451"/>
      <c r="AA399" s="451"/>
      <c r="AB399" s="469"/>
      <c r="AC399" s="467"/>
      <c r="AD399" s="469"/>
      <c r="AE399" s="467"/>
      <c r="AF399" s="469"/>
      <c r="AG399" s="467"/>
      <c r="AH399" s="451"/>
      <c r="AI399" s="451"/>
      <c r="AJ399" s="451"/>
      <c r="AK399" s="451"/>
      <c r="AL399" s="451"/>
      <c r="AM399" s="451"/>
      <c r="AN399" s="425"/>
      <c r="AO399" s="425"/>
      <c r="AP399" s="425"/>
      <c r="AQ399" s="425"/>
      <c r="AR399" s="425"/>
      <c r="AS399" s="425"/>
      <c r="AT399" s="425"/>
      <c r="AU399" s="425"/>
      <c r="AV399" s="425"/>
      <c r="AW399" s="425"/>
      <c r="AX399" s="425"/>
      <c r="AY399" s="426"/>
    </row>
    <row r="400" spans="2:51" ht="18" customHeight="1">
      <c r="B400" s="1946" t="str">
        <f>+$B$8</f>
        <v>事務所・店舗</v>
      </c>
      <c r="C400" s="430">
        <v>310620</v>
      </c>
      <c r="D400" s="437" t="s">
        <v>1051</v>
      </c>
      <c r="E400" s="432" t="s">
        <v>1051</v>
      </c>
      <c r="F400" s="432" t="s">
        <v>518</v>
      </c>
      <c r="G400" s="432">
        <v>1</v>
      </c>
      <c r="H400" s="432" t="s">
        <v>519</v>
      </c>
      <c r="I400" s="433">
        <v>0.8</v>
      </c>
      <c r="J400" s="1197">
        <v>60</v>
      </c>
      <c r="K400" s="432">
        <v>1.3</v>
      </c>
      <c r="L400" s="435">
        <v>30</v>
      </c>
      <c r="M400" s="432">
        <v>1</v>
      </c>
      <c r="N400" s="435">
        <v>20</v>
      </c>
      <c r="O400" s="433">
        <v>0.95</v>
      </c>
      <c r="P400" s="450"/>
      <c r="Q400" s="451"/>
      <c r="R400" s="451"/>
      <c r="S400" s="451"/>
      <c r="T400" s="451"/>
      <c r="U400" s="451"/>
      <c r="V400" s="451"/>
      <c r="W400" s="451"/>
      <c r="X400" s="451"/>
      <c r="Y400" s="451"/>
      <c r="Z400" s="451"/>
      <c r="AA400" s="451"/>
      <c r="AB400" s="469"/>
      <c r="AC400" s="467"/>
      <c r="AD400" s="469"/>
      <c r="AE400" s="467"/>
      <c r="AF400" s="469"/>
      <c r="AG400" s="467"/>
      <c r="AH400" s="451"/>
      <c r="AI400" s="451"/>
      <c r="AJ400" s="451"/>
      <c r="AK400" s="451"/>
      <c r="AL400" s="451"/>
      <c r="AM400" s="451"/>
      <c r="AN400" s="425"/>
      <c r="AO400" s="425"/>
      <c r="AP400" s="425"/>
      <c r="AQ400" s="425"/>
      <c r="AR400" s="425"/>
      <c r="AS400" s="425"/>
      <c r="AT400" s="425"/>
      <c r="AU400" s="425"/>
      <c r="AV400" s="425"/>
      <c r="AW400" s="425"/>
      <c r="AX400" s="425"/>
      <c r="AY400" s="426"/>
    </row>
    <row r="401" spans="2:51" ht="18" customHeight="1">
      <c r="B401" s="1946" t="str">
        <f>+$B$9</f>
        <v>病院・ホテル</v>
      </c>
      <c r="C401" s="430">
        <v>310620</v>
      </c>
      <c r="D401" s="437" t="s">
        <v>1051</v>
      </c>
      <c r="E401" s="432" t="s">
        <v>1051</v>
      </c>
      <c r="F401" s="432" t="s">
        <v>518</v>
      </c>
      <c r="G401" s="432">
        <v>1</v>
      </c>
      <c r="H401" s="432" t="s">
        <v>519</v>
      </c>
      <c r="I401" s="433">
        <v>0.8</v>
      </c>
      <c r="J401" s="1197">
        <v>60</v>
      </c>
      <c r="K401" s="432">
        <v>1.3</v>
      </c>
      <c r="L401" s="435">
        <v>30</v>
      </c>
      <c r="M401" s="432">
        <v>1</v>
      </c>
      <c r="N401" s="435">
        <v>20</v>
      </c>
      <c r="O401" s="433">
        <v>0.95</v>
      </c>
      <c r="P401" s="450"/>
      <c r="Q401" s="451"/>
      <c r="R401" s="451"/>
      <c r="S401" s="451"/>
      <c r="T401" s="451"/>
      <c r="U401" s="451"/>
      <c r="V401" s="451"/>
      <c r="W401" s="451"/>
      <c r="X401" s="451"/>
      <c r="Y401" s="451"/>
      <c r="Z401" s="451"/>
      <c r="AA401" s="451"/>
      <c r="AB401" s="469"/>
      <c r="AC401" s="467"/>
      <c r="AD401" s="469"/>
      <c r="AE401" s="467"/>
      <c r="AF401" s="469"/>
      <c r="AG401" s="467"/>
      <c r="AH401" s="451"/>
      <c r="AI401" s="451"/>
      <c r="AJ401" s="451"/>
      <c r="AK401" s="451"/>
      <c r="AL401" s="451"/>
      <c r="AM401" s="451"/>
      <c r="AN401" s="425"/>
      <c r="AO401" s="425"/>
      <c r="AP401" s="425"/>
      <c r="AQ401" s="425"/>
      <c r="AR401" s="425"/>
      <c r="AS401" s="425"/>
      <c r="AT401" s="425"/>
      <c r="AU401" s="425"/>
      <c r="AV401" s="425"/>
      <c r="AW401" s="425"/>
      <c r="AX401" s="425"/>
      <c r="AY401" s="426"/>
    </row>
    <row r="402" spans="2:51" ht="18" customHeight="1">
      <c r="B402" s="1947" t="str">
        <f>+$B$10</f>
        <v>工場・倉庫</v>
      </c>
      <c r="C402" s="1060">
        <v>310620</v>
      </c>
      <c r="D402" s="445" t="s">
        <v>1051</v>
      </c>
      <c r="E402" s="446" t="s">
        <v>1051</v>
      </c>
      <c r="F402" s="446" t="s">
        <v>518</v>
      </c>
      <c r="G402" s="446">
        <v>1</v>
      </c>
      <c r="H402" s="446" t="s">
        <v>519</v>
      </c>
      <c r="I402" s="447">
        <v>0.8</v>
      </c>
      <c r="J402" s="1282">
        <v>60</v>
      </c>
      <c r="K402" s="442">
        <v>1.3</v>
      </c>
      <c r="L402" s="1257">
        <v>30</v>
      </c>
      <c r="M402" s="442">
        <v>1</v>
      </c>
      <c r="N402" s="1257">
        <v>20</v>
      </c>
      <c r="O402" s="443">
        <v>0.95</v>
      </c>
      <c r="P402" s="450"/>
      <c r="Q402" s="451"/>
      <c r="R402" s="451"/>
      <c r="S402" s="451"/>
      <c r="T402" s="451"/>
      <c r="U402" s="451"/>
      <c r="V402" s="451"/>
      <c r="W402" s="451"/>
      <c r="X402" s="451"/>
      <c r="Y402" s="451"/>
      <c r="Z402" s="451"/>
      <c r="AA402" s="451"/>
      <c r="AB402" s="469"/>
      <c r="AC402" s="467"/>
      <c r="AD402" s="469"/>
      <c r="AE402" s="467"/>
      <c r="AF402" s="469"/>
      <c r="AG402" s="467"/>
      <c r="AH402" s="451"/>
      <c r="AI402" s="451"/>
      <c r="AJ402" s="451"/>
      <c r="AK402" s="451"/>
      <c r="AL402" s="451"/>
      <c r="AM402" s="451"/>
      <c r="AN402" s="425"/>
      <c r="AO402" s="425"/>
      <c r="AP402" s="425"/>
      <c r="AQ402" s="425"/>
      <c r="AR402" s="425"/>
      <c r="AS402" s="425"/>
      <c r="AT402" s="425"/>
      <c r="AU402" s="425"/>
      <c r="AV402" s="425"/>
      <c r="AW402" s="425"/>
      <c r="AX402" s="425"/>
      <c r="AY402" s="426"/>
    </row>
    <row r="403" spans="2:51" ht="18" customHeight="1">
      <c r="B403" s="1941" t="s">
        <v>311</v>
      </c>
      <c r="C403" s="1916" t="s">
        <v>520</v>
      </c>
      <c r="D403" s="459"/>
      <c r="E403" s="455"/>
      <c r="F403" s="455"/>
      <c r="G403" s="455"/>
      <c r="H403" s="455"/>
      <c r="I403" s="455"/>
      <c r="J403" s="464"/>
      <c r="K403" s="455"/>
      <c r="L403" s="464"/>
      <c r="M403" s="455"/>
      <c r="N403" s="464"/>
      <c r="O403" s="455"/>
      <c r="P403" s="455"/>
      <c r="Q403" s="455"/>
      <c r="R403" s="455"/>
      <c r="S403" s="455"/>
      <c r="T403" s="455"/>
      <c r="U403" s="455"/>
      <c r="V403" s="455"/>
      <c r="W403" s="455"/>
      <c r="X403" s="455"/>
      <c r="Y403" s="455"/>
      <c r="Z403" s="455"/>
      <c r="AA403" s="455"/>
      <c r="AB403" s="468"/>
      <c r="AC403" s="465"/>
      <c r="AD403" s="468"/>
      <c r="AE403" s="465"/>
      <c r="AF403" s="468"/>
      <c r="AG403" s="465"/>
      <c r="AH403" s="455"/>
      <c r="AI403" s="455"/>
      <c r="AJ403" s="455"/>
      <c r="AK403" s="455"/>
      <c r="AL403" s="455"/>
      <c r="AM403" s="455"/>
      <c r="AN403" s="423"/>
      <c r="AO403" s="423"/>
      <c r="AP403" s="423"/>
      <c r="AQ403" s="423"/>
      <c r="AR403" s="423"/>
      <c r="AS403" s="423"/>
      <c r="AT403" s="423"/>
      <c r="AU403" s="423"/>
      <c r="AV403" s="423"/>
      <c r="AW403" s="423"/>
      <c r="AX403" s="423"/>
      <c r="AY403" s="424"/>
    </row>
    <row r="404" spans="2:51" ht="18" customHeight="1">
      <c r="B404" s="1942"/>
      <c r="C404" s="1907" t="s">
        <v>521</v>
      </c>
      <c r="D404" s="450"/>
      <c r="E404" s="451"/>
      <c r="F404" s="451"/>
      <c r="G404" s="451"/>
      <c r="H404" s="451"/>
      <c r="I404" s="451"/>
      <c r="J404" s="466"/>
      <c r="K404" s="451"/>
      <c r="L404" s="466"/>
      <c r="M404" s="451"/>
      <c r="N404" s="466"/>
      <c r="O404" s="451"/>
      <c r="P404" s="451"/>
      <c r="Q404" s="451"/>
      <c r="R404" s="451"/>
      <c r="S404" s="451"/>
      <c r="T404" s="451"/>
      <c r="U404" s="451"/>
      <c r="V404" s="451"/>
      <c r="W404" s="451"/>
      <c r="X404" s="451"/>
      <c r="Y404" s="451"/>
      <c r="Z404" s="451"/>
      <c r="AA404" s="451"/>
      <c r="AB404" s="469"/>
      <c r="AC404" s="467"/>
      <c r="AD404" s="469"/>
      <c r="AE404" s="467"/>
      <c r="AF404" s="469"/>
      <c r="AG404" s="467"/>
      <c r="AH404" s="451"/>
      <c r="AI404" s="451"/>
      <c r="AJ404" s="451"/>
      <c r="AK404" s="451"/>
      <c r="AL404" s="451"/>
      <c r="AM404" s="451"/>
      <c r="AN404" s="425"/>
      <c r="AO404" s="425"/>
      <c r="AP404" s="425"/>
      <c r="AQ404" s="425"/>
      <c r="AR404" s="425"/>
      <c r="AS404" s="425"/>
      <c r="AT404" s="425"/>
      <c r="AU404" s="425"/>
      <c r="AV404" s="425"/>
      <c r="AW404" s="425"/>
      <c r="AX404" s="425"/>
      <c r="AY404" s="426"/>
    </row>
    <row r="405" spans="2:51" ht="18" customHeight="1">
      <c r="B405" s="1945" t="str">
        <f>+$B$6</f>
        <v>戸建形式住宅</v>
      </c>
      <c r="C405" s="588" t="s">
        <v>23</v>
      </c>
      <c r="D405" s="450"/>
      <c r="E405" s="451"/>
      <c r="F405" s="451"/>
      <c r="G405" s="451"/>
      <c r="H405" s="451"/>
      <c r="I405" s="451"/>
      <c r="J405" s="466"/>
      <c r="K405" s="451"/>
      <c r="L405" s="466"/>
      <c r="M405" s="451"/>
      <c r="N405" s="466"/>
      <c r="O405" s="451"/>
      <c r="P405" s="451"/>
      <c r="Q405" s="451"/>
      <c r="R405" s="451"/>
      <c r="S405" s="451"/>
      <c r="T405" s="451"/>
      <c r="U405" s="451"/>
      <c r="V405" s="451"/>
      <c r="W405" s="451"/>
      <c r="X405" s="451"/>
      <c r="Y405" s="451"/>
      <c r="Z405" s="451"/>
      <c r="AA405" s="451"/>
      <c r="AB405" s="469"/>
      <c r="AC405" s="467"/>
      <c r="AD405" s="469"/>
      <c r="AE405" s="467"/>
      <c r="AF405" s="469"/>
      <c r="AG405" s="467"/>
      <c r="AH405" s="451"/>
      <c r="AI405" s="451"/>
      <c r="AJ405" s="451"/>
      <c r="AK405" s="451"/>
      <c r="AL405" s="451"/>
      <c r="AM405" s="451"/>
      <c r="AN405" s="425"/>
      <c r="AO405" s="425"/>
      <c r="AP405" s="425"/>
      <c r="AQ405" s="425"/>
      <c r="AR405" s="425"/>
      <c r="AS405" s="425"/>
      <c r="AT405" s="425"/>
      <c r="AU405" s="425"/>
      <c r="AV405" s="425"/>
      <c r="AW405" s="425"/>
      <c r="AX405" s="425"/>
      <c r="AY405" s="426"/>
    </row>
    <row r="406" spans="2:51" ht="18" customHeight="1">
      <c r="B406" s="1946" t="str">
        <f>+$B$7</f>
        <v>集合形式住宅</v>
      </c>
      <c r="C406" s="430">
        <v>4030</v>
      </c>
      <c r="D406" s="450"/>
      <c r="E406" s="451"/>
      <c r="F406" s="451"/>
      <c r="G406" s="451"/>
      <c r="H406" s="451"/>
      <c r="I406" s="451"/>
      <c r="J406" s="466"/>
      <c r="K406" s="451"/>
      <c r="L406" s="466"/>
      <c r="M406" s="451"/>
      <c r="N406" s="466"/>
      <c r="O406" s="451"/>
      <c r="P406" s="451"/>
      <c r="Q406" s="451"/>
      <c r="R406" s="451"/>
      <c r="S406" s="451"/>
      <c r="T406" s="451"/>
      <c r="U406" s="451"/>
      <c r="V406" s="451"/>
      <c r="W406" s="451"/>
      <c r="X406" s="451"/>
      <c r="Y406" s="451"/>
      <c r="Z406" s="451"/>
      <c r="AA406" s="451"/>
      <c r="AB406" s="469"/>
      <c r="AC406" s="467"/>
      <c r="AD406" s="469"/>
      <c r="AE406" s="467"/>
      <c r="AF406" s="469"/>
      <c r="AG406" s="467"/>
      <c r="AH406" s="451"/>
      <c r="AI406" s="451"/>
      <c r="AJ406" s="451"/>
      <c r="AK406" s="451"/>
      <c r="AL406" s="451"/>
      <c r="AM406" s="451"/>
      <c r="AN406" s="425"/>
      <c r="AO406" s="425"/>
      <c r="AP406" s="425"/>
      <c r="AQ406" s="425"/>
      <c r="AR406" s="425"/>
      <c r="AS406" s="425"/>
      <c r="AT406" s="425"/>
      <c r="AU406" s="425"/>
      <c r="AV406" s="425"/>
      <c r="AW406" s="425"/>
      <c r="AX406" s="425"/>
      <c r="AY406" s="426"/>
    </row>
    <row r="407" spans="2:51" ht="18" customHeight="1">
      <c r="B407" s="1946" t="str">
        <f>+$B$8</f>
        <v>事務所・店舗</v>
      </c>
      <c r="C407" s="430">
        <v>4030</v>
      </c>
      <c r="D407" s="450"/>
      <c r="E407" s="451"/>
      <c r="F407" s="451"/>
      <c r="G407" s="451"/>
      <c r="H407" s="451"/>
      <c r="I407" s="451"/>
      <c r="J407" s="466"/>
      <c r="K407" s="451"/>
      <c r="L407" s="466"/>
      <c r="M407" s="451"/>
      <c r="N407" s="466"/>
      <c r="O407" s="451"/>
      <c r="P407" s="451"/>
      <c r="Q407" s="451"/>
      <c r="R407" s="451"/>
      <c r="S407" s="451"/>
      <c r="T407" s="451"/>
      <c r="U407" s="451"/>
      <c r="V407" s="451"/>
      <c r="W407" s="451"/>
      <c r="X407" s="451"/>
      <c r="Y407" s="451"/>
      <c r="Z407" s="451"/>
      <c r="AA407" s="451"/>
      <c r="AB407" s="469"/>
      <c r="AC407" s="467"/>
      <c r="AD407" s="469"/>
      <c r="AE407" s="467"/>
      <c r="AF407" s="469"/>
      <c r="AG407" s="467"/>
      <c r="AH407" s="451"/>
      <c r="AI407" s="451"/>
      <c r="AJ407" s="451"/>
      <c r="AK407" s="451"/>
      <c r="AL407" s="451"/>
      <c r="AM407" s="451"/>
      <c r="AN407" s="425"/>
      <c r="AO407" s="425"/>
      <c r="AP407" s="425"/>
      <c r="AQ407" s="425"/>
      <c r="AR407" s="425"/>
      <c r="AS407" s="425"/>
      <c r="AT407" s="425"/>
      <c r="AU407" s="425"/>
      <c r="AV407" s="425"/>
      <c r="AW407" s="425"/>
      <c r="AX407" s="425"/>
      <c r="AY407" s="426"/>
    </row>
    <row r="408" spans="2:51" ht="18" customHeight="1">
      <c r="B408" s="1946" t="str">
        <f>+$B$9</f>
        <v>病院・ホテル</v>
      </c>
      <c r="C408" s="430">
        <v>4030</v>
      </c>
      <c r="D408" s="450"/>
      <c r="E408" s="451"/>
      <c r="F408" s="451"/>
      <c r="G408" s="451"/>
      <c r="H408" s="451"/>
      <c r="I408" s="451"/>
      <c r="J408" s="466"/>
      <c r="K408" s="451"/>
      <c r="L408" s="466"/>
      <c r="M408" s="451"/>
      <c r="N408" s="466"/>
      <c r="O408" s="451"/>
      <c r="P408" s="451"/>
      <c r="Q408" s="451"/>
      <c r="R408" s="451"/>
      <c r="S408" s="451"/>
      <c r="T408" s="451"/>
      <c r="U408" s="451"/>
      <c r="V408" s="451"/>
      <c r="W408" s="451"/>
      <c r="X408" s="451"/>
      <c r="Y408" s="451"/>
      <c r="Z408" s="451"/>
      <c r="AA408" s="451"/>
      <c r="AB408" s="469"/>
      <c r="AC408" s="467"/>
      <c r="AD408" s="469"/>
      <c r="AE408" s="467"/>
      <c r="AF408" s="469"/>
      <c r="AG408" s="467"/>
      <c r="AH408" s="451"/>
      <c r="AI408" s="451"/>
      <c r="AJ408" s="451"/>
      <c r="AK408" s="451"/>
      <c r="AL408" s="451"/>
      <c r="AM408" s="451"/>
      <c r="AN408" s="425"/>
      <c r="AO408" s="425"/>
      <c r="AP408" s="425"/>
      <c r="AQ408" s="425"/>
      <c r="AR408" s="425"/>
      <c r="AS408" s="425"/>
      <c r="AT408" s="425"/>
      <c r="AU408" s="425"/>
      <c r="AV408" s="425"/>
      <c r="AW408" s="425"/>
      <c r="AX408" s="425"/>
      <c r="AY408" s="426"/>
    </row>
    <row r="409" spans="2:51" ht="18" customHeight="1">
      <c r="B409" s="1947" t="str">
        <f>+$B$10</f>
        <v>工場・倉庫</v>
      </c>
      <c r="C409" s="430">
        <v>4030</v>
      </c>
      <c r="D409" s="450"/>
      <c r="E409" s="451"/>
      <c r="F409" s="451"/>
      <c r="G409" s="451"/>
      <c r="H409" s="451"/>
      <c r="I409" s="451"/>
      <c r="J409" s="466"/>
      <c r="K409" s="451"/>
      <c r="L409" s="466"/>
      <c r="M409" s="451"/>
      <c r="N409" s="466"/>
      <c r="O409" s="451"/>
      <c r="P409" s="451"/>
      <c r="Q409" s="451"/>
      <c r="R409" s="451"/>
      <c r="S409" s="451"/>
      <c r="T409" s="451"/>
      <c r="U409" s="451"/>
      <c r="V409" s="451"/>
      <c r="W409" s="451"/>
      <c r="X409" s="451"/>
      <c r="Y409" s="451"/>
      <c r="Z409" s="451"/>
      <c r="AA409" s="451"/>
      <c r="AB409" s="469"/>
      <c r="AC409" s="467"/>
      <c r="AD409" s="469"/>
      <c r="AE409" s="467"/>
      <c r="AF409" s="469"/>
      <c r="AG409" s="467"/>
      <c r="AH409" s="451"/>
      <c r="AI409" s="451"/>
      <c r="AJ409" s="451"/>
      <c r="AK409" s="451"/>
      <c r="AL409" s="451"/>
      <c r="AM409" s="451"/>
      <c r="AN409" s="425"/>
      <c r="AO409" s="425"/>
      <c r="AP409" s="425"/>
      <c r="AQ409" s="425"/>
      <c r="AR409" s="425"/>
      <c r="AS409" s="425"/>
      <c r="AT409" s="425"/>
      <c r="AU409" s="425"/>
      <c r="AV409" s="425"/>
      <c r="AW409" s="425"/>
      <c r="AX409" s="425"/>
      <c r="AY409" s="426"/>
    </row>
    <row r="410" spans="2:51" ht="18" customHeight="1">
      <c r="B410" s="1941" t="s">
        <v>311</v>
      </c>
      <c r="C410" s="1917" t="s">
        <v>215</v>
      </c>
      <c r="D410" s="1912" t="s">
        <v>522</v>
      </c>
      <c r="E410" s="1912"/>
      <c r="F410" s="1912"/>
      <c r="G410" s="1912"/>
      <c r="H410" s="1912"/>
      <c r="I410" s="1952"/>
      <c r="J410" s="423"/>
      <c r="K410" s="423"/>
      <c r="L410" s="423"/>
      <c r="M410" s="423"/>
      <c r="N410" s="423"/>
      <c r="O410" s="423"/>
      <c r="P410" s="423"/>
      <c r="Q410" s="423"/>
      <c r="R410" s="423"/>
      <c r="S410" s="423"/>
      <c r="T410" s="423"/>
      <c r="U410" s="423"/>
      <c r="V410" s="423"/>
      <c r="W410" s="423"/>
      <c r="X410" s="423"/>
      <c r="Y410" s="423"/>
      <c r="Z410" s="423"/>
      <c r="AA410" s="423"/>
      <c r="AB410" s="423"/>
      <c r="AC410" s="423"/>
      <c r="AD410" s="423"/>
      <c r="AE410" s="423"/>
      <c r="AF410" s="423"/>
      <c r="AG410" s="423"/>
      <c r="AH410" s="423"/>
      <c r="AI410" s="423"/>
      <c r="AJ410" s="423"/>
      <c r="AK410" s="423"/>
      <c r="AL410" s="423"/>
      <c r="AM410" s="423"/>
      <c r="AN410" s="423"/>
      <c r="AO410" s="423"/>
      <c r="AP410" s="423"/>
      <c r="AQ410" s="423"/>
      <c r="AR410" s="423"/>
      <c r="AS410" s="423"/>
      <c r="AT410" s="423"/>
      <c r="AU410" s="423"/>
      <c r="AV410" s="423"/>
      <c r="AW410" s="423"/>
      <c r="AX410" s="423"/>
      <c r="AY410" s="424"/>
    </row>
    <row r="411" spans="2:51" ht="18" customHeight="1">
      <c r="B411" s="1942"/>
      <c r="C411" s="1894" t="s">
        <v>523</v>
      </c>
      <c r="D411" s="1953" t="s">
        <v>319</v>
      </c>
      <c r="E411" s="1899"/>
      <c r="F411" s="1901" t="s">
        <v>320</v>
      </c>
      <c r="G411" s="1899"/>
      <c r="H411" s="1901" t="s">
        <v>320</v>
      </c>
      <c r="I411" s="1921"/>
      <c r="J411" s="425"/>
      <c r="K411" s="425"/>
      <c r="L411" s="425"/>
      <c r="M411" s="425"/>
      <c r="N411" s="425"/>
      <c r="O411" s="425"/>
      <c r="P411" s="425"/>
      <c r="Q411" s="425"/>
      <c r="R411" s="425"/>
      <c r="S411" s="425"/>
      <c r="T411" s="425"/>
      <c r="U411" s="425"/>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425"/>
      <c r="AY411" s="426"/>
    </row>
    <row r="412" spans="2:51" ht="18" customHeight="1">
      <c r="B412" s="1945" t="str">
        <f>+$B$6</f>
        <v>戸建形式住宅</v>
      </c>
      <c r="C412" s="588" t="s">
        <v>23</v>
      </c>
      <c r="D412" s="431" t="s">
        <v>857</v>
      </c>
      <c r="E412" s="432" t="s">
        <v>857</v>
      </c>
      <c r="F412" s="432" t="s">
        <v>857</v>
      </c>
      <c r="G412" s="432" t="s">
        <v>857</v>
      </c>
      <c r="H412" s="432" t="s">
        <v>857</v>
      </c>
      <c r="I412" s="433" t="s">
        <v>857</v>
      </c>
      <c r="J412" s="425"/>
      <c r="K412" s="425"/>
      <c r="L412" s="425"/>
      <c r="M412" s="425"/>
      <c r="N412" s="425"/>
      <c r="O412" s="425"/>
      <c r="P412" s="425"/>
      <c r="Q412" s="425"/>
      <c r="R412" s="425"/>
      <c r="S412" s="425"/>
      <c r="T412" s="425"/>
      <c r="U412" s="425"/>
      <c r="V412" s="425"/>
      <c r="W412" s="425"/>
      <c r="X412" s="425"/>
      <c r="Y412" s="425"/>
      <c r="Z412" s="425"/>
      <c r="AA412" s="425"/>
      <c r="AB412" s="425"/>
      <c r="AC412" s="425"/>
      <c r="AD412" s="425"/>
      <c r="AE412" s="425"/>
      <c r="AF412" s="425"/>
      <c r="AG412" s="425"/>
      <c r="AH412" s="425"/>
      <c r="AI412" s="425"/>
      <c r="AJ412" s="425"/>
      <c r="AK412" s="425"/>
      <c r="AL412" s="425"/>
      <c r="AM412" s="425"/>
      <c r="AN412" s="425"/>
      <c r="AO412" s="425"/>
      <c r="AP412" s="425"/>
      <c r="AQ412" s="425"/>
      <c r="AR412" s="425"/>
      <c r="AS412" s="425"/>
      <c r="AT412" s="425"/>
      <c r="AU412" s="425"/>
      <c r="AV412" s="425"/>
      <c r="AW412" s="425"/>
      <c r="AX412" s="425"/>
      <c r="AY412" s="426"/>
    </row>
    <row r="413" spans="2:51" ht="18" customHeight="1">
      <c r="B413" s="1946" t="str">
        <f>+$B$7</f>
        <v>集合形式住宅</v>
      </c>
      <c r="C413" s="430">
        <v>317710</v>
      </c>
      <c r="D413" s="431" t="s">
        <v>525</v>
      </c>
      <c r="E413" s="432">
        <v>1</v>
      </c>
      <c r="F413" s="432" t="s">
        <v>526</v>
      </c>
      <c r="G413" s="432">
        <v>0.8</v>
      </c>
      <c r="H413" s="432" t="s">
        <v>524</v>
      </c>
      <c r="I413" s="433">
        <v>0.5</v>
      </c>
      <c r="J413" s="425"/>
      <c r="K413" s="425"/>
      <c r="L413" s="425"/>
      <c r="M413" s="425"/>
      <c r="N413" s="425"/>
      <c r="O413" s="425"/>
      <c r="P413" s="425"/>
      <c r="Q413" s="425"/>
      <c r="R413" s="425"/>
      <c r="S413" s="425"/>
      <c r="T413" s="425"/>
      <c r="U413" s="425"/>
      <c r="V413" s="425"/>
      <c r="W413" s="425"/>
      <c r="X413" s="425"/>
      <c r="Y413" s="425"/>
      <c r="Z413" s="425"/>
      <c r="AA413" s="425"/>
      <c r="AB413" s="425"/>
      <c r="AC413" s="425"/>
      <c r="AD413" s="425"/>
      <c r="AE413" s="425"/>
      <c r="AF413" s="425"/>
      <c r="AG413" s="425"/>
      <c r="AH413" s="425"/>
      <c r="AI413" s="425"/>
      <c r="AJ413" s="425"/>
      <c r="AK413" s="425"/>
      <c r="AL413" s="425"/>
      <c r="AM413" s="425"/>
      <c r="AN413" s="425"/>
      <c r="AO413" s="425"/>
      <c r="AP413" s="425"/>
      <c r="AQ413" s="425"/>
      <c r="AR413" s="425"/>
      <c r="AS413" s="425"/>
      <c r="AT413" s="425"/>
      <c r="AU413" s="425"/>
      <c r="AV413" s="425"/>
      <c r="AW413" s="425"/>
      <c r="AX413" s="425"/>
      <c r="AY413" s="426"/>
    </row>
    <row r="414" spans="2:51" ht="18" customHeight="1">
      <c r="B414" s="1946" t="str">
        <f>+$B$8</f>
        <v>事務所・店舗</v>
      </c>
      <c r="C414" s="430">
        <v>317710</v>
      </c>
      <c r="D414" s="431" t="s">
        <v>525</v>
      </c>
      <c r="E414" s="432">
        <v>1</v>
      </c>
      <c r="F414" s="432" t="s">
        <v>526</v>
      </c>
      <c r="G414" s="432">
        <v>0.8</v>
      </c>
      <c r="H414" s="432" t="s">
        <v>524</v>
      </c>
      <c r="I414" s="433">
        <v>0.5</v>
      </c>
      <c r="J414" s="425"/>
      <c r="K414" s="425"/>
      <c r="L414" s="425"/>
      <c r="M414" s="425"/>
      <c r="N414" s="425"/>
      <c r="O414" s="425"/>
      <c r="P414" s="425"/>
      <c r="Q414" s="425"/>
      <c r="R414" s="425"/>
      <c r="S414" s="425"/>
      <c r="T414" s="425"/>
      <c r="U414" s="425"/>
      <c r="V414" s="425"/>
      <c r="W414" s="425"/>
      <c r="X414" s="425"/>
      <c r="Y414" s="425"/>
      <c r="Z414" s="425"/>
      <c r="AA414" s="425"/>
      <c r="AB414" s="425"/>
      <c r="AC414" s="425"/>
      <c r="AD414" s="425"/>
      <c r="AE414" s="425"/>
      <c r="AF414" s="425"/>
      <c r="AG414" s="425"/>
      <c r="AH414" s="425"/>
      <c r="AI414" s="425"/>
      <c r="AJ414" s="425"/>
      <c r="AK414" s="425"/>
      <c r="AL414" s="425"/>
      <c r="AM414" s="425"/>
      <c r="AN414" s="425"/>
      <c r="AO414" s="425"/>
      <c r="AP414" s="425"/>
      <c r="AQ414" s="425"/>
      <c r="AR414" s="425"/>
      <c r="AS414" s="425"/>
      <c r="AT414" s="425"/>
      <c r="AU414" s="425"/>
      <c r="AV414" s="425"/>
      <c r="AW414" s="425"/>
      <c r="AX414" s="425"/>
      <c r="AY414" s="426"/>
    </row>
    <row r="415" spans="2:51" ht="18" customHeight="1">
      <c r="B415" s="1946" t="str">
        <f>+$B$9</f>
        <v>病院・ホテル</v>
      </c>
      <c r="C415" s="430">
        <v>317710</v>
      </c>
      <c r="D415" s="431" t="s">
        <v>525</v>
      </c>
      <c r="E415" s="432">
        <v>1</v>
      </c>
      <c r="F415" s="432" t="s">
        <v>526</v>
      </c>
      <c r="G415" s="432">
        <v>0.8</v>
      </c>
      <c r="H415" s="432" t="s">
        <v>524</v>
      </c>
      <c r="I415" s="433">
        <v>0.5</v>
      </c>
      <c r="J415" s="425"/>
      <c r="K415" s="425"/>
      <c r="L415" s="425"/>
      <c r="M415" s="425"/>
      <c r="N415" s="425"/>
      <c r="O415" s="425"/>
      <c r="P415" s="425"/>
      <c r="Q415" s="425"/>
      <c r="R415" s="425"/>
      <c r="S415" s="425"/>
      <c r="T415" s="425"/>
      <c r="U415" s="425"/>
      <c r="V415" s="425"/>
      <c r="W415" s="425"/>
      <c r="X415" s="425"/>
      <c r="Y415" s="425"/>
      <c r="Z415" s="425"/>
      <c r="AA415" s="425"/>
      <c r="AB415" s="425"/>
      <c r="AC415" s="425"/>
      <c r="AD415" s="425"/>
      <c r="AE415" s="425"/>
      <c r="AF415" s="425"/>
      <c r="AG415" s="425"/>
      <c r="AH415" s="425"/>
      <c r="AI415" s="425"/>
      <c r="AJ415" s="425"/>
      <c r="AK415" s="425"/>
      <c r="AL415" s="425"/>
      <c r="AM415" s="425"/>
      <c r="AN415" s="425"/>
      <c r="AO415" s="425"/>
      <c r="AP415" s="425"/>
      <c r="AQ415" s="425"/>
      <c r="AR415" s="425"/>
      <c r="AS415" s="425"/>
      <c r="AT415" s="425"/>
      <c r="AU415" s="425"/>
      <c r="AV415" s="425"/>
      <c r="AW415" s="425"/>
      <c r="AX415" s="425"/>
      <c r="AY415" s="426"/>
    </row>
    <row r="416" spans="2:51" ht="18" customHeight="1">
      <c r="B416" s="1947" t="str">
        <f>+$B$10</f>
        <v>工場・倉庫</v>
      </c>
      <c r="C416" s="1060">
        <v>317710</v>
      </c>
      <c r="D416" s="823" t="s">
        <v>525</v>
      </c>
      <c r="E416" s="446">
        <v>1</v>
      </c>
      <c r="F416" s="446" t="s">
        <v>526</v>
      </c>
      <c r="G416" s="446">
        <v>0.8</v>
      </c>
      <c r="H416" s="446" t="s">
        <v>524</v>
      </c>
      <c r="I416" s="447">
        <v>0.5</v>
      </c>
      <c r="J416" s="425"/>
      <c r="K416" s="425"/>
      <c r="L416" s="425"/>
      <c r="M416" s="425"/>
      <c r="N416" s="425"/>
      <c r="O416" s="425"/>
      <c r="P416" s="425"/>
      <c r="Q416" s="425"/>
      <c r="R416" s="425"/>
      <c r="S416" s="425"/>
      <c r="T416" s="425"/>
      <c r="U416" s="425"/>
      <c r="V416" s="425"/>
      <c r="W416" s="425"/>
      <c r="X416" s="425"/>
      <c r="Y416" s="425"/>
      <c r="Z416" s="425"/>
      <c r="AA416" s="425"/>
      <c r="AB416" s="425"/>
      <c r="AC416" s="425"/>
      <c r="AD416" s="425"/>
      <c r="AE416" s="425"/>
      <c r="AF416" s="425"/>
      <c r="AG416" s="425"/>
      <c r="AH416" s="425"/>
      <c r="AI416" s="425"/>
      <c r="AJ416" s="425"/>
      <c r="AK416" s="425"/>
      <c r="AL416" s="425"/>
      <c r="AM416" s="425"/>
      <c r="AN416" s="425"/>
      <c r="AO416" s="425"/>
      <c r="AP416" s="425"/>
      <c r="AQ416" s="425"/>
      <c r="AR416" s="425"/>
      <c r="AS416" s="425"/>
      <c r="AT416" s="425"/>
      <c r="AU416" s="425"/>
      <c r="AV416" s="425"/>
      <c r="AW416" s="425"/>
      <c r="AX416" s="425"/>
      <c r="AY416" s="426"/>
    </row>
    <row r="417" spans="2:51" ht="18" customHeight="1">
      <c r="B417" s="1941" t="s">
        <v>311</v>
      </c>
      <c r="C417" s="1916" t="s">
        <v>527</v>
      </c>
      <c r="D417" s="1912" t="s">
        <v>528</v>
      </c>
      <c r="E417" s="1912"/>
      <c r="F417" s="1912"/>
      <c r="G417" s="1912"/>
      <c r="H417" s="1912"/>
      <c r="I417" s="1952"/>
      <c r="J417" s="1951" t="s">
        <v>529</v>
      </c>
      <c r="K417" s="1912"/>
      <c r="L417" s="1912"/>
      <c r="M417" s="1912"/>
      <c r="N417" s="1912"/>
      <c r="O417" s="1952"/>
      <c r="P417" s="462"/>
      <c r="Q417" s="455"/>
      <c r="R417" s="464"/>
      <c r="S417" s="455"/>
      <c r="T417" s="455"/>
      <c r="U417" s="455"/>
      <c r="V417" s="464"/>
      <c r="W417" s="455"/>
      <c r="X417" s="464"/>
      <c r="Y417" s="455"/>
      <c r="Z417" s="464"/>
      <c r="AA417" s="455"/>
      <c r="AB417" s="423"/>
      <c r="AC417" s="423"/>
      <c r="AD417" s="423"/>
      <c r="AE417" s="423"/>
      <c r="AF417" s="423"/>
      <c r="AG417" s="423"/>
      <c r="AH417" s="423"/>
      <c r="AI417" s="423"/>
      <c r="AJ417" s="423"/>
      <c r="AK417" s="423"/>
      <c r="AL417" s="423"/>
      <c r="AM417" s="423"/>
      <c r="AN417" s="423"/>
      <c r="AO417" s="423"/>
      <c r="AP417" s="423"/>
      <c r="AQ417" s="423"/>
      <c r="AR417" s="423"/>
      <c r="AS417" s="423"/>
      <c r="AT417" s="423"/>
      <c r="AU417" s="423"/>
      <c r="AV417" s="423"/>
      <c r="AW417" s="423"/>
      <c r="AX417" s="423"/>
      <c r="AY417" s="424"/>
    </row>
    <row r="418" spans="2:51" ht="18" customHeight="1">
      <c r="B418" s="1942"/>
      <c r="C418" s="1907" t="s">
        <v>52</v>
      </c>
      <c r="D418" s="1953" t="s">
        <v>318</v>
      </c>
      <c r="E418" s="1899"/>
      <c r="F418" s="1901" t="s">
        <v>319</v>
      </c>
      <c r="G418" s="1899"/>
      <c r="H418" s="1901" t="s">
        <v>320</v>
      </c>
      <c r="I418" s="1921"/>
      <c r="J418" s="1908" t="s">
        <v>318</v>
      </c>
      <c r="K418" s="1899"/>
      <c r="L418" s="1901" t="s">
        <v>319</v>
      </c>
      <c r="M418" s="1899"/>
      <c r="N418" s="1901" t="s">
        <v>320</v>
      </c>
      <c r="O418" s="1921"/>
      <c r="P418" s="463"/>
      <c r="Q418" s="451"/>
      <c r="R418" s="466"/>
      <c r="S418" s="451"/>
      <c r="T418" s="451"/>
      <c r="U418" s="451"/>
      <c r="V418" s="466"/>
      <c r="W418" s="451"/>
      <c r="X418" s="466"/>
      <c r="Y418" s="451"/>
      <c r="Z418" s="466"/>
      <c r="AA418" s="451"/>
      <c r="AB418" s="425"/>
      <c r="AC418" s="425"/>
      <c r="AD418" s="425"/>
      <c r="AE418" s="425"/>
      <c r="AF418" s="425"/>
      <c r="AG418" s="425"/>
      <c r="AH418" s="425"/>
      <c r="AI418" s="425"/>
      <c r="AJ418" s="425"/>
      <c r="AK418" s="425"/>
      <c r="AL418" s="425"/>
      <c r="AM418" s="425"/>
      <c r="AN418" s="425"/>
      <c r="AO418" s="425"/>
      <c r="AP418" s="425"/>
      <c r="AQ418" s="425"/>
      <c r="AR418" s="425"/>
      <c r="AS418" s="425"/>
      <c r="AT418" s="425"/>
      <c r="AU418" s="425"/>
      <c r="AV418" s="425"/>
      <c r="AW418" s="425"/>
      <c r="AX418" s="425"/>
      <c r="AY418" s="426"/>
    </row>
    <row r="419" spans="2:51" ht="18" customHeight="1">
      <c r="B419" s="1945" t="str">
        <f>+$B$6</f>
        <v>戸建形式住宅</v>
      </c>
      <c r="C419" s="588" t="s">
        <v>23</v>
      </c>
      <c r="D419" s="431" t="s">
        <v>857</v>
      </c>
      <c r="E419" s="432" t="s">
        <v>857</v>
      </c>
      <c r="F419" s="432" t="s">
        <v>857</v>
      </c>
      <c r="G419" s="432" t="s">
        <v>857</v>
      </c>
      <c r="H419" s="432" t="s">
        <v>857</v>
      </c>
      <c r="I419" s="433" t="s">
        <v>857</v>
      </c>
      <c r="J419" s="437" t="s">
        <v>857</v>
      </c>
      <c r="K419" s="432" t="s">
        <v>857</v>
      </c>
      <c r="L419" s="432" t="s">
        <v>857</v>
      </c>
      <c r="M419" s="432" t="s">
        <v>857</v>
      </c>
      <c r="N419" s="432" t="s">
        <v>857</v>
      </c>
      <c r="O419" s="433" t="s">
        <v>857</v>
      </c>
      <c r="P419" s="463"/>
      <c r="Q419" s="451"/>
      <c r="R419" s="466"/>
      <c r="S419" s="451"/>
      <c r="T419" s="451"/>
      <c r="U419" s="451"/>
      <c r="V419" s="466"/>
      <c r="W419" s="451"/>
      <c r="X419" s="466"/>
      <c r="Y419" s="451"/>
      <c r="Z419" s="466"/>
      <c r="AA419" s="451"/>
      <c r="AB419" s="425"/>
      <c r="AC419" s="425"/>
      <c r="AD419" s="425"/>
      <c r="AE419" s="425"/>
      <c r="AF419" s="425"/>
      <c r="AG419" s="425"/>
      <c r="AH419" s="425"/>
      <c r="AI419" s="425"/>
      <c r="AJ419" s="425"/>
      <c r="AK419" s="425"/>
      <c r="AL419" s="425"/>
      <c r="AM419" s="425"/>
      <c r="AN419" s="425"/>
      <c r="AO419" s="425"/>
      <c r="AP419" s="425"/>
      <c r="AQ419" s="425"/>
      <c r="AR419" s="425"/>
      <c r="AS419" s="425"/>
      <c r="AT419" s="425"/>
      <c r="AU419" s="425"/>
      <c r="AV419" s="425"/>
      <c r="AW419" s="425"/>
      <c r="AX419" s="425"/>
      <c r="AY419" s="426"/>
    </row>
    <row r="420" spans="2:51" ht="18" customHeight="1">
      <c r="B420" s="1946" t="str">
        <f>+$B$7</f>
        <v>集合形式住宅</v>
      </c>
      <c r="C420" s="430">
        <v>2690</v>
      </c>
      <c r="D420" s="1197">
        <v>20</v>
      </c>
      <c r="E420" s="432">
        <v>1.1499999999999999</v>
      </c>
      <c r="F420" s="435">
        <v>10</v>
      </c>
      <c r="G420" s="432">
        <v>1</v>
      </c>
      <c r="H420" s="432" t="s">
        <v>1051</v>
      </c>
      <c r="I420" s="433" t="s">
        <v>1051</v>
      </c>
      <c r="J420" s="434">
        <v>30</v>
      </c>
      <c r="K420" s="432">
        <v>1.3</v>
      </c>
      <c r="L420" s="435">
        <v>80</v>
      </c>
      <c r="M420" s="432">
        <v>1</v>
      </c>
      <c r="N420" s="435">
        <v>130</v>
      </c>
      <c r="O420" s="433">
        <v>0.8</v>
      </c>
      <c r="P420" s="463"/>
      <c r="Q420" s="451"/>
      <c r="R420" s="466"/>
      <c r="S420" s="451"/>
      <c r="T420" s="451"/>
      <c r="U420" s="451"/>
      <c r="V420" s="466"/>
      <c r="W420" s="451"/>
      <c r="X420" s="466"/>
      <c r="Y420" s="451"/>
      <c r="Z420" s="466"/>
      <c r="AA420" s="451"/>
      <c r="AB420" s="425"/>
      <c r="AC420" s="425"/>
      <c r="AD420" s="425"/>
      <c r="AE420" s="425"/>
      <c r="AF420" s="425"/>
      <c r="AG420" s="425"/>
      <c r="AH420" s="425"/>
      <c r="AI420" s="425"/>
      <c r="AJ420" s="425"/>
      <c r="AK420" s="425"/>
      <c r="AL420" s="425"/>
      <c r="AM420" s="425"/>
      <c r="AN420" s="425"/>
      <c r="AO420" s="425"/>
      <c r="AP420" s="425"/>
      <c r="AQ420" s="425"/>
      <c r="AR420" s="425"/>
      <c r="AS420" s="425"/>
      <c r="AT420" s="425"/>
      <c r="AU420" s="425"/>
      <c r="AV420" s="425"/>
      <c r="AW420" s="425"/>
      <c r="AX420" s="425"/>
      <c r="AY420" s="426"/>
    </row>
    <row r="421" spans="2:51" ht="18" customHeight="1">
      <c r="B421" s="1946" t="str">
        <f>+$B$8</f>
        <v>事務所・店舗</v>
      </c>
      <c r="C421" s="430">
        <v>2690</v>
      </c>
      <c r="D421" s="1197">
        <v>20</v>
      </c>
      <c r="E421" s="432">
        <v>1.1499999999999999</v>
      </c>
      <c r="F421" s="435">
        <v>10</v>
      </c>
      <c r="G421" s="432">
        <v>1</v>
      </c>
      <c r="H421" s="432" t="s">
        <v>1051</v>
      </c>
      <c r="I421" s="433" t="s">
        <v>1051</v>
      </c>
      <c r="J421" s="434">
        <v>30</v>
      </c>
      <c r="K421" s="432">
        <v>1.3</v>
      </c>
      <c r="L421" s="435">
        <v>80</v>
      </c>
      <c r="M421" s="432">
        <v>1</v>
      </c>
      <c r="N421" s="435">
        <v>130</v>
      </c>
      <c r="O421" s="433">
        <v>0.8</v>
      </c>
      <c r="P421" s="463"/>
      <c r="Q421" s="451"/>
      <c r="R421" s="466"/>
      <c r="S421" s="451"/>
      <c r="T421" s="451"/>
      <c r="U421" s="451"/>
      <c r="V421" s="466"/>
      <c r="W421" s="451"/>
      <c r="X421" s="466"/>
      <c r="Y421" s="451"/>
      <c r="Z421" s="466"/>
      <c r="AA421" s="451"/>
      <c r="AB421" s="425"/>
      <c r="AC421" s="425"/>
      <c r="AD421" s="425"/>
      <c r="AE421" s="425"/>
      <c r="AF421" s="425"/>
      <c r="AG421" s="425"/>
      <c r="AH421" s="425"/>
      <c r="AI421" s="425"/>
      <c r="AJ421" s="425"/>
      <c r="AK421" s="425"/>
      <c r="AL421" s="425"/>
      <c r="AM421" s="425"/>
      <c r="AN421" s="425"/>
      <c r="AO421" s="425"/>
      <c r="AP421" s="425"/>
      <c r="AQ421" s="425"/>
      <c r="AR421" s="425"/>
      <c r="AS421" s="425"/>
      <c r="AT421" s="425"/>
      <c r="AU421" s="425"/>
      <c r="AV421" s="425"/>
      <c r="AW421" s="425"/>
      <c r="AX421" s="425"/>
      <c r="AY421" s="426"/>
    </row>
    <row r="422" spans="2:51" ht="18" customHeight="1">
      <c r="B422" s="1946" t="str">
        <f>+$B$9</f>
        <v>病院・ホテル</v>
      </c>
      <c r="C422" s="430">
        <v>2690</v>
      </c>
      <c r="D422" s="1197">
        <v>20</v>
      </c>
      <c r="E422" s="432">
        <v>1.1499999999999999</v>
      </c>
      <c r="F422" s="435">
        <v>10</v>
      </c>
      <c r="G422" s="432">
        <v>1</v>
      </c>
      <c r="H422" s="432" t="s">
        <v>1051</v>
      </c>
      <c r="I422" s="433" t="s">
        <v>1051</v>
      </c>
      <c r="J422" s="434">
        <v>30</v>
      </c>
      <c r="K422" s="432">
        <v>1.3</v>
      </c>
      <c r="L422" s="435">
        <v>80</v>
      </c>
      <c r="M422" s="432">
        <v>1</v>
      </c>
      <c r="N422" s="435">
        <v>130</v>
      </c>
      <c r="O422" s="433">
        <v>0.8</v>
      </c>
      <c r="P422" s="463"/>
      <c r="Q422" s="451"/>
      <c r="R422" s="466"/>
      <c r="S422" s="451"/>
      <c r="T422" s="451"/>
      <c r="U422" s="451"/>
      <c r="V422" s="466"/>
      <c r="W422" s="451"/>
      <c r="X422" s="466"/>
      <c r="Y422" s="451"/>
      <c r="Z422" s="466"/>
      <c r="AA422" s="451"/>
      <c r="AB422" s="425"/>
      <c r="AC422" s="425"/>
      <c r="AD422" s="425"/>
      <c r="AE422" s="425"/>
      <c r="AF422" s="425"/>
      <c r="AG422" s="425"/>
      <c r="AH422" s="425"/>
      <c r="AI422" s="425"/>
      <c r="AJ422" s="425"/>
      <c r="AK422" s="425"/>
      <c r="AL422" s="425"/>
      <c r="AM422" s="425"/>
      <c r="AN422" s="425"/>
      <c r="AO422" s="425"/>
      <c r="AP422" s="425"/>
      <c r="AQ422" s="425"/>
      <c r="AR422" s="425"/>
      <c r="AS422" s="425"/>
      <c r="AT422" s="425"/>
      <c r="AU422" s="425"/>
      <c r="AV422" s="425"/>
      <c r="AW422" s="425"/>
      <c r="AX422" s="425"/>
      <c r="AY422" s="426"/>
    </row>
    <row r="423" spans="2:51" ht="18" customHeight="1">
      <c r="B423" s="1947" t="str">
        <f>+$B$10</f>
        <v>工場・倉庫</v>
      </c>
      <c r="C423" s="430">
        <v>2690</v>
      </c>
      <c r="D423" s="1282">
        <v>20</v>
      </c>
      <c r="E423" s="442">
        <v>1.1499999999999999</v>
      </c>
      <c r="F423" s="1257">
        <v>10</v>
      </c>
      <c r="G423" s="442">
        <v>1</v>
      </c>
      <c r="H423" s="442" t="s">
        <v>1051</v>
      </c>
      <c r="I423" s="443" t="s">
        <v>1051</v>
      </c>
      <c r="J423" s="1195">
        <v>30</v>
      </c>
      <c r="K423" s="446">
        <v>1.3</v>
      </c>
      <c r="L423" s="1196">
        <v>80</v>
      </c>
      <c r="M423" s="446">
        <v>1</v>
      </c>
      <c r="N423" s="1196">
        <v>130</v>
      </c>
      <c r="O423" s="447">
        <v>0.8</v>
      </c>
      <c r="P423" s="463"/>
      <c r="Q423" s="451"/>
      <c r="R423" s="466"/>
      <c r="S423" s="451"/>
      <c r="T423" s="451"/>
      <c r="U423" s="451"/>
      <c r="V423" s="466"/>
      <c r="W423" s="451"/>
      <c r="X423" s="466"/>
      <c r="Y423" s="451"/>
      <c r="Z423" s="466"/>
      <c r="AA423" s="451"/>
      <c r="AB423" s="425"/>
      <c r="AC423" s="425"/>
      <c r="AD423" s="425"/>
      <c r="AE423" s="425"/>
      <c r="AF423" s="425"/>
      <c r="AG423" s="425"/>
      <c r="AH423" s="425"/>
      <c r="AI423" s="425"/>
      <c r="AJ423" s="425"/>
      <c r="AK423" s="425"/>
      <c r="AL423" s="425"/>
      <c r="AM423" s="425"/>
      <c r="AN423" s="425"/>
      <c r="AO423" s="425"/>
      <c r="AP423" s="425"/>
      <c r="AQ423" s="425"/>
      <c r="AR423" s="425"/>
      <c r="AS423" s="425"/>
      <c r="AT423" s="425"/>
      <c r="AU423" s="425"/>
      <c r="AV423" s="425"/>
      <c r="AW423" s="425"/>
      <c r="AX423" s="425"/>
      <c r="AY423" s="426"/>
    </row>
    <row r="424" spans="2:51" ht="18" customHeight="1">
      <c r="B424" s="1941" t="s">
        <v>311</v>
      </c>
      <c r="C424" s="1917" t="s">
        <v>530</v>
      </c>
      <c r="D424" s="1887" t="s">
        <v>531</v>
      </c>
      <c r="E424" s="1889"/>
      <c r="F424" s="1889"/>
      <c r="G424" s="1889"/>
      <c r="H424" s="1889"/>
      <c r="I424" s="1891"/>
      <c r="J424" s="423"/>
      <c r="K424" s="423"/>
      <c r="L424" s="423"/>
      <c r="M424" s="423"/>
      <c r="N424" s="423"/>
      <c r="O424" s="423"/>
      <c r="P424" s="423"/>
      <c r="Q424" s="423"/>
      <c r="R424" s="423"/>
      <c r="S424" s="423"/>
      <c r="T424" s="423"/>
      <c r="U424" s="423"/>
      <c r="V424" s="423"/>
      <c r="W424" s="423"/>
      <c r="X424" s="423"/>
      <c r="Y424" s="423"/>
      <c r="Z424" s="423"/>
      <c r="AA424" s="423"/>
      <c r="AB424" s="423"/>
      <c r="AC424" s="423"/>
      <c r="AD424" s="423"/>
      <c r="AE424" s="423"/>
      <c r="AF424" s="423"/>
      <c r="AG424" s="423"/>
      <c r="AH424" s="423"/>
      <c r="AI424" s="423"/>
      <c r="AJ424" s="423"/>
      <c r="AK424" s="423"/>
      <c r="AL424" s="423"/>
      <c r="AM424" s="423"/>
      <c r="AN424" s="423"/>
      <c r="AO424" s="423"/>
      <c r="AP424" s="423"/>
      <c r="AQ424" s="423"/>
      <c r="AR424" s="423"/>
      <c r="AS424" s="423"/>
      <c r="AT424" s="423"/>
      <c r="AU424" s="423"/>
      <c r="AV424" s="423"/>
      <c r="AW424" s="423"/>
      <c r="AX424" s="423"/>
      <c r="AY424" s="424"/>
    </row>
    <row r="425" spans="2:51" ht="18" customHeight="1">
      <c r="B425" s="1942"/>
      <c r="C425" s="1894" t="s">
        <v>532</v>
      </c>
      <c r="D425" s="1898" t="s">
        <v>318</v>
      </c>
      <c r="E425" s="1900"/>
      <c r="F425" s="1900" t="s">
        <v>319</v>
      </c>
      <c r="G425" s="1900"/>
      <c r="H425" s="1905" t="s">
        <v>1109</v>
      </c>
      <c r="I425" s="1902"/>
      <c r="J425" s="582" t="s">
        <v>5626</v>
      </c>
      <c r="K425" s="425"/>
      <c r="L425" s="425"/>
      <c r="M425" s="425"/>
      <c r="N425" s="425"/>
      <c r="O425" s="425"/>
      <c r="P425" s="425"/>
      <c r="Q425" s="425"/>
      <c r="R425" s="425"/>
      <c r="S425" s="425"/>
      <c r="T425" s="425"/>
      <c r="U425" s="425"/>
      <c r="V425" s="425"/>
      <c r="W425" s="425"/>
      <c r="X425" s="425"/>
      <c r="Y425" s="425"/>
      <c r="Z425" s="425"/>
      <c r="AA425" s="425"/>
      <c r="AB425" s="425"/>
      <c r="AC425" s="425"/>
      <c r="AD425" s="425"/>
      <c r="AE425" s="425"/>
      <c r="AF425" s="425"/>
      <c r="AG425" s="425"/>
      <c r="AH425" s="425"/>
      <c r="AI425" s="425"/>
      <c r="AJ425" s="425"/>
      <c r="AK425" s="425"/>
      <c r="AL425" s="425"/>
      <c r="AM425" s="425"/>
      <c r="AN425" s="425"/>
      <c r="AO425" s="425"/>
      <c r="AP425" s="425"/>
      <c r="AQ425" s="425"/>
      <c r="AR425" s="425"/>
      <c r="AS425" s="425"/>
      <c r="AT425" s="425"/>
      <c r="AU425" s="425"/>
      <c r="AV425" s="425"/>
      <c r="AW425" s="425"/>
      <c r="AX425" s="425"/>
      <c r="AY425" s="426"/>
    </row>
    <row r="426" spans="2:51" ht="18" customHeight="1">
      <c r="B426" s="1945" t="str">
        <f>+$B$6</f>
        <v>戸建形式住宅</v>
      </c>
      <c r="C426" s="588" t="s">
        <v>23</v>
      </c>
      <c r="D426" s="431" t="s">
        <v>857</v>
      </c>
      <c r="E426" s="432" t="s">
        <v>857</v>
      </c>
      <c r="F426" s="432" t="s">
        <v>857</v>
      </c>
      <c r="G426" s="432" t="s">
        <v>857</v>
      </c>
      <c r="H426" s="432" t="s">
        <v>857</v>
      </c>
      <c r="I426" s="433" t="s">
        <v>857</v>
      </c>
      <c r="J426" s="425"/>
      <c r="K426" s="425"/>
      <c r="L426" s="425"/>
      <c r="M426" s="425"/>
      <c r="N426" s="425"/>
      <c r="O426" s="425"/>
      <c r="P426" s="425"/>
      <c r="Q426" s="425"/>
      <c r="R426" s="425"/>
      <c r="S426" s="425"/>
      <c r="T426" s="425"/>
      <c r="U426" s="425"/>
      <c r="V426" s="425"/>
      <c r="W426" s="425"/>
      <c r="X426" s="425"/>
      <c r="Y426" s="425"/>
      <c r="Z426" s="425"/>
      <c r="AA426" s="425"/>
      <c r="AB426" s="425"/>
      <c r="AC426" s="425"/>
      <c r="AD426" s="425"/>
      <c r="AE426" s="425"/>
      <c r="AF426" s="425"/>
      <c r="AG426" s="425"/>
      <c r="AH426" s="425"/>
      <c r="AI426" s="425"/>
      <c r="AJ426" s="425"/>
      <c r="AK426" s="425"/>
      <c r="AL426" s="425"/>
      <c r="AM426" s="425"/>
      <c r="AN426" s="425"/>
      <c r="AO426" s="425"/>
      <c r="AP426" s="425"/>
      <c r="AQ426" s="425"/>
      <c r="AR426" s="425"/>
      <c r="AS426" s="425"/>
      <c r="AT426" s="425"/>
      <c r="AU426" s="425"/>
      <c r="AV426" s="425"/>
      <c r="AW426" s="425"/>
      <c r="AX426" s="425"/>
      <c r="AY426" s="426"/>
    </row>
    <row r="427" spans="2:51" ht="18" customHeight="1">
      <c r="B427" s="1946" t="str">
        <f>+$B$7</f>
        <v>集合形式住宅</v>
      </c>
      <c r="C427" s="430">
        <v>3310</v>
      </c>
      <c r="D427" s="1262">
        <v>1500</v>
      </c>
      <c r="E427" s="432">
        <v>1.2</v>
      </c>
      <c r="F427" s="1202">
        <v>3000</v>
      </c>
      <c r="G427" s="432">
        <v>1</v>
      </c>
      <c r="H427" s="1202">
        <v>4500</v>
      </c>
      <c r="I427" s="433">
        <v>0.9</v>
      </c>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5"/>
      <c r="AY427" s="426"/>
    </row>
    <row r="428" spans="2:51" ht="18" customHeight="1">
      <c r="B428" s="1946" t="str">
        <f>+$B$8</f>
        <v>事務所・店舗</v>
      </c>
      <c r="C428" s="430">
        <v>3310</v>
      </c>
      <c r="D428" s="1262">
        <v>1500</v>
      </c>
      <c r="E428" s="432">
        <v>1.2</v>
      </c>
      <c r="F428" s="1202">
        <v>3000</v>
      </c>
      <c r="G428" s="432">
        <v>1</v>
      </c>
      <c r="H428" s="1202">
        <v>4500</v>
      </c>
      <c r="I428" s="433">
        <v>0.9</v>
      </c>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25"/>
      <c r="AY428" s="426"/>
    </row>
    <row r="429" spans="2:51" ht="18" customHeight="1">
      <c r="B429" s="1946" t="str">
        <f>+$B$9</f>
        <v>病院・ホテル</v>
      </c>
      <c r="C429" s="430">
        <v>3310</v>
      </c>
      <c r="D429" s="1262">
        <v>1500</v>
      </c>
      <c r="E429" s="432">
        <v>1.2</v>
      </c>
      <c r="F429" s="1202">
        <v>3000</v>
      </c>
      <c r="G429" s="432">
        <v>1</v>
      </c>
      <c r="H429" s="1202">
        <v>4500</v>
      </c>
      <c r="I429" s="433">
        <v>0.9</v>
      </c>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25"/>
      <c r="AY429" s="426"/>
    </row>
    <row r="430" spans="2:51" ht="18" customHeight="1">
      <c r="B430" s="1947" t="str">
        <f>+$B$10</f>
        <v>工場・倉庫</v>
      </c>
      <c r="C430" s="1211">
        <f t="shared" ref="C430:I430" si="61">C428</f>
        <v>3310</v>
      </c>
      <c r="D430" s="1338">
        <f t="shared" si="61"/>
        <v>1500</v>
      </c>
      <c r="E430" s="1215">
        <f t="shared" si="61"/>
        <v>1.2</v>
      </c>
      <c r="F430" s="1339">
        <f t="shared" si="61"/>
        <v>3000</v>
      </c>
      <c r="G430" s="1215">
        <f t="shared" si="61"/>
        <v>1</v>
      </c>
      <c r="H430" s="1339">
        <f t="shared" si="61"/>
        <v>4500</v>
      </c>
      <c r="I430" s="1315">
        <f t="shared" si="61"/>
        <v>0.9</v>
      </c>
      <c r="J430" s="425"/>
      <c r="K430" s="425"/>
      <c r="L430" s="425"/>
      <c r="M430" s="425"/>
      <c r="N430" s="425"/>
      <c r="O430" s="425"/>
      <c r="P430" s="425"/>
      <c r="Q430" s="425"/>
      <c r="R430" s="425"/>
      <c r="S430" s="425"/>
      <c r="T430" s="425"/>
      <c r="U430" s="425"/>
      <c r="V430" s="425"/>
      <c r="W430" s="425"/>
      <c r="X430" s="425"/>
      <c r="Y430" s="425"/>
      <c r="Z430" s="425"/>
      <c r="AA430" s="425"/>
      <c r="AB430" s="425"/>
      <c r="AC430" s="425"/>
      <c r="AD430" s="425"/>
      <c r="AE430" s="425"/>
      <c r="AF430" s="425"/>
      <c r="AG430" s="425"/>
      <c r="AH430" s="425"/>
      <c r="AI430" s="425"/>
      <c r="AJ430" s="425"/>
      <c r="AK430" s="425"/>
      <c r="AL430" s="425"/>
      <c r="AM430" s="425"/>
      <c r="AN430" s="425"/>
      <c r="AO430" s="425"/>
      <c r="AP430" s="425"/>
      <c r="AQ430" s="425"/>
      <c r="AR430" s="425"/>
      <c r="AS430" s="425"/>
      <c r="AT430" s="425"/>
      <c r="AU430" s="425"/>
      <c r="AV430" s="425"/>
      <c r="AW430" s="425"/>
      <c r="AX430" s="425"/>
      <c r="AY430" s="426"/>
    </row>
    <row r="431" spans="2:51" ht="18" customHeight="1">
      <c r="B431" s="1941" t="s">
        <v>311</v>
      </c>
      <c r="C431" s="1916" t="s">
        <v>533</v>
      </c>
      <c r="D431" s="1888" t="s">
        <v>534</v>
      </c>
      <c r="E431" s="1889"/>
      <c r="F431" s="1889"/>
      <c r="G431" s="1889"/>
      <c r="H431" s="1889"/>
      <c r="I431" s="1891"/>
      <c r="J431" s="454"/>
      <c r="K431" s="455"/>
      <c r="L431" s="456"/>
      <c r="M431" s="455"/>
      <c r="N431" s="456"/>
      <c r="O431" s="455"/>
      <c r="P431" s="455"/>
      <c r="Q431" s="455"/>
      <c r="R431" s="455"/>
      <c r="S431" s="455"/>
      <c r="T431" s="455"/>
      <c r="U431" s="455"/>
      <c r="V431" s="468"/>
      <c r="W431" s="465"/>
      <c r="X431" s="468"/>
      <c r="Y431" s="465"/>
      <c r="Z431" s="468"/>
      <c r="AA431" s="465"/>
      <c r="AB431" s="455"/>
      <c r="AC431" s="455"/>
      <c r="AD431" s="455"/>
      <c r="AE431" s="455"/>
      <c r="AF431" s="455"/>
      <c r="AG431" s="455"/>
      <c r="AH431" s="423"/>
      <c r="AI431" s="423"/>
      <c r="AJ431" s="423"/>
      <c r="AK431" s="423"/>
      <c r="AL431" s="423"/>
      <c r="AM431" s="423"/>
      <c r="AN431" s="423"/>
      <c r="AO431" s="423"/>
      <c r="AP431" s="423"/>
      <c r="AQ431" s="423"/>
      <c r="AR431" s="423"/>
      <c r="AS431" s="423"/>
      <c r="AT431" s="423"/>
      <c r="AU431" s="423"/>
      <c r="AV431" s="423"/>
      <c r="AW431" s="423"/>
      <c r="AX431" s="423"/>
      <c r="AY431" s="424"/>
    </row>
    <row r="432" spans="2:51" ht="18" customHeight="1">
      <c r="B432" s="1942"/>
      <c r="C432" s="1907" t="s">
        <v>970</v>
      </c>
      <c r="D432" s="1899" t="s">
        <v>318</v>
      </c>
      <c r="E432" s="1900"/>
      <c r="F432" s="1900" t="s">
        <v>319</v>
      </c>
      <c r="G432" s="1900"/>
      <c r="H432" s="1905" t="s">
        <v>1109</v>
      </c>
      <c r="I432" s="1902"/>
      <c r="J432" s="582" t="s">
        <v>5626</v>
      </c>
      <c r="K432" s="451"/>
      <c r="L432" s="458"/>
      <c r="M432" s="451"/>
      <c r="N432" s="458"/>
      <c r="O432" s="451"/>
      <c r="P432" s="451"/>
      <c r="Q432" s="451"/>
      <c r="R432" s="451"/>
      <c r="S432" s="451"/>
      <c r="T432" s="451"/>
      <c r="U432" s="451"/>
      <c r="V432" s="469"/>
      <c r="W432" s="467"/>
      <c r="X432" s="469"/>
      <c r="Y432" s="467"/>
      <c r="Z432" s="469"/>
      <c r="AA432" s="467"/>
      <c r="AB432" s="451"/>
      <c r="AC432" s="451"/>
      <c r="AD432" s="451"/>
      <c r="AE432" s="451"/>
      <c r="AF432" s="451"/>
      <c r="AG432" s="451"/>
      <c r="AH432" s="425"/>
      <c r="AI432" s="425"/>
      <c r="AJ432" s="425"/>
      <c r="AK432" s="425"/>
      <c r="AL432" s="425"/>
      <c r="AM432" s="425"/>
      <c r="AN432" s="425"/>
      <c r="AO432" s="425"/>
      <c r="AP432" s="425"/>
      <c r="AQ432" s="425"/>
      <c r="AR432" s="425"/>
      <c r="AS432" s="425"/>
      <c r="AT432" s="425"/>
      <c r="AU432" s="425"/>
      <c r="AV432" s="425"/>
      <c r="AW432" s="425"/>
      <c r="AX432" s="425"/>
      <c r="AY432" s="426"/>
    </row>
    <row r="433" spans="2:51" ht="18" customHeight="1">
      <c r="B433" s="1945" t="str">
        <f>+$B$6</f>
        <v>戸建形式住宅</v>
      </c>
      <c r="C433" s="588" t="s">
        <v>23</v>
      </c>
      <c r="D433" s="431" t="s">
        <v>857</v>
      </c>
      <c r="E433" s="432" t="s">
        <v>857</v>
      </c>
      <c r="F433" s="432" t="s">
        <v>857</v>
      </c>
      <c r="G433" s="432" t="s">
        <v>857</v>
      </c>
      <c r="H433" s="432" t="s">
        <v>857</v>
      </c>
      <c r="I433" s="433" t="s">
        <v>857</v>
      </c>
      <c r="J433" s="457"/>
      <c r="K433" s="451"/>
      <c r="L433" s="458"/>
      <c r="M433" s="451"/>
      <c r="N433" s="458"/>
      <c r="O433" s="451"/>
      <c r="P433" s="451"/>
      <c r="Q433" s="451"/>
      <c r="R433" s="451"/>
      <c r="S433" s="451"/>
      <c r="T433" s="451"/>
      <c r="U433" s="451"/>
      <c r="V433" s="469"/>
      <c r="W433" s="467"/>
      <c r="X433" s="469"/>
      <c r="Y433" s="467"/>
      <c r="Z433" s="469"/>
      <c r="AA433" s="467"/>
      <c r="AB433" s="451"/>
      <c r="AC433" s="451"/>
      <c r="AD433" s="451"/>
      <c r="AE433" s="451"/>
      <c r="AF433" s="451"/>
      <c r="AG433" s="451"/>
      <c r="AH433" s="425"/>
      <c r="AI433" s="425"/>
      <c r="AJ433" s="425"/>
      <c r="AK433" s="425"/>
      <c r="AL433" s="425"/>
      <c r="AM433" s="425"/>
      <c r="AN433" s="425"/>
      <c r="AO433" s="425"/>
      <c r="AP433" s="425"/>
      <c r="AQ433" s="425"/>
      <c r="AR433" s="425"/>
      <c r="AS433" s="425"/>
      <c r="AT433" s="425"/>
      <c r="AU433" s="425"/>
      <c r="AV433" s="425"/>
      <c r="AW433" s="425"/>
      <c r="AX433" s="425"/>
      <c r="AY433" s="426"/>
    </row>
    <row r="434" spans="2:51" ht="18" customHeight="1">
      <c r="B434" s="1946" t="str">
        <f>+$B$7</f>
        <v>集合形式住宅</v>
      </c>
      <c r="C434" s="430">
        <v>13180</v>
      </c>
      <c r="D434" s="1201">
        <v>500</v>
      </c>
      <c r="E434" s="432">
        <v>1.2</v>
      </c>
      <c r="F434" s="1202">
        <v>1000</v>
      </c>
      <c r="G434" s="432">
        <v>1</v>
      </c>
      <c r="H434" s="1202">
        <v>1500</v>
      </c>
      <c r="I434" s="433">
        <v>0.9</v>
      </c>
      <c r="J434" s="457"/>
      <c r="K434" s="451"/>
      <c r="L434" s="458"/>
      <c r="M434" s="451"/>
      <c r="N434" s="458"/>
      <c r="O434" s="451"/>
      <c r="P434" s="451"/>
      <c r="Q434" s="451"/>
      <c r="R434" s="451"/>
      <c r="S434" s="451"/>
      <c r="T434" s="451"/>
      <c r="U434" s="451"/>
      <c r="V434" s="469"/>
      <c r="W434" s="467"/>
      <c r="X434" s="469"/>
      <c r="Y434" s="467"/>
      <c r="Z434" s="469"/>
      <c r="AA434" s="467"/>
      <c r="AB434" s="451"/>
      <c r="AC434" s="451"/>
      <c r="AD434" s="451"/>
      <c r="AE434" s="451"/>
      <c r="AF434" s="451"/>
      <c r="AG434" s="451"/>
      <c r="AH434" s="425"/>
      <c r="AI434" s="425"/>
      <c r="AJ434" s="425"/>
      <c r="AK434" s="425"/>
      <c r="AL434" s="425"/>
      <c r="AM434" s="425"/>
      <c r="AN434" s="425"/>
      <c r="AO434" s="425"/>
      <c r="AP434" s="425"/>
      <c r="AQ434" s="425"/>
      <c r="AR434" s="425"/>
      <c r="AS434" s="425"/>
      <c r="AT434" s="425"/>
      <c r="AU434" s="425"/>
      <c r="AV434" s="425"/>
      <c r="AW434" s="425"/>
      <c r="AX434" s="425"/>
      <c r="AY434" s="426"/>
    </row>
    <row r="435" spans="2:51" ht="18" customHeight="1">
      <c r="B435" s="1946" t="str">
        <f>+$B$8</f>
        <v>事務所・店舗</v>
      </c>
      <c r="C435" s="430">
        <v>13180</v>
      </c>
      <c r="D435" s="1201">
        <v>500</v>
      </c>
      <c r="E435" s="432">
        <v>1.2</v>
      </c>
      <c r="F435" s="1202">
        <v>1000</v>
      </c>
      <c r="G435" s="432">
        <v>1</v>
      </c>
      <c r="H435" s="1202">
        <v>1500</v>
      </c>
      <c r="I435" s="433">
        <v>0.9</v>
      </c>
      <c r="J435" s="457"/>
      <c r="K435" s="451"/>
      <c r="L435" s="458"/>
      <c r="M435" s="451"/>
      <c r="N435" s="458"/>
      <c r="O435" s="451"/>
      <c r="P435" s="451"/>
      <c r="Q435" s="451"/>
      <c r="R435" s="451"/>
      <c r="S435" s="451"/>
      <c r="T435" s="451"/>
      <c r="U435" s="451"/>
      <c r="V435" s="469"/>
      <c r="W435" s="467"/>
      <c r="X435" s="469"/>
      <c r="Y435" s="467"/>
      <c r="Z435" s="469"/>
      <c r="AA435" s="467"/>
      <c r="AB435" s="451"/>
      <c r="AC435" s="451"/>
      <c r="AD435" s="451"/>
      <c r="AE435" s="451"/>
      <c r="AF435" s="451"/>
      <c r="AG435" s="451"/>
      <c r="AH435" s="425"/>
      <c r="AI435" s="425"/>
      <c r="AJ435" s="425"/>
      <c r="AK435" s="425"/>
      <c r="AL435" s="425"/>
      <c r="AM435" s="425"/>
      <c r="AN435" s="425"/>
      <c r="AO435" s="425"/>
      <c r="AP435" s="425"/>
      <c r="AQ435" s="425"/>
      <c r="AR435" s="425"/>
      <c r="AS435" s="425"/>
      <c r="AT435" s="425"/>
      <c r="AU435" s="425"/>
      <c r="AV435" s="425"/>
      <c r="AW435" s="425"/>
      <c r="AX435" s="425"/>
      <c r="AY435" s="426"/>
    </row>
    <row r="436" spans="2:51" ht="18" customHeight="1">
      <c r="B436" s="1946" t="str">
        <f>+$B$9</f>
        <v>病院・ホテル</v>
      </c>
      <c r="C436" s="430">
        <v>13180</v>
      </c>
      <c r="D436" s="1201">
        <v>500</v>
      </c>
      <c r="E436" s="432">
        <v>1.2</v>
      </c>
      <c r="F436" s="1202">
        <v>1000</v>
      </c>
      <c r="G436" s="432">
        <v>1</v>
      </c>
      <c r="H436" s="1202">
        <v>1500</v>
      </c>
      <c r="I436" s="433">
        <v>0.9</v>
      </c>
      <c r="J436" s="457"/>
      <c r="K436" s="451"/>
      <c r="L436" s="458"/>
      <c r="M436" s="451"/>
      <c r="N436" s="458"/>
      <c r="O436" s="451"/>
      <c r="P436" s="451"/>
      <c r="Q436" s="451"/>
      <c r="R436" s="451"/>
      <c r="S436" s="451"/>
      <c r="T436" s="451"/>
      <c r="U436" s="451"/>
      <c r="V436" s="469"/>
      <c r="W436" s="467"/>
      <c r="X436" s="469"/>
      <c r="Y436" s="467"/>
      <c r="Z436" s="469"/>
      <c r="AA436" s="467"/>
      <c r="AB436" s="451"/>
      <c r="AC436" s="451"/>
      <c r="AD436" s="451"/>
      <c r="AE436" s="451"/>
      <c r="AF436" s="451"/>
      <c r="AG436" s="451"/>
      <c r="AH436" s="425"/>
      <c r="AI436" s="425"/>
      <c r="AJ436" s="425"/>
      <c r="AK436" s="425"/>
      <c r="AL436" s="425"/>
      <c r="AM436" s="425"/>
      <c r="AN436" s="425"/>
      <c r="AO436" s="425"/>
      <c r="AP436" s="425"/>
      <c r="AQ436" s="425"/>
      <c r="AR436" s="425"/>
      <c r="AS436" s="425"/>
      <c r="AT436" s="425"/>
      <c r="AU436" s="425"/>
      <c r="AV436" s="425"/>
      <c r="AW436" s="425"/>
      <c r="AX436" s="425"/>
      <c r="AY436" s="426"/>
    </row>
    <row r="437" spans="2:51" ht="18" customHeight="1">
      <c r="B437" s="1947" t="str">
        <f>+$B$10</f>
        <v>工場・倉庫</v>
      </c>
      <c r="C437" s="1205">
        <f t="shared" ref="C437:I437" si="62">C435</f>
        <v>13180</v>
      </c>
      <c r="D437" s="1340">
        <f t="shared" si="62"/>
        <v>500</v>
      </c>
      <c r="E437" s="1213">
        <f t="shared" si="62"/>
        <v>1.2</v>
      </c>
      <c r="F437" s="1341">
        <f t="shared" si="62"/>
        <v>1000</v>
      </c>
      <c r="G437" s="1213">
        <f t="shared" si="62"/>
        <v>1</v>
      </c>
      <c r="H437" s="1341">
        <f t="shared" si="62"/>
        <v>1500</v>
      </c>
      <c r="I437" s="1310">
        <f t="shared" si="62"/>
        <v>0.9</v>
      </c>
      <c r="J437" s="457"/>
      <c r="K437" s="451"/>
      <c r="L437" s="458"/>
      <c r="M437" s="451"/>
      <c r="N437" s="458"/>
      <c r="O437" s="451"/>
      <c r="P437" s="451"/>
      <c r="Q437" s="451"/>
      <c r="R437" s="451"/>
      <c r="S437" s="451"/>
      <c r="T437" s="451"/>
      <c r="U437" s="451"/>
      <c r="V437" s="469"/>
      <c r="W437" s="467"/>
      <c r="X437" s="469"/>
      <c r="Y437" s="467"/>
      <c r="Z437" s="469"/>
      <c r="AA437" s="467"/>
      <c r="AB437" s="451"/>
      <c r="AC437" s="451"/>
      <c r="AD437" s="451"/>
      <c r="AE437" s="451"/>
      <c r="AF437" s="451"/>
      <c r="AG437" s="451"/>
      <c r="AH437" s="425"/>
      <c r="AI437" s="425"/>
      <c r="AJ437" s="425"/>
      <c r="AK437" s="425"/>
      <c r="AL437" s="425"/>
      <c r="AM437" s="425"/>
      <c r="AN437" s="425"/>
      <c r="AO437" s="425"/>
      <c r="AP437" s="425"/>
      <c r="AQ437" s="425"/>
      <c r="AR437" s="425"/>
      <c r="AS437" s="425"/>
      <c r="AT437" s="425"/>
      <c r="AU437" s="425"/>
      <c r="AV437" s="425"/>
      <c r="AW437" s="425"/>
      <c r="AX437" s="425"/>
      <c r="AY437" s="426"/>
    </row>
    <row r="438" spans="2:51" ht="18" customHeight="1">
      <c r="B438" s="1941" t="s">
        <v>311</v>
      </c>
      <c r="C438" s="1917" t="s">
        <v>971</v>
      </c>
      <c r="D438" s="3633" t="s">
        <v>972</v>
      </c>
      <c r="E438" s="3634"/>
      <c r="F438" s="3634"/>
      <c r="G438" s="3634"/>
      <c r="H438" s="3634"/>
      <c r="I438" s="3635"/>
      <c r="J438" s="837"/>
      <c r="K438" s="837"/>
      <c r="L438" s="837"/>
      <c r="M438" s="837"/>
      <c r="N438" s="837"/>
      <c r="O438" s="837"/>
      <c r="P438" s="837"/>
      <c r="Q438" s="837"/>
      <c r="R438" s="837"/>
      <c r="S438" s="837"/>
      <c r="T438" s="837"/>
      <c r="U438" s="837"/>
      <c r="V438" s="837"/>
      <c r="W438" s="837"/>
      <c r="X438" s="837"/>
      <c r="Y438" s="884"/>
      <c r="Z438" s="455"/>
      <c r="AA438" s="455"/>
      <c r="AB438" s="455"/>
      <c r="AC438" s="455"/>
      <c r="AD438" s="455"/>
      <c r="AE438" s="468"/>
      <c r="AF438" s="465"/>
      <c r="AG438" s="468"/>
      <c r="AH438" s="465"/>
      <c r="AI438" s="468"/>
      <c r="AJ438" s="465"/>
      <c r="AK438" s="455"/>
      <c r="AL438" s="455"/>
      <c r="AM438" s="455"/>
      <c r="AN438" s="455"/>
      <c r="AO438" s="455"/>
      <c r="AP438" s="455"/>
      <c r="AQ438" s="423"/>
      <c r="AR438" s="423"/>
      <c r="AS438" s="423"/>
      <c r="AT438" s="423"/>
      <c r="AU438" s="423"/>
      <c r="AV438" s="423"/>
      <c r="AW438" s="423"/>
      <c r="AX438" s="423"/>
      <c r="AY438" s="424"/>
    </row>
    <row r="439" spans="2:51" ht="18" customHeight="1">
      <c r="B439" s="1942"/>
      <c r="C439" s="1894" t="s">
        <v>973</v>
      </c>
      <c r="D439" s="1898" t="s">
        <v>318</v>
      </c>
      <c r="E439" s="1900"/>
      <c r="F439" s="1900" t="s">
        <v>319</v>
      </c>
      <c r="G439" s="1900"/>
      <c r="H439" s="3639" t="s">
        <v>1109</v>
      </c>
      <c r="I439" s="3640"/>
      <c r="J439" s="473"/>
      <c r="K439" s="473"/>
      <c r="L439" s="473"/>
      <c r="M439" s="473"/>
      <c r="N439" s="473"/>
      <c r="O439" s="473"/>
      <c r="P439" s="473"/>
      <c r="Q439" s="473"/>
      <c r="R439" s="473"/>
      <c r="S439" s="473"/>
      <c r="T439" s="473"/>
      <c r="U439" s="473"/>
      <c r="V439" s="473"/>
      <c r="W439" s="473"/>
      <c r="X439" s="473"/>
      <c r="Y439" s="451"/>
      <c r="Z439" s="451"/>
      <c r="AA439" s="451"/>
      <c r="AB439" s="451"/>
      <c r="AC439" s="451"/>
      <c r="AD439" s="451"/>
      <c r="AE439" s="469"/>
      <c r="AF439" s="467"/>
      <c r="AG439" s="469"/>
      <c r="AH439" s="467"/>
      <c r="AI439" s="469"/>
      <c r="AJ439" s="467"/>
      <c r="AK439" s="451"/>
      <c r="AL439" s="451"/>
      <c r="AM439" s="451"/>
      <c r="AN439" s="451"/>
      <c r="AO439" s="451"/>
      <c r="AP439" s="451"/>
      <c r="AQ439" s="425"/>
      <c r="AR439" s="425"/>
      <c r="AS439" s="425"/>
      <c r="AT439" s="425"/>
      <c r="AU439" s="425"/>
      <c r="AV439" s="425"/>
      <c r="AW439" s="425"/>
      <c r="AX439" s="425"/>
      <c r="AY439" s="426"/>
    </row>
    <row r="440" spans="2:51" ht="18" customHeight="1">
      <c r="B440" s="1945" t="str">
        <f>+$B$6</f>
        <v>戸建形式住宅</v>
      </c>
      <c r="C440" s="588" t="s">
        <v>23</v>
      </c>
      <c r="D440" s="431" t="s">
        <v>857</v>
      </c>
      <c r="E440" s="432" t="s">
        <v>857</v>
      </c>
      <c r="F440" s="432" t="s">
        <v>857</v>
      </c>
      <c r="G440" s="432" t="s">
        <v>857</v>
      </c>
      <c r="H440" s="432" t="s">
        <v>857</v>
      </c>
      <c r="I440" s="433" t="s">
        <v>857</v>
      </c>
      <c r="J440" s="847"/>
      <c r="K440" s="847"/>
      <c r="L440" s="847"/>
      <c r="M440" s="451"/>
      <c r="N440" s="451"/>
      <c r="O440" s="451"/>
      <c r="P440" s="451"/>
      <c r="Q440" s="451"/>
      <c r="R440" s="451"/>
      <c r="S440" s="451"/>
      <c r="T440" s="451"/>
      <c r="U440" s="451"/>
      <c r="V440" s="451"/>
      <c r="W440" s="451"/>
      <c r="X440" s="451"/>
      <c r="Y440" s="451"/>
      <c r="Z440" s="451"/>
      <c r="AA440" s="451"/>
      <c r="AB440" s="451"/>
      <c r="AC440" s="451"/>
      <c r="AD440" s="451"/>
      <c r="AE440" s="469"/>
      <c r="AF440" s="467"/>
      <c r="AG440" s="469"/>
      <c r="AH440" s="467"/>
      <c r="AI440" s="469"/>
      <c r="AJ440" s="467"/>
      <c r="AK440" s="451"/>
      <c r="AL440" s="451"/>
      <c r="AM440" s="451"/>
      <c r="AN440" s="451"/>
      <c r="AO440" s="451"/>
      <c r="AP440" s="451"/>
      <c r="AQ440" s="425"/>
      <c r="AR440" s="425"/>
      <c r="AS440" s="425"/>
      <c r="AT440" s="425"/>
      <c r="AU440" s="425"/>
      <c r="AV440" s="425"/>
      <c r="AW440" s="425"/>
      <c r="AX440" s="425"/>
      <c r="AY440" s="426"/>
    </row>
    <row r="441" spans="2:51" ht="18" customHeight="1">
      <c r="B441" s="1946" t="str">
        <f>+$B$7</f>
        <v>集合形式住宅</v>
      </c>
      <c r="C441" s="430">
        <v>3890</v>
      </c>
      <c r="D441" s="1262">
        <v>900</v>
      </c>
      <c r="E441" s="432">
        <v>1.05</v>
      </c>
      <c r="F441" s="1202">
        <v>1800</v>
      </c>
      <c r="G441" s="432">
        <v>1</v>
      </c>
      <c r="H441" s="1202">
        <v>3600</v>
      </c>
      <c r="I441" s="433">
        <v>0.93</v>
      </c>
      <c r="J441" s="451"/>
      <c r="K441" s="451"/>
      <c r="L441" s="451"/>
      <c r="M441" s="451"/>
      <c r="N441" s="451"/>
      <c r="O441" s="451"/>
      <c r="P441" s="451"/>
      <c r="Q441" s="451"/>
      <c r="R441" s="451"/>
      <c r="S441" s="451"/>
      <c r="T441" s="451"/>
      <c r="U441" s="451"/>
      <c r="V441" s="451"/>
      <c r="W441" s="451"/>
      <c r="X441" s="451"/>
      <c r="Y441" s="451"/>
      <c r="Z441" s="451"/>
      <c r="AA441" s="451"/>
      <c r="AB441" s="451"/>
      <c r="AC441" s="451"/>
      <c r="AD441" s="451"/>
      <c r="AE441" s="469"/>
      <c r="AF441" s="467"/>
      <c r="AG441" s="469"/>
      <c r="AH441" s="467"/>
      <c r="AI441" s="469"/>
      <c r="AJ441" s="467"/>
      <c r="AK441" s="451"/>
      <c r="AL441" s="451"/>
      <c r="AM441" s="451"/>
      <c r="AN441" s="451"/>
      <c r="AO441" s="451"/>
      <c r="AP441" s="451"/>
      <c r="AQ441" s="425"/>
      <c r="AR441" s="425"/>
      <c r="AS441" s="425"/>
      <c r="AT441" s="425"/>
      <c r="AU441" s="425"/>
      <c r="AV441" s="425"/>
      <c r="AW441" s="425"/>
      <c r="AX441" s="425"/>
      <c r="AY441" s="426"/>
    </row>
    <row r="442" spans="2:51" ht="18" customHeight="1">
      <c r="B442" s="1946" t="str">
        <f>+$B$8</f>
        <v>事務所・店舗</v>
      </c>
      <c r="C442" s="430">
        <v>3890</v>
      </c>
      <c r="D442" s="1262">
        <v>1000</v>
      </c>
      <c r="E442" s="432">
        <v>1.05</v>
      </c>
      <c r="F442" s="1202">
        <v>3000</v>
      </c>
      <c r="G442" s="432">
        <v>1</v>
      </c>
      <c r="H442" s="1202">
        <v>10000</v>
      </c>
      <c r="I442" s="433">
        <v>0.93</v>
      </c>
      <c r="J442" s="451"/>
      <c r="K442" s="451"/>
      <c r="L442" s="451"/>
      <c r="M442" s="451"/>
      <c r="N442" s="451"/>
      <c r="O442" s="451"/>
      <c r="P442" s="451"/>
      <c r="Q442" s="451"/>
      <c r="R442" s="451"/>
      <c r="S442" s="451"/>
      <c r="T442" s="451"/>
      <c r="U442" s="451"/>
      <c r="V442" s="451"/>
      <c r="W442" s="451"/>
      <c r="X442" s="451"/>
      <c r="Y442" s="451"/>
      <c r="Z442" s="451"/>
      <c r="AA442" s="451"/>
      <c r="AB442" s="451"/>
      <c r="AC442" s="451"/>
      <c r="AD442" s="451"/>
      <c r="AE442" s="469"/>
      <c r="AF442" s="467"/>
      <c r="AG442" s="469"/>
      <c r="AH442" s="467"/>
      <c r="AI442" s="469"/>
      <c r="AJ442" s="467"/>
      <c r="AK442" s="451"/>
      <c r="AL442" s="451"/>
      <c r="AM442" s="451"/>
      <c r="AN442" s="451"/>
      <c r="AO442" s="451"/>
      <c r="AP442" s="451"/>
      <c r="AQ442" s="425"/>
      <c r="AR442" s="425"/>
      <c r="AS442" s="425"/>
      <c r="AT442" s="425"/>
      <c r="AU442" s="425"/>
      <c r="AV442" s="425"/>
      <c r="AW442" s="425"/>
      <c r="AX442" s="425"/>
      <c r="AY442" s="426"/>
    </row>
    <row r="443" spans="2:51" ht="18" customHeight="1">
      <c r="B443" s="1946" t="str">
        <f>+$B$9</f>
        <v>病院・ホテル</v>
      </c>
      <c r="C443" s="430">
        <v>3890</v>
      </c>
      <c r="D443" s="1262">
        <v>1000</v>
      </c>
      <c r="E443" s="432">
        <v>1.05</v>
      </c>
      <c r="F443" s="1202">
        <v>3000</v>
      </c>
      <c r="G443" s="432">
        <v>1</v>
      </c>
      <c r="H443" s="1202">
        <v>10000</v>
      </c>
      <c r="I443" s="433">
        <v>0.93</v>
      </c>
      <c r="J443" s="451"/>
      <c r="K443" s="451"/>
      <c r="L443" s="451"/>
      <c r="M443" s="451"/>
      <c r="N443" s="451"/>
      <c r="O443" s="451"/>
      <c r="P443" s="451"/>
      <c r="Q443" s="451"/>
      <c r="R443" s="451"/>
      <c r="S443" s="451"/>
      <c r="T443" s="451"/>
      <c r="U443" s="451"/>
      <c r="V443" s="451"/>
      <c r="W443" s="451"/>
      <c r="X443" s="451"/>
      <c r="Y443" s="451"/>
      <c r="Z443" s="451"/>
      <c r="AA443" s="451"/>
      <c r="AB443" s="451"/>
      <c r="AC443" s="451"/>
      <c r="AD443" s="451"/>
      <c r="AE443" s="469"/>
      <c r="AF443" s="467"/>
      <c r="AG443" s="469"/>
      <c r="AH443" s="467"/>
      <c r="AI443" s="469"/>
      <c r="AJ443" s="467"/>
      <c r="AK443" s="451"/>
      <c r="AL443" s="451"/>
      <c r="AM443" s="451"/>
      <c r="AN443" s="451"/>
      <c r="AO443" s="451"/>
      <c r="AP443" s="451"/>
      <c r="AQ443" s="425"/>
      <c r="AR443" s="425"/>
      <c r="AS443" s="425"/>
      <c r="AT443" s="425"/>
      <c r="AU443" s="425"/>
      <c r="AV443" s="425"/>
      <c r="AW443" s="425"/>
      <c r="AX443" s="425"/>
      <c r="AY443" s="426"/>
    </row>
    <row r="444" spans="2:51" ht="18" customHeight="1">
      <c r="B444" s="1947" t="str">
        <f>+$B$10</f>
        <v>工場・倉庫</v>
      </c>
      <c r="C444" s="1060">
        <v>3890</v>
      </c>
      <c r="D444" s="1263">
        <v>1000</v>
      </c>
      <c r="E444" s="446">
        <v>1.05</v>
      </c>
      <c r="F444" s="1264">
        <v>3000</v>
      </c>
      <c r="G444" s="446">
        <v>1</v>
      </c>
      <c r="H444" s="1264">
        <v>10000</v>
      </c>
      <c r="I444" s="447">
        <v>0.93</v>
      </c>
      <c r="J444" s="739"/>
      <c r="K444" s="739"/>
      <c r="L444" s="739"/>
      <c r="M444" s="739"/>
      <c r="N444" s="739"/>
      <c r="O444" s="739"/>
      <c r="P444" s="739"/>
      <c r="Q444" s="739"/>
      <c r="R444" s="739"/>
      <c r="S444" s="739"/>
      <c r="T444" s="739"/>
      <c r="U444" s="739"/>
      <c r="V444" s="739"/>
      <c r="W444" s="739"/>
      <c r="X444" s="739"/>
      <c r="Y444" s="451"/>
      <c r="Z444" s="451"/>
      <c r="AA444" s="451"/>
      <c r="AB444" s="451"/>
      <c r="AC444" s="451"/>
      <c r="AD444" s="451"/>
      <c r="AE444" s="469"/>
      <c r="AF444" s="467"/>
      <c r="AG444" s="469"/>
      <c r="AH444" s="467"/>
      <c r="AI444" s="469"/>
      <c r="AJ444" s="467"/>
      <c r="AK444" s="451"/>
      <c r="AL444" s="451"/>
      <c r="AM444" s="451"/>
      <c r="AN444" s="451"/>
      <c r="AO444" s="451"/>
      <c r="AP444" s="451"/>
      <c r="AQ444" s="425"/>
      <c r="AR444" s="425"/>
      <c r="AS444" s="425"/>
      <c r="AT444" s="425"/>
      <c r="AU444" s="425"/>
      <c r="AV444" s="425"/>
      <c r="AW444" s="425"/>
      <c r="AX444" s="425"/>
      <c r="AY444" s="426"/>
    </row>
    <row r="445" spans="2:51" ht="18" customHeight="1">
      <c r="B445" s="1941" t="s">
        <v>311</v>
      </c>
      <c r="C445" s="1928" t="s">
        <v>1154</v>
      </c>
      <c r="D445" s="848"/>
      <c r="E445" s="837"/>
      <c r="F445" s="837"/>
      <c r="G445" s="837"/>
      <c r="H445" s="837"/>
      <c r="I445" s="821"/>
      <c r="J445" s="454"/>
      <c r="K445" s="455"/>
      <c r="L445" s="456"/>
      <c r="M445" s="455"/>
      <c r="N445" s="456"/>
      <c r="O445" s="455"/>
      <c r="P445" s="455"/>
      <c r="Q445" s="455"/>
      <c r="R445" s="455"/>
      <c r="S445" s="455"/>
      <c r="T445" s="455"/>
      <c r="U445" s="455"/>
      <c r="V445" s="468"/>
      <c r="W445" s="465"/>
      <c r="X445" s="468"/>
      <c r="Y445" s="465"/>
      <c r="Z445" s="468"/>
      <c r="AA445" s="465"/>
      <c r="AB445" s="455"/>
      <c r="AC445" s="455"/>
      <c r="AD445" s="455"/>
      <c r="AE445" s="455"/>
      <c r="AF445" s="455"/>
      <c r="AG445" s="455"/>
      <c r="AH445" s="423"/>
      <c r="AI445" s="423"/>
      <c r="AJ445" s="423"/>
      <c r="AK445" s="423"/>
      <c r="AL445" s="423"/>
      <c r="AM445" s="423"/>
      <c r="AN445" s="423"/>
      <c r="AO445" s="423"/>
      <c r="AP445" s="423"/>
      <c r="AQ445" s="423"/>
      <c r="AR445" s="423"/>
      <c r="AS445" s="423"/>
      <c r="AT445" s="423"/>
      <c r="AU445" s="423"/>
      <c r="AV445" s="423"/>
      <c r="AW445" s="423"/>
      <c r="AX445" s="423"/>
      <c r="AY445" s="424"/>
    </row>
    <row r="446" spans="2:51" ht="18" customHeight="1">
      <c r="B446" s="1942"/>
      <c r="C446" s="1907" t="s">
        <v>1155</v>
      </c>
      <c r="D446" s="472"/>
      <c r="E446" s="473"/>
      <c r="F446" s="473"/>
      <c r="G446" s="473"/>
      <c r="H446" s="839"/>
      <c r="I446" s="822"/>
      <c r="J446" s="582"/>
      <c r="K446" s="451"/>
      <c r="L446" s="458"/>
      <c r="M446" s="451"/>
      <c r="N446" s="458"/>
      <c r="O446" s="451"/>
      <c r="P446" s="451"/>
      <c r="Q446" s="451"/>
      <c r="R446" s="451"/>
      <c r="S446" s="451"/>
      <c r="T446" s="451"/>
      <c r="U446" s="451"/>
      <c r="V446" s="469"/>
      <c r="W446" s="467"/>
      <c r="X446" s="469"/>
      <c r="Y446" s="467"/>
      <c r="Z446" s="469"/>
      <c r="AA446" s="467"/>
      <c r="AB446" s="451"/>
      <c r="AC446" s="451"/>
      <c r="AD446" s="451"/>
      <c r="AE446" s="451"/>
      <c r="AF446" s="451"/>
      <c r="AG446" s="451"/>
      <c r="AH446" s="425"/>
      <c r="AI446" s="425"/>
      <c r="AJ446" s="425"/>
      <c r="AK446" s="425"/>
      <c r="AL446" s="425"/>
      <c r="AM446" s="425"/>
      <c r="AN446" s="425"/>
      <c r="AO446" s="425"/>
      <c r="AP446" s="425"/>
      <c r="AQ446" s="425"/>
      <c r="AR446" s="425"/>
      <c r="AS446" s="425"/>
      <c r="AT446" s="425"/>
      <c r="AU446" s="425"/>
      <c r="AV446" s="425"/>
      <c r="AW446" s="425"/>
      <c r="AX446" s="425"/>
      <c r="AY446" s="426"/>
    </row>
    <row r="447" spans="2:51" ht="18" customHeight="1">
      <c r="B447" s="1945" t="str">
        <f>+$B$6</f>
        <v>戸建形式住宅</v>
      </c>
      <c r="C447" s="588" t="s">
        <v>23</v>
      </c>
      <c r="D447" s="858"/>
      <c r="E447" s="847"/>
      <c r="F447" s="458"/>
      <c r="G447" s="451"/>
      <c r="H447" s="458"/>
      <c r="I447" s="815"/>
      <c r="J447" s="457"/>
      <c r="K447" s="451"/>
      <c r="L447" s="458"/>
      <c r="M447" s="451"/>
      <c r="N447" s="458"/>
      <c r="O447" s="451"/>
      <c r="P447" s="451"/>
      <c r="Q447" s="451"/>
      <c r="R447" s="451"/>
      <c r="S447" s="451"/>
      <c r="T447" s="451"/>
      <c r="U447" s="451"/>
      <c r="V447" s="469"/>
      <c r="W447" s="467"/>
      <c r="X447" s="469"/>
      <c r="Y447" s="467"/>
      <c r="Z447" s="469"/>
      <c r="AA447" s="467"/>
      <c r="AB447" s="451"/>
      <c r="AC447" s="451"/>
      <c r="AD447" s="451"/>
      <c r="AE447" s="451"/>
      <c r="AF447" s="451"/>
      <c r="AG447" s="451"/>
      <c r="AH447" s="425"/>
      <c r="AI447" s="425"/>
      <c r="AJ447" s="425"/>
      <c r="AK447" s="425"/>
      <c r="AL447" s="425"/>
      <c r="AM447" s="425"/>
      <c r="AN447" s="425"/>
      <c r="AO447" s="425"/>
      <c r="AP447" s="425"/>
      <c r="AQ447" s="425"/>
      <c r="AR447" s="425"/>
      <c r="AS447" s="425"/>
      <c r="AT447" s="425"/>
      <c r="AU447" s="425"/>
      <c r="AV447" s="425"/>
      <c r="AW447" s="425"/>
      <c r="AX447" s="425"/>
      <c r="AY447" s="426"/>
    </row>
    <row r="448" spans="2:51" ht="18" customHeight="1">
      <c r="B448" s="1946" t="str">
        <f>+$B$7</f>
        <v>集合形式住宅</v>
      </c>
      <c r="C448" s="430">
        <v>2370</v>
      </c>
      <c r="D448" s="457"/>
      <c r="E448" s="451"/>
      <c r="F448" s="458"/>
      <c r="G448" s="451"/>
      <c r="H448" s="458"/>
      <c r="I448" s="815"/>
      <c r="J448" s="457"/>
      <c r="K448" s="451"/>
      <c r="L448" s="458"/>
      <c r="M448" s="451"/>
      <c r="N448" s="458"/>
      <c r="O448" s="451"/>
      <c r="P448" s="451"/>
      <c r="Q448" s="451"/>
      <c r="R448" s="451"/>
      <c r="S448" s="451"/>
      <c r="T448" s="451"/>
      <c r="U448" s="451"/>
      <c r="V448" s="469"/>
      <c r="W448" s="467"/>
      <c r="X448" s="469"/>
      <c r="Y448" s="467"/>
      <c r="Z448" s="469"/>
      <c r="AA448" s="467"/>
      <c r="AB448" s="451"/>
      <c r="AC448" s="451"/>
      <c r="AD448" s="451"/>
      <c r="AE448" s="451"/>
      <c r="AF448" s="451"/>
      <c r="AG448" s="451"/>
      <c r="AH448" s="425"/>
      <c r="AI448" s="425"/>
      <c r="AJ448" s="425"/>
      <c r="AK448" s="425"/>
      <c r="AL448" s="425"/>
      <c r="AM448" s="425"/>
      <c r="AN448" s="425"/>
      <c r="AO448" s="425"/>
      <c r="AP448" s="425"/>
      <c r="AQ448" s="425"/>
      <c r="AR448" s="425"/>
      <c r="AS448" s="425"/>
      <c r="AT448" s="425"/>
      <c r="AU448" s="425"/>
      <c r="AV448" s="425"/>
      <c r="AW448" s="425"/>
      <c r="AX448" s="425"/>
      <c r="AY448" s="426"/>
    </row>
    <row r="449" spans="2:51" ht="18" customHeight="1">
      <c r="B449" s="1946" t="str">
        <f>+$B$8</f>
        <v>事務所・店舗</v>
      </c>
      <c r="C449" s="430">
        <v>2370</v>
      </c>
      <c r="D449" s="457"/>
      <c r="E449" s="451"/>
      <c r="F449" s="458"/>
      <c r="G449" s="451"/>
      <c r="H449" s="458"/>
      <c r="I449" s="815"/>
      <c r="J449" s="457"/>
      <c r="K449" s="451"/>
      <c r="L449" s="458"/>
      <c r="M449" s="451"/>
      <c r="N449" s="458"/>
      <c r="O449" s="451"/>
      <c r="P449" s="451"/>
      <c r="Q449" s="451"/>
      <c r="R449" s="451"/>
      <c r="S449" s="451"/>
      <c r="T449" s="451"/>
      <c r="U449" s="451"/>
      <c r="V449" s="469"/>
      <c r="W449" s="467"/>
      <c r="X449" s="469"/>
      <c r="Y449" s="467"/>
      <c r="Z449" s="469"/>
      <c r="AA449" s="467"/>
      <c r="AB449" s="451"/>
      <c r="AC449" s="451"/>
      <c r="AD449" s="451"/>
      <c r="AE449" s="451"/>
      <c r="AF449" s="451"/>
      <c r="AG449" s="451"/>
      <c r="AH449" s="425"/>
      <c r="AI449" s="425"/>
      <c r="AJ449" s="425"/>
      <c r="AK449" s="425"/>
      <c r="AL449" s="425"/>
      <c r="AM449" s="425"/>
      <c r="AN449" s="425"/>
      <c r="AO449" s="425"/>
      <c r="AP449" s="425"/>
      <c r="AQ449" s="425"/>
      <c r="AR449" s="425"/>
      <c r="AS449" s="425"/>
      <c r="AT449" s="425"/>
      <c r="AU449" s="425"/>
      <c r="AV449" s="425"/>
      <c r="AW449" s="425"/>
      <c r="AX449" s="425"/>
      <c r="AY449" s="426"/>
    </row>
    <row r="450" spans="2:51" ht="18" customHeight="1">
      <c r="B450" s="1946" t="str">
        <f>+$B$9</f>
        <v>病院・ホテル</v>
      </c>
      <c r="C450" s="430">
        <v>2370</v>
      </c>
      <c r="D450" s="457"/>
      <c r="E450" s="451"/>
      <c r="F450" s="458"/>
      <c r="G450" s="451"/>
      <c r="H450" s="458"/>
      <c r="I450" s="815"/>
      <c r="J450" s="457"/>
      <c r="K450" s="451"/>
      <c r="L450" s="458"/>
      <c r="M450" s="451"/>
      <c r="N450" s="458"/>
      <c r="O450" s="451"/>
      <c r="P450" s="451"/>
      <c r="Q450" s="451"/>
      <c r="R450" s="451"/>
      <c r="S450" s="451"/>
      <c r="T450" s="451"/>
      <c r="U450" s="451"/>
      <c r="V450" s="469"/>
      <c r="W450" s="467"/>
      <c r="X450" s="469"/>
      <c r="Y450" s="467"/>
      <c r="Z450" s="469"/>
      <c r="AA450" s="467"/>
      <c r="AB450" s="451"/>
      <c r="AC450" s="451"/>
      <c r="AD450" s="451"/>
      <c r="AE450" s="451"/>
      <c r="AF450" s="451"/>
      <c r="AG450" s="451"/>
      <c r="AH450" s="425"/>
      <c r="AI450" s="425"/>
      <c r="AJ450" s="425"/>
      <c r="AK450" s="425"/>
      <c r="AL450" s="425"/>
      <c r="AM450" s="425"/>
      <c r="AN450" s="425"/>
      <c r="AO450" s="425"/>
      <c r="AP450" s="425"/>
      <c r="AQ450" s="425"/>
      <c r="AR450" s="425"/>
      <c r="AS450" s="425"/>
      <c r="AT450" s="425"/>
      <c r="AU450" s="425"/>
      <c r="AV450" s="425"/>
      <c r="AW450" s="425"/>
      <c r="AX450" s="425"/>
      <c r="AY450" s="426"/>
    </row>
    <row r="451" spans="2:51" ht="18" customHeight="1">
      <c r="B451" s="1947" t="str">
        <f>+$B$10</f>
        <v>工場・倉庫</v>
      </c>
      <c r="C451" s="430">
        <v>2370</v>
      </c>
      <c r="D451" s="859"/>
      <c r="E451" s="739"/>
      <c r="F451" s="835"/>
      <c r="G451" s="739"/>
      <c r="H451" s="835"/>
      <c r="I451" s="818"/>
      <c r="J451" s="457"/>
      <c r="K451" s="451"/>
      <c r="L451" s="458"/>
      <c r="M451" s="451"/>
      <c r="N451" s="458"/>
      <c r="O451" s="451"/>
      <c r="P451" s="451"/>
      <c r="Q451" s="451"/>
      <c r="R451" s="451"/>
      <c r="S451" s="451"/>
      <c r="T451" s="451"/>
      <c r="U451" s="451"/>
      <c r="V451" s="469"/>
      <c r="W451" s="467"/>
      <c r="X451" s="469"/>
      <c r="Y451" s="467"/>
      <c r="Z451" s="469"/>
      <c r="AA451" s="467"/>
      <c r="AB451" s="451"/>
      <c r="AC451" s="451"/>
      <c r="AD451" s="451"/>
      <c r="AE451" s="451"/>
      <c r="AF451" s="451"/>
      <c r="AG451" s="451"/>
      <c r="AH451" s="425"/>
      <c r="AI451" s="425"/>
      <c r="AJ451" s="425"/>
      <c r="AK451" s="425"/>
      <c r="AL451" s="425"/>
      <c r="AM451" s="425"/>
      <c r="AN451" s="425"/>
      <c r="AO451" s="425"/>
      <c r="AP451" s="425"/>
      <c r="AQ451" s="425"/>
      <c r="AR451" s="425"/>
      <c r="AS451" s="425"/>
      <c r="AT451" s="425"/>
      <c r="AU451" s="425"/>
      <c r="AV451" s="425"/>
      <c r="AW451" s="425"/>
      <c r="AX451" s="425"/>
      <c r="AY451" s="426"/>
    </row>
    <row r="452" spans="2:51" ht="18" customHeight="1">
      <c r="B452" s="1941" t="s">
        <v>311</v>
      </c>
      <c r="C452" s="1916" t="s">
        <v>545</v>
      </c>
      <c r="D452" s="1888" t="s">
        <v>546</v>
      </c>
      <c r="E452" s="1889"/>
      <c r="F452" s="1889"/>
      <c r="G452" s="1889"/>
      <c r="H452" s="1889"/>
      <c r="I452" s="1891"/>
      <c r="J452" s="1888" t="s">
        <v>547</v>
      </c>
      <c r="K452" s="1889"/>
      <c r="L452" s="1889"/>
      <c r="M452" s="1889"/>
      <c r="N452" s="1889"/>
      <c r="O452" s="1890"/>
      <c r="P452" s="1887" t="s">
        <v>548</v>
      </c>
      <c r="Q452" s="1889"/>
      <c r="R452" s="1889"/>
      <c r="S452" s="1889"/>
      <c r="T452" s="1889"/>
      <c r="U452" s="1891"/>
      <c r="V452" s="1887" t="s">
        <v>549</v>
      </c>
      <c r="W452" s="1889"/>
      <c r="X452" s="1889"/>
      <c r="Y452" s="1889"/>
      <c r="Z452" s="1889"/>
      <c r="AA452" s="1891"/>
      <c r="AB452" s="459"/>
      <c r="AC452" s="455"/>
      <c r="AD452" s="455"/>
      <c r="AE452" s="455"/>
      <c r="AF452" s="455"/>
      <c r="AG452" s="455"/>
      <c r="AH452" s="423"/>
      <c r="AI452" s="423"/>
      <c r="AJ452" s="423"/>
      <c r="AK452" s="423"/>
      <c r="AL452" s="423"/>
      <c r="AM452" s="423"/>
      <c r="AN452" s="423"/>
      <c r="AO452" s="423"/>
      <c r="AP452" s="423"/>
      <c r="AQ452" s="423"/>
      <c r="AR452" s="423"/>
      <c r="AS452" s="423"/>
      <c r="AT452" s="423"/>
      <c r="AU452" s="423"/>
      <c r="AV452" s="423"/>
      <c r="AW452" s="423"/>
      <c r="AX452" s="423"/>
      <c r="AY452" s="424"/>
    </row>
    <row r="453" spans="2:51" ht="18" customHeight="1">
      <c r="B453" s="1942"/>
      <c r="C453" s="1907" t="s">
        <v>550</v>
      </c>
      <c r="D453" s="1899" t="s">
        <v>318</v>
      </c>
      <c r="E453" s="1900"/>
      <c r="F453" s="1900" t="s">
        <v>319</v>
      </c>
      <c r="G453" s="1900"/>
      <c r="H453" s="1900" t="s">
        <v>320</v>
      </c>
      <c r="I453" s="1902"/>
      <c r="J453" s="1899" t="s">
        <v>318</v>
      </c>
      <c r="K453" s="1900"/>
      <c r="L453" s="1900" t="s">
        <v>319</v>
      </c>
      <c r="M453" s="1900"/>
      <c r="N453" s="1900" t="s">
        <v>320</v>
      </c>
      <c r="O453" s="1901"/>
      <c r="P453" s="1898" t="s">
        <v>318</v>
      </c>
      <c r="Q453" s="1900"/>
      <c r="R453" s="1900" t="s">
        <v>319</v>
      </c>
      <c r="S453" s="1900"/>
      <c r="T453" s="1900" t="s">
        <v>320</v>
      </c>
      <c r="U453" s="1902"/>
      <c r="V453" s="1898" t="s">
        <v>318</v>
      </c>
      <c r="W453" s="1900"/>
      <c r="X453" s="1900" t="s">
        <v>319</v>
      </c>
      <c r="Y453" s="1900"/>
      <c r="Z453" s="1900" t="s">
        <v>320</v>
      </c>
      <c r="AA453" s="1902"/>
      <c r="AB453" s="565" t="s">
        <v>5627</v>
      </c>
      <c r="AC453" s="451"/>
      <c r="AD453" s="451"/>
      <c r="AE453" s="451"/>
      <c r="AF453" s="451"/>
      <c r="AG453" s="451"/>
      <c r="AH453" s="425"/>
      <c r="AI453" s="425"/>
      <c r="AJ453" s="425"/>
      <c r="AK453" s="425"/>
      <c r="AL453" s="425"/>
      <c r="AM453" s="425"/>
      <c r="AN453" s="425"/>
      <c r="AO453" s="425"/>
      <c r="AP453" s="425"/>
      <c r="AQ453" s="425"/>
      <c r="AR453" s="425"/>
      <c r="AS453" s="425"/>
      <c r="AT453" s="425"/>
      <c r="AU453" s="425"/>
      <c r="AV453" s="425"/>
      <c r="AW453" s="425"/>
      <c r="AX453" s="425"/>
      <c r="AY453" s="426"/>
    </row>
    <row r="454" spans="2:51" ht="18" customHeight="1">
      <c r="B454" s="1945" t="str">
        <f>+$B$6</f>
        <v>戸建形式住宅</v>
      </c>
      <c r="C454" s="588" t="s">
        <v>23</v>
      </c>
      <c r="D454" s="431" t="s">
        <v>857</v>
      </c>
      <c r="E454" s="432" t="s">
        <v>857</v>
      </c>
      <c r="F454" s="432" t="s">
        <v>857</v>
      </c>
      <c r="G454" s="432" t="s">
        <v>857</v>
      </c>
      <c r="H454" s="432" t="s">
        <v>857</v>
      </c>
      <c r="I454" s="433" t="s">
        <v>857</v>
      </c>
      <c r="J454" s="431" t="s">
        <v>857</v>
      </c>
      <c r="K454" s="432" t="s">
        <v>857</v>
      </c>
      <c r="L454" s="432" t="s">
        <v>857</v>
      </c>
      <c r="M454" s="432" t="s">
        <v>857</v>
      </c>
      <c r="N454" s="432" t="s">
        <v>857</v>
      </c>
      <c r="O454" s="433" t="s">
        <v>857</v>
      </c>
      <c r="P454" s="431" t="s">
        <v>857</v>
      </c>
      <c r="Q454" s="432" t="s">
        <v>857</v>
      </c>
      <c r="R454" s="432" t="s">
        <v>857</v>
      </c>
      <c r="S454" s="432" t="s">
        <v>857</v>
      </c>
      <c r="T454" s="432" t="s">
        <v>857</v>
      </c>
      <c r="U454" s="433" t="s">
        <v>857</v>
      </c>
      <c r="V454" s="431" t="s">
        <v>857</v>
      </c>
      <c r="W454" s="432" t="s">
        <v>857</v>
      </c>
      <c r="X454" s="432" t="s">
        <v>857</v>
      </c>
      <c r="Y454" s="432" t="s">
        <v>857</v>
      </c>
      <c r="Z454" s="432" t="s">
        <v>857</v>
      </c>
      <c r="AA454" s="433" t="s">
        <v>857</v>
      </c>
      <c r="AB454" s="450"/>
      <c r="AC454" s="451"/>
      <c r="AD454" s="451"/>
      <c r="AE454" s="451"/>
      <c r="AF454" s="451"/>
      <c r="AG454" s="451"/>
      <c r="AH454" s="425"/>
      <c r="AI454" s="425"/>
      <c r="AJ454" s="425"/>
      <c r="AK454" s="425"/>
      <c r="AL454" s="425"/>
      <c r="AM454" s="425"/>
      <c r="AN454" s="425"/>
      <c r="AO454" s="425"/>
      <c r="AP454" s="425"/>
      <c r="AQ454" s="425"/>
      <c r="AR454" s="425"/>
      <c r="AS454" s="425"/>
      <c r="AT454" s="425"/>
      <c r="AU454" s="425"/>
      <c r="AV454" s="425"/>
      <c r="AW454" s="425"/>
      <c r="AX454" s="425"/>
      <c r="AY454" s="426"/>
    </row>
    <row r="455" spans="2:51" ht="18" customHeight="1">
      <c r="B455" s="1946" t="str">
        <f>+$B$7</f>
        <v>集合形式住宅</v>
      </c>
      <c r="C455" s="1205">
        <f>C456</f>
        <v>607420</v>
      </c>
      <c r="D455" s="1209" t="str">
        <f>D456</f>
        <v>-</v>
      </c>
      <c r="E455" s="1207" t="str">
        <f>E456</f>
        <v>-</v>
      </c>
      <c r="F455" s="1242" t="str">
        <f t="shared" ref="F455:AA455" si="63">F456</f>
        <v>選択方式</v>
      </c>
      <c r="G455" s="1207">
        <f t="shared" si="63"/>
        <v>1</v>
      </c>
      <c r="H455" s="1242" t="str">
        <f t="shared" si="63"/>
        <v>無選択方式</v>
      </c>
      <c r="I455" s="1210">
        <f t="shared" si="63"/>
        <v>0.65</v>
      </c>
      <c r="J455" s="1209" t="str">
        <f t="shared" si="63"/>
        <v>自動出発</v>
      </c>
      <c r="K455" s="1207">
        <f t="shared" si="63"/>
        <v>1.1000000000000001</v>
      </c>
      <c r="L455" s="1242" t="str">
        <f t="shared" si="63"/>
        <v>２重投入防止</v>
      </c>
      <c r="M455" s="1207">
        <f t="shared" si="63"/>
        <v>1</v>
      </c>
      <c r="N455" s="1242" t="str">
        <f t="shared" si="63"/>
        <v>ﾗﾝﾌﾟ表示</v>
      </c>
      <c r="O455" s="1210">
        <f t="shared" si="63"/>
        <v>0.85</v>
      </c>
      <c r="P455" s="1209" t="str">
        <f t="shared" si="63"/>
        <v>水平</v>
      </c>
      <c r="Q455" s="1207">
        <f t="shared" si="63"/>
        <v>1.7</v>
      </c>
      <c r="R455" s="1242" t="str">
        <f t="shared" si="63"/>
        <v>直上下</v>
      </c>
      <c r="S455" s="1207">
        <f t="shared" si="63"/>
        <v>1</v>
      </c>
      <c r="T455" s="559" t="s">
        <v>37</v>
      </c>
      <c r="U455" s="1053" t="s">
        <v>37</v>
      </c>
      <c r="V455" s="1206">
        <f t="shared" si="63"/>
        <v>100</v>
      </c>
      <c r="W455" s="1207">
        <f t="shared" si="63"/>
        <v>1.6</v>
      </c>
      <c r="X455" s="1206">
        <f t="shared" si="63"/>
        <v>75</v>
      </c>
      <c r="Y455" s="1207">
        <f t="shared" si="63"/>
        <v>1</v>
      </c>
      <c r="Z455" s="1206">
        <f t="shared" si="63"/>
        <v>57</v>
      </c>
      <c r="AA455" s="1207">
        <f t="shared" si="63"/>
        <v>0.65</v>
      </c>
      <c r="AB455" s="450"/>
      <c r="AC455" s="451"/>
      <c r="AD455" s="451"/>
      <c r="AE455" s="451"/>
      <c r="AF455" s="451"/>
      <c r="AG455" s="451"/>
      <c r="AH455" s="425"/>
      <c r="AI455" s="425"/>
      <c r="AJ455" s="425"/>
      <c r="AK455" s="425"/>
      <c r="AL455" s="425"/>
      <c r="AM455" s="425"/>
      <c r="AN455" s="425"/>
      <c r="AO455" s="425"/>
      <c r="AP455" s="425"/>
      <c r="AQ455" s="425"/>
      <c r="AR455" s="425"/>
      <c r="AS455" s="425"/>
      <c r="AT455" s="425"/>
      <c r="AU455" s="425"/>
      <c r="AV455" s="425"/>
      <c r="AW455" s="425"/>
      <c r="AX455" s="425"/>
      <c r="AY455" s="426"/>
    </row>
    <row r="456" spans="2:51" ht="18" customHeight="1">
      <c r="B456" s="1946" t="str">
        <f>+$B$8</f>
        <v>事務所・店舗</v>
      </c>
      <c r="C456" s="430">
        <v>607420</v>
      </c>
      <c r="D456" s="437" t="s">
        <v>1051</v>
      </c>
      <c r="E456" s="432" t="s">
        <v>1051</v>
      </c>
      <c r="F456" s="432" t="s">
        <v>551</v>
      </c>
      <c r="G456" s="432">
        <v>1</v>
      </c>
      <c r="H456" s="432" t="s">
        <v>552</v>
      </c>
      <c r="I456" s="433">
        <v>0.65</v>
      </c>
      <c r="J456" s="437" t="s">
        <v>553</v>
      </c>
      <c r="K456" s="432">
        <v>1.1000000000000001</v>
      </c>
      <c r="L456" s="432" t="s">
        <v>554</v>
      </c>
      <c r="M456" s="432">
        <v>1</v>
      </c>
      <c r="N456" s="432" t="s">
        <v>555</v>
      </c>
      <c r="O456" s="433">
        <v>0.85</v>
      </c>
      <c r="P456" s="437" t="s">
        <v>556</v>
      </c>
      <c r="Q456" s="432">
        <v>1.7</v>
      </c>
      <c r="R456" s="432" t="s">
        <v>557</v>
      </c>
      <c r="S456" s="432">
        <v>1</v>
      </c>
      <c r="T456" s="559" t="s">
        <v>37</v>
      </c>
      <c r="U456" s="1053" t="s">
        <v>37</v>
      </c>
      <c r="V456" s="1197">
        <v>100</v>
      </c>
      <c r="W456" s="432">
        <v>1.6</v>
      </c>
      <c r="X456" s="435">
        <v>75</v>
      </c>
      <c r="Y456" s="432">
        <v>1</v>
      </c>
      <c r="Z456" s="435">
        <v>57</v>
      </c>
      <c r="AA456" s="433">
        <v>0.65</v>
      </c>
      <c r="AB456" s="450"/>
      <c r="AC456" s="451"/>
      <c r="AD456" s="451"/>
      <c r="AE456" s="451"/>
      <c r="AF456" s="451"/>
      <c r="AG456" s="451"/>
      <c r="AH456" s="425"/>
      <c r="AI456" s="425"/>
      <c r="AJ456" s="425"/>
      <c r="AK456" s="425"/>
      <c r="AL456" s="425"/>
      <c r="AM456" s="425"/>
      <c r="AN456" s="425"/>
      <c r="AO456" s="425"/>
      <c r="AP456" s="425"/>
      <c r="AQ456" s="425"/>
      <c r="AR456" s="425"/>
      <c r="AS456" s="425"/>
      <c r="AT456" s="425"/>
      <c r="AU456" s="425"/>
      <c r="AV456" s="425"/>
      <c r="AW456" s="425"/>
      <c r="AX456" s="425"/>
      <c r="AY456" s="426"/>
    </row>
    <row r="457" spans="2:51" ht="18" customHeight="1">
      <c r="B457" s="1946" t="str">
        <f>+$B$9</f>
        <v>病院・ホテル</v>
      </c>
      <c r="C457" s="430">
        <v>607420</v>
      </c>
      <c r="D457" s="437" t="s">
        <v>1051</v>
      </c>
      <c r="E457" s="432" t="s">
        <v>1051</v>
      </c>
      <c r="F457" s="432" t="s">
        <v>551</v>
      </c>
      <c r="G457" s="432">
        <v>1</v>
      </c>
      <c r="H457" s="432" t="s">
        <v>552</v>
      </c>
      <c r="I457" s="433">
        <v>0.65</v>
      </c>
      <c r="J457" s="437" t="s">
        <v>553</v>
      </c>
      <c r="K457" s="432">
        <v>1.1000000000000001</v>
      </c>
      <c r="L457" s="432" t="s">
        <v>554</v>
      </c>
      <c r="M457" s="432">
        <v>1</v>
      </c>
      <c r="N457" s="432" t="s">
        <v>555</v>
      </c>
      <c r="O457" s="433">
        <v>0.85</v>
      </c>
      <c r="P457" s="437" t="s">
        <v>556</v>
      </c>
      <c r="Q457" s="432">
        <v>1.7</v>
      </c>
      <c r="R457" s="432" t="s">
        <v>557</v>
      </c>
      <c r="S457" s="432">
        <v>1</v>
      </c>
      <c r="T457" s="559" t="s">
        <v>37</v>
      </c>
      <c r="U457" s="1053" t="s">
        <v>37</v>
      </c>
      <c r="V457" s="1197">
        <v>100</v>
      </c>
      <c r="W457" s="432">
        <v>1.6</v>
      </c>
      <c r="X457" s="435">
        <v>75</v>
      </c>
      <c r="Y457" s="432">
        <v>1</v>
      </c>
      <c r="Z457" s="435">
        <v>57</v>
      </c>
      <c r="AA457" s="433">
        <v>0.65</v>
      </c>
      <c r="AB457" s="450"/>
      <c r="AC457" s="451"/>
      <c r="AD457" s="451"/>
      <c r="AE457" s="451"/>
      <c r="AF457" s="451"/>
      <c r="AG457" s="451"/>
      <c r="AH457" s="425"/>
      <c r="AI457" s="425"/>
      <c r="AJ457" s="425"/>
      <c r="AK457" s="425"/>
      <c r="AL457" s="425"/>
      <c r="AM457" s="425"/>
      <c r="AN457" s="425"/>
      <c r="AO457" s="425"/>
      <c r="AP457" s="425"/>
      <c r="AQ457" s="425"/>
      <c r="AR457" s="425"/>
      <c r="AS457" s="425"/>
      <c r="AT457" s="425"/>
      <c r="AU457" s="425"/>
      <c r="AV457" s="425"/>
      <c r="AW457" s="425"/>
      <c r="AX457" s="425"/>
      <c r="AY457" s="426"/>
    </row>
    <row r="458" spans="2:51" ht="18" customHeight="1">
      <c r="B458" s="1947" t="str">
        <f>+$B$10</f>
        <v>工場・倉庫</v>
      </c>
      <c r="C458" s="1308">
        <f>C457</f>
        <v>607420</v>
      </c>
      <c r="D458" s="1342" t="str">
        <f>D456</f>
        <v>-</v>
      </c>
      <c r="E458" s="1215" t="str">
        <f>E456</f>
        <v>-</v>
      </c>
      <c r="F458" s="1343" t="str">
        <f t="shared" ref="F458:AA458" si="64">F456</f>
        <v>選択方式</v>
      </c>
      <c r="G458" s="1215">
        <f t="shared" si="64"/>
        <v>1</v>
      </c>
      <c r="H458" s="1343" t="str">
        <f t="shared" si="64"/>
        <v>無選択方式</v>
      </c>
      <c r="I458" s="1315">
        <f t="shared" si="64"/>
        <v>0.65</v>
      </c>
      <c r="J458" s="1342" t="str">
        <f t="shared" si="64"/>
        <v>自動出発</v>
      </c>
      <c r="K458" s="1215">
        <f t="shared" si="64"/>
        <v>1.1000000000000001</v>
      </c>
      <c r="L458" s="1343" t="str">
        <f t="shared" si="64"/>
        <v>２重投入防止</v>
      </c>
      <c r="M458" s="1215">
        <f t="shared" si="64"/>
        <v>1</v>
      </c>
      <c r="N458" s="1343" t="str">
        <f t="shared" si="64"/>
        <v>ﾗﾝﾌﾟ表示</v>
      </c>
      <c r="O458" s="1315">
        <f t="shared" si="64"/>
        <v>0.85</v>
      </c>
      <c r="P458" s="1342" t="str">
        <f t="shared" si="64"/>
        <v>水平</v>
      </c>
      <c r="Q458" s="1215">
        <f t="shared" si="64"/>
        <v>1.7</v>
      </c>
      <c r="R458" s="1343" t="str">
        <f t="shared" si="64"/>
        <v>直上下</v>
      </c>
      <c r="S458" s="1215">
        <f t="shared" si="64"/>
        <v>1</v>
      </c>
      <c r="T458" s="1052" t="s">
        <v>37</v>
      </c>
      <c r="U458" s="1054" t="s">
        <v>37</v>
      </c>
      <c r="V458" s="1212">
        <f t="shared" si="64"/>
        <v>100</v>
      </c>
      <c r="W458" s="1213">
        <f t="shared" si="64"/>
        <v>1.6</v>
      </c>
      <c r="X458" s="1212">
        <f t="shared" si="64"/>
        <v>75</v>
      </c>
      <c r="Y458" s="1213">
        <f t="shared" si="64"/>
        <v>1</v>
      </c>
      <c r="Z458" s="1212">
        <f t="shared" si="64"/>
        <v>57</v>
      </c>
      <c r="AA458" s="1213">
        <f t="shared" si="64"/>
        <v>0.65</v>
      </c>
      <c r="AB458" s="450"/>
      <c r="AC458" s="451"/>
      <c r="AD458" s="451"/>
      <c r="AE458" s="451"/>
      <c r="AF458" s="451"/>
      <c r="AG458" s="451"/>
      <c r="AH458" s="425"/>
      <c r="AI458" s="425"/>
      <c r="AJ458" s="425"/>
      <c r="AK458" s="425"/>
      <c r="AL458" s="425"/>
      <c r="AM458" s="425"/>
      <c r="AN458" s="425"/>
      <c r="AO458" s="425"/>
      <c r="AP458" s="425"/>
      <c r="AQ458" s="425"/>
      <c r="AR458" s="425"/>
      <c r="AS458" s="425"/>
      <c r="AT458" s="425"/>
      <c r="AU458" s="425"/>
      <c r="AV458" s="425"/>
      <c r="AW458" s="425"/>
      <c r="AX458" s="425"/>
      <c r="AY458" s="426"/>
    </row>
    <row r="459" spans="2:51" ht="18" customHeight="1">
      <c r="B459" s="1941" t="s">
        <v>311</v>
      </c>
      <c r="C459" s="1916" t="s">
        <v>558</v>
      </c>
      <c r="D459" s="1888" t="s">
        <v>559</v>
      </c>
      <c r="E459" s="1889"/>
      <c r="F459" s="1889"/>
      <c r="G459" s="1889"/>
      <c r="H459" s="1889"/>
      <c r="I459" s="1890"/>
      <c r="J459" s="1887" t="s">
        <v>560</v>
      </c>
      <c r="K459" s="1889"/>
      <c r="L459" s="1889"/>
      <c r="M459" s="1889"/>
      <c r="N459" s="1889"/>
      <c r="O459" s="1891"/>
      <c r="P459" s="1888" t="s">
        <v>561</v>
      </c>
      <c r="Q459" s="1889"/>
      <c r="R459" s="1889"/>
      <c r="S459" s="1889"/>
      <c r="T459" s="1889"/>
      <c r="U459" s="1890"/>
      <c r="V459" s="1887" t="s">
        <v>562</v>
      </c>
      <c r="W459" s="1889"/>
      <c r="X459" s="1889"/>
      <c r="Y459" s="1889"/>
      <c r="Z459" s="1889"/>
      <c r="AA459" s="1891"/>
      <c r="AB459" s="1888" t="s">
        <v>563</v>
      </c>
      <c r="AC459" s="1889"/>
      <c r="AD459" s="1889"/>
      <c r="AE459" s="1889"/>
      <c r="AF459" s="1889"/>
      <c r="AG459" s="1891"/>
      <c r="AH459" s="423"/>
      <c r="AI459" s="423"/>
      <c r="AJ459" s="423"/>
      <c r="AK459" s="423"/>
      <c r="AL459" s="423"/>
      <c r="AM459" s="423"/>
      <c r="AN459" s="423"/>
      <c r="AO459" s="423"/>
      <c r="AP459" s="423"/>
      <c r="AQ459" s="423"/>
      <c r="AR459" s="423"/>
      <c r="AS459" s="423"/>
      <c r="AT459" s="423"/>
      <c r="AU459" s="423"/>
      <c r="AV459" s="423"/>
      <c r="AW459" s="423"/>
      <c r="AX459" s="423"/>
      <c r="AY459" s="424"/>
    </row>
    <row r="460" spans="2:51" ht="18" customHeight="1">
      <c r="B460" s="1942"/>
      <c r="C460" s="1907" t="s">
        <v>564</v>
      </c>
      <c r="D460" s="1899" t="s">
        <v>318</v>
      </c>
      <c r="E460" s="1900"/>
      <c r="F460" s="1900" t="s">
        <v>319</v>
      </c>
      <c r="G460" s="1900"/>
      <c r="H460" s="1900" t="s">
        <v>320</v>
      </c>
      <c r="I460" s="1901"/>
      <c r="J460" s="1898" t="s">
        <v>318</v>
      </c>
      <c r="K460" s="1900"/>
      <c r="L460" s="1900" t="s">
        <v>319</v>
      </c>
      <c r="M460" s="1900"/>
      <c r="N460" s="1900" t="s">
        <v>320</v>
      </c>
      <c r="O460" s="1902"/>
      <c r="P460" s="1899" t="s">
        <v>318</v>
      </c>
      <c r="Q460" s="1900"/>
      <c r="R460" s="1900" t="s">
        <v>319</v>
      </c>
      <c r="S460" s="1900"/>
      <c r="T460" s="1900" t="s">
        <v>320</v>
      </c>
      <c r="U460" s="1901"/>
      <c r="V460" s="1898" t="s">
        <v>318</v>
      </c>
      <c r="W460" s="1900"/>
      <c r="X460" s="1900" t="s">
        <v>319</v>
      </c>
      <c r="Y460" s="1900"/>
      <c r="Z460" s="1900" t="s">
        <v>320</v>
      </c>
      <c r="AA460" s="1902"/>
      <c r="AB460" s="1899" t="s">
        <v>318</v>
      </c>
      <c r="AC460" s="1900"/>
      <c r="AD460" s="1900" t="s">
        <v>318</v>
      </c>
      <c r="AE460" s="1900"/>
      <c r="AF460" s="1900" t="s">
        <v>319</v>
      </c>
      <c r="AG460" s="1902"/>
      <c r="AH460" s="425"/>
      <c r="AI460" s="425"/>
      <c r="AJ460" s="425"/>
      <c r="AK460" s="425"/>
      <c r="AL460" s="425"/>
      <c r="AM460" s="425"/>
      <c r="AN460" s="425"/>
      <c r="AO460" s="425"/>
      <c r="AP460" s="425"/>
      <c r="AQ460" s="425"/>
      <c r="AR460" s="425"/>
      <c r="AS460" s="425"/>
      <c r="AT460" s="425"/>
      <c r="AU460" s="425"/>
      <c r="AV460" s="425"/>
      <c r="AW460" s="425"/>
      <c r="AX460" s="425"/>
      <c r="AY460" s="426"/>
    </row>
    <row r="461" spans="2:51" ht="18" customHeight="1">
      <c r="B461" s="1945" t="str">
        <f>+$B$6</f>
        <v>戸建形式住宅</v>
      </c>
      <c r="C461" s="588" t="s">
        <v>23</v>
      </c>
      <c r="D461" s="431" t="s">
        <v>857</v>
      </c>
      <c r="E461" s="432" t="s">
        <v>857</v>
      </c>
      <c r="F461" s="432" t="s">
        <v>857</v>
      </c>
      <c r="G461" s="432" t="s">
        <v>857</v>
      </c>
      <c r="H461" s="432" t="s">
        <v>857</v>
      </c>
      <c r="I461" s="433" t="s">
        <v>857</v>
      </c>
      <c r="J461" s="431" t="s">
        <v>857</v>
      </c>
      <c r="K461" s="432" t="s">
        <v>857</v>
      </c>
      <c r="L461" s="432" t="s">
        <v>857</v>
      </c>
      <c r="M461" s="432" t="s">
        <v>857</v>
      </c>
      <c r="N461" s="432" t="s">
        <v>857</v>
      </c>
      <c r="O461" s="433" t="s">
        <v>857</v>
      </c>
      <c r="P461" s="431" t="s">
        <v>857</v>
      </c>
      <c r="Q461" s="432" t="s">
        <v>857</v>
      </c>
      <c r="R461" s="432" t="s">
        <v>857</v>
      </c>
      <c r="S461" s="432" t="s">
        <v>857</v>
      </c>
      <c r="T461" s="432" t="s">
        <v>857</v>
      </c>
      <c r="U461" s="433" t="s">
        <v>857</v>
      </c>
      <c r="V461" s="431" t="s">
        <v>857</v>
      </c>
      <c r="W461" s="432" t="s">
        <v>857</v>
      </c>
      <c r="X461" s="432" t="s">
        <v>857</v>
      </c>
      <c r="Y461" s="432" t="s">
        <v>857</v>
      </c>
      <c r="Z461" s="432" t="s">
        <v>857</v>
      </c>
      <c r="AA461" s="433" t="s">
        <v>857</v>
      </c>
      <c r="AB461" s="431" t="s">
        <v>857</v>
      </c>
      <c r="AC461" s="432" t="s">
        <v>857</v>
      </c>
      <c r="AD461" s="432" t="s">
        <v>857</v>
      </c>
      <c r="AE461" s="432" t="s">
        <v>857</v>
      </c>
      <c r="AF461" s="432" t="s">
        <v>857</v>
      </c>
      <c r="AG461" s="433" t="s">
        <v>857</v>
      </c>
      <c r="AH461" s="425"/>
      <c r="AI461" s="425"/>
      <c r="AJ461" s="425"/>
      <c r="AK461" s="425"/>
      <c r="AL461" s="425"/>
      <c r="AM461" s="425"/>
      <c r="AN461" s="425"/>
      <c r="AO461" s="425"/>
      <c r="AP461" s="425"/>
      <c r="AQ461" s="425"/>
      <c r="AR461" s="425"/>
      <c r="AS461" s="425"/>
      <c r="AT461" s="425"/>
      <c r="AU461" s="425"/>
      <c r="AV461" s="425"/>
      <c r="AW461" s="425"/>
      <c r="AX461" s="425"/>
      <c r="AY461" s="426"/>
    </row>
    <row r="462" spans="2:51" ht="18" customHeight="1">
      <c r="B462" s="1946" t="str">
        <f>+$B$7</f>
        <v>集合形式住宅</v>
      </c>
      <c r="C462" s="430">
        <v>5618710</v>
      </c>
      <c r="D462" s="1201">
        <v>1000</v>
      </c>
      <c r="E462" s="432">
        <v>1.2</v>
      </c>
      <c r="F462" s="1202">
        <v>600</v>
      </c>
      <c r="G462" s="432">
        <v>1</v>
      </c>
      <c r="H462" s="1202">
        <v>400</v>
      </c>
      <c r="I462" s="436">
        <v>0.92</v>
      </c>
      <c r="J462" s="1262">
        <v>13</v>
      </c>
      <c r="K462" s="432">
        <v>1.1499999999999999</v>
      </c>
      <c r="L462" s="1202">
        <v>8</v>
      </c>
      <c r="M462" s="432">
        <v>1</v>
      </c>
      <c r="N462" s="1202">
        <v>5</v>
      </c>
      <c r="O462" s="433">
        <v>0.9</v>
      </c>
      <c r="P462" s="1201">
        <v>105</v>
      </c>
      <c r="Q462" s="432">
        <v>1.27</v>
      </c>
      <c r="R462" s="1202">
        <v>60</v>
      </c>
      <c r="S462" s="432">
        <v>1</v>
      </c>
      <c r="T462" s="1202">
        <v>45</v>
      </c>
      <c r="U462" s="436">
        <v>0.95</v>
      </c>
      <c r="V462" s="437" t="s">
        <v>565</v>
      </c>
      <c r="W462" s="432">
        <v>1.3</v>
      </c>
      <c r="X462" s="432" t="s">
        <v>566</v>
      </c>
      <c r="Y462" s="432">
        <v>1</v>
      </c>
      <c r="Z462" s="432" t="s">
        <v>330</v>
      </c>
      <c r="AA462" s="433">
        <v>0.95</v>
      </c>
      <c r="AB462" s="1197" t="s">
        <v>567</v>
      </c>
      <c r="AC462" s="432">
        <v>1.06</v>
      </c>
      <c r="AD462" s="435" t="s">
        <v>568</v>
      </c>
      <c r="AE462" s="432">
        <v>1.03</v>
      </c>
      <c r="AF462" s="432" t="s">
        <v>636</v>
      </c>
      <c r="AG462" s="433">
        <v>1</v>
      </c>
      <c r="AH462" s="425"/>
      <c r="AI462" s="425"/>
      <c r="AJ462" s="425"/>
      <c r="AK462" s="425"/>
      <c r="AL462" s="425"/>
      <c r="AM462" s="425"/>
      <c r="AN462" s="425"/>
      <c r="AO462" s="425"/>
      <c r="AP462" s="425"/>
      <c r="AQ462" s="425"/>
      <c r="AR462" s="425"/>
      <c r="AS462" s="425"/>
      <c r="AT462" s="425"/>
      <c r="AU462" s="425"/>
      <c r="AV462" s="425"/>
      <c r="AW462" s="425"/>
      <c r="AX462" s="425"/>
      <c r="AY462" s="426"/>
    </row>
    <row r="463" spans="2:51" ht="18" customHeight="1">
      <c r="B463" s="1946" t="str">
        <f>+$B$8</f>
        <v>事務所・店舗</v>
      </c>
      <c r="C463" s="430">
        <v>5618710</v>
      </c>
      <c r="D463" s="1201">
        <v>1000</v>
      </c>
      <c r="E463" s="432">
        <v>1.2</v>
      </c>
      <c r="F463" s="1202">
        <v>600</v>
      </c>
      <c r="G463" s="432">
        <v>1</v>
      </c>
      <c r="H463" s="1202">
        <v>400</v>
      </c>
      <c r="I463" s="436">
        <v>0.92</v>
      </c>
      <c r="J463" s="1262">
        <v>13</v>
      </c>
      <c r="K463" s="432">
        <v>1.1499999999999999</v>
      </c>
      <c r="L463" s="1202">
        <v>8</v>
      </c>
      <c r="M463" s="432">
        <v>1</v>
      </c>
      <c r="N463" s="1202">
        <v>5</v>
      </c>
      <c r="O463" s="433">
        <v>0.9</v>
      </c>
      <c r="P463" s="1201">
        <v>105</v>
      </c>
      <c r="Q463" s="432">
        <v>1.27</v>
      </c>
      <c r="R463" s="1202">
        <v>60</v>
      </c>
      <c r="S463" s="432">
        <v>1</v>
      </c>
      <c r="T463" s="1202">
        <v>45</v>
      </c>
      <c r="U463" s="436">
        <v>0.95</v>
      </c>
      <c r="V463" s="437" t="s">
        <v>565</v>
      </c>
      <c r="W463" s="432">
        <v>1.3</v>
      </c>
      <c r="X463" s="432" t="s">
        <v>566</v>
      </c>
      <c r="Y463" s="432">
        <v>1</v>
      </c>
      <c r="Z463" s="432" t="s">
        <v>330</v>
      </c>
      <c r="AA463" s="433">
        <v>0.95</v>
      </c>
      <c r="AB463" s="1197" t="s">
        <v>567</v>
      </c>
      <c r="AC463" s="432">
        <v>1.06</v>
      </c>
      <c r="AD463" s="435" t="s">
        <v>568</v>
      </c>
      <c r="AE463" s="432">
        <v>1.03</v>
      </c>
      <c r="AF463" s="432" t="s">
        <v>636</v>
      </c>
      <c r="AG463" s="433">
        <v>1</v>
      </c>
      <c r="AH463" s="425"/>
      <c r="AI463" s="425"/>
      <c r="AJ463" s="425"/>
      <c r="AK463" s="425"/>
      <c r="AL463" s="425"/>
      <c r="AM463" s="425"/>
      <c r="AN463" s="425"/>
      <c r="AO463" s="425"/>
      <c r="AP463" s="425"/>
      <c r="AQ463" s="425"/>
      <c r="AR463" s="425"/>
      <c r="AS463" s="425"/>
      <c r="AT463" s="425"/>
      <c r="AU463" s="425"/>
      <c r="AV463" s="425"/>
      <c r="AW463" s="425"/>
      <c r="AX463" s="425"/>
      <c r="AY463" s="426"/>
    </row>
    <row r="464" spans="2:51" ht="18" customHeight="1">
      <c r="B464" s="1946" t="str">
        <f>+$B$9</f>
        <v>病院・ホテル</v>
      </c>
      <c r="C464" s="430">
        <v>5618710</v>
      </c>
      <c r="D464" s="1201">
        <v>1000</v>
      </c>
      <c r="E464" s="432">
        <v>1.2</v>
      </c>
      <c r="F464" s="1202">
        <v>600</v>
      </c>
      <c r="G464" s="432">
        <v>1</v>
      </c>
      <c r="H464" s="1202">
        <v>400</v>
      </c>
      <c r="I464" s="436">
        <v>0.92</v>
      </c>
      <c r="J464" s="1262">
        <v>13</v>
      </c>
      <c r="K464" s="432">
        <v>1.1499999999999999</v>
      </c>
      <c r="L464" s="1202">
        <v>8</v>
      </c>
      <c r="M464" s="432">
        <v>1</v>
      </c>
      <c r="N464" s="1202">
        <v>5</v>
      </c>
      <c r="O464" s="433">
        <v>0.9</v>
      </c>
      <c r="P464" s="1201">
        <v>105</v>
      </c>
      <c r="Q464" s="432">
        <v>1.27</v>
      </c>
      <c r="R464" s="1202">
        <v>60</v>
      </c>
      <c r="S464" s="432">
        <v>1</v>
      </c>
      <c r="T464" s="1202">
        <v>45</v>
      </c>
      <c r="U464" s="436">
        <v>0.95</v>
      </c>
      <c r="V464" s="437" t="s">
        <v>565</v>
      </c>
      <c r="W464" s="432">
        <v>1.3</v>
      </c>
      <c r="X464" s="432" t="s">
        <v>566</v>
      </c>
      <c r="Y464" s="432">
        <v>1</v>
      </c>
      <c r="Z464" s="432" t="s">
        <v>330</v>
      </c>
      <c r="AA464" s="433">
        <v>0.95</v>
      </c>
      <c r="AB464" s="1197" t="s">
        <v>567</v>
      </c>
      <c r="AC464" s="432">
        <v>1.06</v>
      </c>
      <c r="AD464" s="435" t="s">
        <v>568</v>
      </c>
      <c r="AE464" s="432">
        <v>1.03</v>
      </c>
      <c r="AF464" s="432" t="s">
        <v>636</v>
      </c>
      <c r="AG464" s="433">
        <v>1</v>
      </c>
      <c r="AH464" s="425"/>
      <c r="AI464" s="425"/>
      <c r="AJ464" s="425"/>
      <c r="AK464" s="425"/>
      <c r="AL464" s="425"/>
      <c r="AM464" s="425"/>
      <c r="AN464" s="425"/>
      <c r="AO464" s="425"/>
      <c r="AP464" s="425"/>
      <c r="AQ464" s="425"/>
      <c r="AR464" s="425"/>
      <c r="AS464" s="425"/>
      <c r="AT464" s="425"/>
      <c r="AU464" s="425"/>
      <c r="AV464" s="425"/>
      <c r="AW464" s="425"/>
      <c r="AX464" s="425"/>
      <c r="AY464" s="426"/>
    </row>
    <row r="465" spans="2:51" ht="18" customHeight="1">
      <c r="B465" s="1947" t="str">
        <f>+$B$10</f>
        <v>工場・倉庫</v>
      </c>
      <c r="C465" s="430">
        <v>5618710</v>
      </c>
      <c r="D465" s="1258">
        <v>1000</v>
      </c>
      <c r="E465" s="442">
        <v>1.2</v>
      </c>
      <c r="F465" s="1259">
        <v>600</v>
      </c>
      <c r="G465" s="442">
        <v>1</v>
      </c>
      <c r="H465" s="1259">
        <v>400</v>
      </c>
      <c r="I465" s="444">
        <v>0.92</v>
      </c>
      <c r="J465" s="1344">
        <v>13</v>
      </c>
      <c r="K465" s="442">
        <v>1.1499999999999999</v>
      </c>
      <c r="L465" s="1259">
        <v>8</v>
      </c>
      <c r="M465" s="442">
        <v>1</v>
      </c>
      <c r="N465" s="1259">
        <v>5</v>
      </c>
      <c r="O465" s="443">
        <v>0.9</v>
      </c>
      <c r="P465" s="1258">
        <v>105</v>
      </c>
      <c r="Q465" s="442">
        <v>1.27</v>
      </c>
      <c r="R465" s="1259">
        <v>60</v>
      </c>
      <c r="S465" s="442">
        <v>1</v>
      </c>
      <c r="T465" s="1259">
        <v>45</v>
      </c>
      <c r="U465" s="444">
        <v>0.95</v>
      </c>
      <c r="V465" s="1283" t="s">
        <v>565</v>
      </c>
      <c r="W465" s="442">
        <v>1.3</v>
      </c>
      <c r="X465" s="442" t="s">
        <v>566</v>
      </c>
      <c r="Y465" s="442">
        <v>1</v>
      </c>
      <c r="Z465" s="442" t="s">
        <v>330</v>
      </c>
      <c r="AA465" s="443">
        <v>0.95</v>
      </c>
      <c r="AB465" s="1282" t="s">
        <v>567</v>
      </c>
      <c r="AC465" s="442">
        <v>1.06</v>
      </c>
      <c r="AD465" s="1257" t="s">
        <v>568</v>
      </c>
      <c r="AE465" s="442">
        <v>1.03</v>
      </c>
      <c r="AF465" s="442" t="s">
        <v>636</v>
      </c>
      <c r="AG465" s="443">
        <v>1</v>
      </c>
      <c r="AH465" s="425"/>
      <c r="AI465" s="425"/>
      <c r="AJ465" s="425"/>
      <c r="AK465" s="425"/>
      <c r="AL465" s="425"/>
      <c r="AM465" s="425"/>
      <c r="AN465" s="425"/>
      <c r="AO465" s="425"/>
      <c r="AP465" s="425"/>
      <c r="AQ465" s="425"/>
      <c r="AR465" s="425"/>
      <c r="AS465" s="425"/>
      <c r="AT465" s="425"/>
      <c r="AU465" s="425"/>
      <c r="AV465" s="425"/>
      <c r="AW465" s="425"/>
      <c r="AX465" s="425"/>
      <c r="AY465" s="426"/>
    </row>
    <row r="466" spans="2:51" ht="18" customHeight="1">
      <c r="B466" s="1941" t="s">
        <v>311</v>
      </c>
      <c r="C466" s="1916" t="s">
        <v>569</v>
      </c>
      <c r="D466" s="1887" t="s">
        <v>570</v>
      </c>
      <c r="E466" s="1889"/>
      <c r="F466" s="1889"/>
      <c r="G466" s="1889"/>
      <c r="H466" s="1889"/>
      <c r="I466" s="1891"/>
      <c r="J466" s="1887" t="s">
        <v>571</v>
      </c>
      <c r="K466" s="1889"/>
      <c r="L466" s="1889"/>
      <c r="M466" s="1889"/>
      <c r="N466" s="1889"/>
      <c r="O466" s="1891"/>
      <c r="P466" s="1888" t="s">
        <v>572</v>
      </c>
      <c r="Q466" s="1889"/>
      <c r="R466" s="1889"/>
      <c r="S466" s="1889"/>
      <c r="T466" s="1889"/>
      <c r="U466" s="1890"/>
      <c r="V466" s="1887" t="s">
        <v>573</v>
      </c>
      <c r="W466" s="1889"/>
      <c r="X466" s="1889"/>
      <c r="Y466" s="1889"/>
      <c r="Z466" s="1889"/>
      <c r="AA466" s="1891"/>
      <c r="AB466" s="1888" t="s">
        <v>574</v>
      </c>
      <c r="AC466" s="1889"/>
      <c r="AD466" s="1889"/>
      <c r="AE466" s="1889"/>
      <c r="AF466" s="1889"/>
      <c r="AG466" s="1891"/>
      <c r="AH466" s="460"/>
      <c r="AI466" s="423"/>
      <c r="AJ466" s="423"/>
      <c r="AK466" s="423"/>
      <c r="AL466" s="423"/>
      <c r="AM466" s="423"/>
      <c r="AN466" s="423"/>
      <c r="AO466" s="423"/>
      <c r="AP466" s="1960" t="s">
        <v>234</v>
      </c>
      <c r="AQ466" s="885"/>
      <c r="AR466" s="543"/>
      <c r="AS466" s="423"/>
      <c r="AT466" s="423"/>
      <c r="AU466" s="423"/>
      <c r="AV466" s="423"/>
      <c r="AW466" s="423"/>
      <c r="AX466" s="423"/>
      <c r="AY466" s="424"/>
    </row>
    <row r="467" spans="2:51" ht="18" customHeight="1">
      <c r="B467" s="1942"/>
      <c r="C467" s="1907" t="s">
        <v>575</v>
      </c>
      <c r="D467" s="1898" t="s">
        <v>318</v>
      </c>
      <c r="E467" s="1900"/>
      <c r="F467" s="1900" t="s">
        <v>319</v>
      </c>
      <c r="G467" s="1900"/>
      <c r="H467" s="1900" t="s">
        <v>320</v>
      </c>
      <c r="I467" s="1902"/>
      <c r="J467" s="1898" t="s">
        <v>318</v>
      </c>
      <c r="K467" s="1900"/>
      <c r="L467" s="1900" t="s">
        <v>319</v>
      </c>
      <c r="M467" s="1900"/>
      <c r="N467" s="1900" t="s">
        <v>320</v>
      </c>
      <c r="O467" s="1902"/>
      <c r="P467" s="1899" t="s">
        <v>318</v>
      </c>
      <c r="Q467" s="1900"/>
      <c r="R467" s="1900" t="s">
        <v>319</v>
      </c>
      <c r="S467" s="1900"/>
      <c r="T467" s="1900" t="s">
        <v>320</v>
      </c>
      <c r="U467" s="1901"/>
      <c r="V467" s="1898" t="s">
        <v>318</v>
      </c>
      <c r="W467" s="1900"/>
      <c r="X467" s="1900" t="s">
        <v>319</v>
      </c>
      <c r="Y467" s="1900"/>
      <c r="Z467" s="1900" t="s">
        <v>320</v>
      </c>
      <c r="AA467" s="1902"/>
      <c r="AB467" s="1899" t="s">
        <v>318</v>
      </c>
      <c r="AC467" s="1900"/>
      <c r="AD467" s="1900" t="s">
        <v>318</v>
      </c>
      <c r="AE467" s="1900"/>
      <c r="AF467" s="1900" t="s">
        <v>319</v>
      </c>
      <c r="AG467" s="1902"/>
      <c r="AH467" s="461"/>
      <c r="AI467" s="425"/>
      <c r="AJ467" s="425"/>
      <c r="AK467" s="425"/>
      <c r="AL467" s="425"/>
      <c r="AM467" s="425"/>
      <c r="AN467" s="425"/>
      <c r="AO467" s="425"/>
      <c r="AP467" s="1961" t="s">
        <v>1207</v>
      </c>
      <c r="AQ467" s="582"/>
      <c r="AR467" s="582"/>
      <c r="AS467" s="425"/>
      <c r="AT467" s="425"/>
      <c r="AU467" s="425"/>
      <c r="AV467" s="425"/>
      <c r="AW467" s="425"/>
      <c r="AX467" s="425"/>
      <c r="AY467" s="426"/>
    </row>
    <row r="468" spans="2:51" ht="18" customHeight="1">
      <c r="B468" s="1945" t="str">
        <f>+$B$6</f>
        <v>戸建形式住宅</v>
      </c>
      <c r="C468" s="588" t="s">
        <v>23</v>
      </c>
      <c r="D468" s="431" t="s">
        <v>857</v>
      </c>
      <c r="E468" s="432" t="s">
        <v>857</v>
      </c>
      <c r="F468" s="432" t="s">
        <v>857</v>
      </c>
      <c r="G468" s="432" t="s">
        <v>857</v>
      </c>
      <c r="H468" s="432" t="s">
        <v>857</v>
      </c>
      <c r="I468" s="433" t="s">
        <v>857</v>
      </c>
      <c r="J468" s="431" t="s">
        <v>857</v>
      </c>
      <c r="K468" s="432" t="s">
        <v>857</v>
      </c>
      <c r="L468" s="432" t="s">
        <v>857</v>
      </c>
      <c r="M468" s="432" t="s">
        <v>857</v>
      </c>
      <c r="N468" s="432" t="s">
        <v>857</v>
      </c>
      <c r="O468" s="433" t="s">
        <v>857</v>
      </c>
      <c r="P468" s="431" t="s">
        <v>857</v>
      </c>
      <c r="Q468" s="432" t="s">
        <v>857</v>
      </c>
      <c r="R468" s="432" t="s">
        <v>857</v>
      </c>
      <c r="S468" s="432" t="s">
        <v>857</v>
      </c>
      <c r="T468" s="432" t="s">
        <v>857</v>
      </c>
      <c r="U468" s="433" t="s">
        <v>857</v>
      </c>
      <c r="V468" s="431" t="s">
        <v>857</v>
      </c>
      <c r="W468" s="432" t="s">
        <v>857</v>
      </c>
      <c r="X468" s="432" t="s">
        <v>857</v>
      </c>
      <c r="Y468" s="432" t="s">
        <v>857</v>
      </c>
      <c r="Z468" s="432" t="s">
        <v>857</v>
      </c>
      <c r="AA468" s="433" t="s">
        <v>857</v>
      </c>
      <c r="AB468" s="431" t="s">
        <v>857</v>
      </c>
      <c r="AC468" s="432" t="s">
        <v>857</v>
      </c>
      <c r="AD468" s="432" t="s">
        <v>857</v>
      </c>
      <c r="AE468" s="432" t="s">
        <v>857</v>
      </c>
      <c r="AF468" s="432" t="s">
        <v>857</v>
      </c>
      <c r="AG468" s="1053" t="s">
        <v>5657</v>
      </c>
      <c r="AH468" s="461"/>
      <c r="AI468" s="425"/>
      <c r="AJ468" s="425"/>
      <c r="AK468" s="425"/>
      <c r="AL468" s="425"/>
      <c r="AM468" s="425"/>
      <c r="AN468" s="425"/>
      <c r="AO468" s="425"/>
      <c r="AP468" s="1070" t="s">
        <v>23</v>
      </c>
      <c r="AS468" s="425"/>
      <c r="AT468" s="425"/>
      <c r="AU468" s="425"/>
      <c r="AV468" s="425"/>
      <c r="AW468" s="425"/>
      <c r="AX468" s="425"/>
      <c r="AY468" s="426"/>
    </row>
    <row r="469" spans="2:51" ht="18" customHeight="1">
      <c r="B469" s="1946" t="str">
        <f>+$B$7</f>
        <v>集合形式住宅</v>
      </c>
      <c r="C469" s="430">
        <v>21283020</v>
      </c>
      <c r="D469" s="1262">
        <v>2000</v>
      </c>
      <c r="E469" s="432">
        <v>1.2</v>
      </c>
      <c r="F469" s="1202">
        <v>1000</v>
      </c>
      <c r="G469" s="432">
        <v>1</v>
      </c>
      <c r="H469" s="1202" t="s">
        <v>1051</v>
      </c>
      <c r="I469" s="433" t="s">
        <v>1051</v>
      </c>
      <c r="J469" s="1262">
        <v>13</v>
      </c>
      <c r="K469" s="432">
        <v>1.1100000000000001</v>
      </c>
      <c r="L469" s="1202">
        <v>8</v>
      </c>
      <c r="M469" s="432">
        <v>1</v>
      </c>
      <c r="N469" s="1202">
        <v>5</v>
      </c>
      <c r="O469" s="433">
        <v>0.93</v>
      </c>
      <c r="P469" s="1201">
        <v>210</v>
      </c>
      <c r="Q469" s="432">
        <v>1.1200000000000001</v>
      </c>
      <c r="R469" s="1202">
        <v>180</v>
      </c>
      <c r="S469" s="432">
        <v>1</v>
      </c>
      <c r="T469" s="1202">
        <v>120</v>
      </c>
      <c r="U469" s="436">
        <v>0.85</v>
      </c>
      <c r="V469" s="437" t="s">
        <v>576</v>
      </c>
      <c r="W469" s="432">
        <v>1.3</v>
      </c>
      <c r="X469" s="432" t="s">
        <v>577</v>
      </c>
      <c r="Y469" s="432">
        <v>1</v>
      </c>
      <c r="Z469" s="432" t="s">
        <v>340</v>
      </c>
      <c r="AA469" s="433">
        <v>0.8</v>
      </c>
      <c r="AB469" s="1197" t="s">
        <v>567</v>
      </c>
      <c r="AC469" s="432">
        <v>1.06</v>
      </c>
      <c r="AD469" s="435" t="s">
        <v>568</v>
      </c>
      <c r="AE469" s="432">
        <v>1.03</v>
      </c>
      <c r="AF469" s="432" t="s">
        <v>636</v>
      </c>
      <c r="AG469" s="433">
        <v>1</v>
      </c>
      <c r="AH469" s="461"/>
      <c r="AI469" s="425"/>
      <c r="AJ469" s="425"/>
      <c r="AK469" s="425"/>
      <c r="AL469" s="425"/>
      <c r="AM469" s="425"/>
      <c r="AN469" s="425"/>
      <c r="AO469" s="425"/>
      <c r="AP469" s="430">
        <v>1063340</v>
      </c>
      <c r="AS469" s="425"/>
      <c r="AT469" s="425"/>
      <c r="AU469" s="425"/>
      <c r="AV469" s="425"/>
      <c r="AW469" s="425"/>
      <c r="AX469" s="425"/>
      <c r="AY469" s="426"/>
    </row>
    <row r="470" spans="2:51" ht="18" customHeight="1">
      <c r="B470" s="1946" t="str">
        <f>+$B$8</f>
        <v>事務所・店舗</v>
      </c>
      <c r="C470" s="430">
        <v>21283020</v>
      </c>
      <c r="D470" s="1262">
        <v>2000</v>
      </c>
      <c r="E470" s="432">
        <v>1.2</v>
      </c>
      <c r="F470" s="1202">
        <v>1000</v>
      </c>
      <c r="G470" s="432">
        <v>1</v>
      </c>
      <c r="H470" s="1202" t="s">
        <v>1051</v>
      </c>
      <c r="I470" s="433" t="s">
        <v>1051</v>
      </c>
      <c r="J470" s="1262">
        <v>13</v>
      </c>
      <c r="K470" s="432">
        <v>1.1100000000000001</v>
      </c>
      <c r="L470" s="1202">
        <v>8</v>
      </c>
      <c r="M470" s="432">
        <v>1</v>
      </c>
      <c r="N470" s="1202">
        <v>5</v>
      </c>
      <c r="O470" s="433">
        <v>0.93</v>
      </c>
      <c r="P470" s="1201">
        <v>210</v>
      </c>
      <c r="Q470" s="432">
        <v>1.1200000000000001</v>
      </c>
      <c r="R470" s="1202">
        <v>180</v>
      </c>
      <c r="S470" s="432">
        <v>1</v>
      </c>
      <c r="T470" s="1202">
        <v>120</v>
      </c>
      <c r="U470" s="436">
        <v>0.85</v>
      </c>
      <c r="V470" s="437" t="s">
        <v>576</v>
      </c>
      <c r="W470" s="432">
        <v>1.3</v>
      </c>
      <c r="X470" s="432" t="s">
        <v>577</v>
      </c>
      <c r="Y470" s="432">
        <v>1</v>
      </c>
      <c r="Z470" s="432" t="s">
        <v>340</v>
      </c>
      <c r="AA470" s="433">
        <v>0.8</v>
      </c>
      <c r="AB470" s="1197" t="s">
        <v>567</v>
      </c>
      <c r="AC470" s="432">
        <v>1.06</v>
      </c>
      <c r="AD470" s="435" t="s">
        <v>568</v>
      </c>
      <c r="AE470" s="432">
        <v>1.03</v>
      </c>
      <c r="AF470" s="432" t="s">
        <v>636</v>
      </c>
      <c r="AG470" s="433">
        <v>1</v>
      </c>
      <c r="AH470" s="461"/>
      <c r="AI470" s="425"/>
      <c r="AJ470" s="425"/>
      <c r="AK470" s="425"/>
      <c r="AL470" s="425"/>
      <c r="AM470" s="425"/>
      <c r="AN470" s="425"/>
      <c r="AO470" s="425"/>
      <c r="AP470" s="430">
        <v>1063340</v>
      </c>
      <c r="AS470" s="425"/>
      <c r="AT470" s="425"/>
      <c r="AU470" s="425"/>
      <c r="AV470" s="425"/>
      <c r="AW470" s="425"/>
      <c r="AX470" s="425"/>
      <c r="AY470" s="426"/>
    </row>
    <row r="471" spans="2:51" ht="18" customHeight="1">
      <c r="B471" s="1946" t="str">
        <f>+$B$9</f>
        <v>病院・ホテル</v>
      </c>
      <c r="C471" s="430">
        <v>21283020</v>
      </c>
      <c r="D471" s="1262">
        <v>2000</v>
      </c>
      <c r="E471" s="432">
        <v>1.2</v>
      </c>
      <c r="F471" s="1202">
        <v>1000</v>
      </c>
      <c r="G471" s="432">
        <v>1</v>
      </c>
      <c r="H471" s="1202" t="s">
        <v>1051</v>
      </c>
      <c r="I471" s="433" t="s">
        <v>1051</v>
      </c>
      <c r="J471" s="1262">
        <v>13</v>
      </c>
      <c r="K471" s="432">
        <v>1.1100000000000001</v>
      </c>
      <c r="L471" s="1202">
        <v>8</v>
      </c>
      <c r="M471" s="432">
        <v>1</v>
      </c>
      <c r="N471" s="1202">
        <v>5</v>
      </c>
      <c r="O471" s="433">
        <v>0.93</v>
      </c>
      <c r="P471" s="1201">
        <v>210</v>
      </c>
      <c r="Q471" s="432">
        <v>1.1200000000000001</v>
      </c>
      <c r="R471" s="1202">
        <v>180</v>
      </c>
      <c r="S471" s="432">
        <v>1</v>
      </c>
      <c r="T471" s="1202">
        <v>120</v>
      </c>
      <c r="U471" s="436">
        <v>0.85</v>
      </c>
      <c r="V471" s="437" t="s">
        <v>576</v>
      </c>
      <c r="W471" s="432">
        <v>1.3</v>
      </c>
      <c r="X471" s="432" t="s">
        <v>577</v>
      </c>
      <c r="Y471" s="432">
        <v>1</v>
      </c>
      <c r="Z471" s="432" t="s">
        <v>340</v>
      </c>
      <c r="AA471" s="433">
        <v>0.8</v>
      </c>
      <c r="AB471" s="1197" t="s">
        <v>567</v>
      </c>
      <c r="AC471" s="432">
        <v>1.06</v>
      </c>
      <c r="AD471" s="435" t="s">
        <v>568</v>
      </c>
      <c r="AE471" s="432">
        <v>1.03</v>
      </c>
      <c r="AF471" s="432" t="s">
        <v>636</v>
      </c>
      <c r="AG471" s="433">
        <v>1</v>
      </c>
      <c r="AH471" s="461"/>
      <c r="AI471" s="425"/>
      <c r="AJ471" s="425"/>
      <c r="AK471" s="425"/>
      <c r="AL471" s="425"/>
      <c r="AM471" s="425"/>
      <c r="AN471" s="425"/>
      <c r="AO471" s="425"/>
      <c r="AP471" s="430">
        <v>1063340</v>
      </c>
      <c r="AS471" s="425"/>
      <c r="AT471" s="425"/>
      <c r="AU471" s="425"/>
      <c r="AV471" s="425"/>
      <c r="AW471" s="425"/>
      <c r="AX471" s="425"/>
      <c r="AY471" s="426"/>
    </row>
    <row r="472" spans="2:51" ht="18" customHeight="1">
      <c r="B472" s="1947" t="str">
        <f>+$B$10</f>
        <v>工場・倉庫</v>
      </c>
      <c r="C472" s="430">
        <v>21283020</v>
      </c>
      <c r="D472" s="1344">
        <v>2000</v>
      </c>
      <c r="E472" s="442">
        <v>1.2</v>
      </c>
      <c r="F472" s="1259">
        <v>1000</v>
      </c>
      <c r="G472" s="442">
        <v>1</v>
      </c>
      <c r="H472" s="1259" t="s">
        <v>1051</v>
      </c>
      <c r="I472" s="443" t="s">
        <v>1051</v>
      </c>
      <c r="J472" s="1344">
        <v>13</v>
      </c>
      <c r="K472" s="442">
        <v>1.1100000000000001</v>
      </c>
      <c r="L472" s="1259">
        <v>8</v>
      </c>
      <c r="M472" s="442">
        <v>1</v>
      </c>
      <c r="N472" s="1259">
        <v>5</v>
      </c>
      <c r="O472" s="443">
        <v>0.93</v>
      </c>
      <c r="P472" s="1258">
        <v>210</v>
      </c>
      <c r="Q472" s="442">
        <v>1.1200000000000001</v>
      </c>
      <c r="R472" s="1259">
        <v>180</v>
      </c>
      <c r="S472" s="442">
        <v>1</v>
      </c>
      <c r="T472" s="1259">
        <v>120</v>
      </c>
      <c r="U472" s="444">
        <v>0.85</v>
      </c>
      <c r="V472" s="1283" t="s">
        <v>576</v>
      </c>
      <c r="W472" s="442">
        <v>1.3</v>
      </c>
      <c r="X472" s="442" t="s">
        <v>577</v>
      </c>
      <c r="Y472" s="442">
        <v>1</v>
      </c>
      <c r="Z472" s="442" t="s">
        <v>340</v>
      </c>
      <c r="AA472" s="443">
        <v>0.8</v>
      </c>
      <c r="AB472" s="1282" t="s">
        <v>567</v>
      </c>
      <c r="AC472" s="442">
        <v>1.06</v>
      </c>
      <c r="AD472" s="1257" t="s">
        <v>568</v>
      </c>
      <c r="AE472" s="442">
        <v>1.03</v>
      </c>
      <c r="AF472" s="442" t="s">
        <v>636</v>
      </c>
      <c r="AG472" s="443">
        <v>1</v>
      </c>
      <c r="AH472" s="461"/>
      <c r="AI472" s="425"/>
      <c r="AJ472" s="452"/>
      <c r="AK472" s="452"/>
      <c r="AL472" s="425"/>
      <c r="AM472" s="425"/>
      <c r="AN472" s="425"/>
      <c r="AO472" s="425"/>
      <c r="AP472" s="1060">
        <v>1063340</v>
      </c>
      <c r="AQ472" s="750"/>
      <c r="AR472" s="5"/>
      <c r="AS472" s="425"/>
      <c r="AT472" s="425"/>
      <c r="AU472" s="425"/>
      <c r="AV472" s="425"/>
      <c r="AW472" s="425"/>
      <c r="AX472" s="425"/>
      <c r="AY472" s="426"/>
    </row>
    <row r="473" spans="2:51" ht="18" customHeight="1">
      <c r="B473" s="1941" t="s">
        <v>311</v>
      </c>
      <c r="C473" s="1916" t="s">
        <v>965</v>
      </c>
      <c r="D473" s="1887" t="s">
        <v>966</v>
      </c>
      <c r="E473" s="1889"/>
      <c r="F473" s="1889"/>
      <c r="G473" s="1889"/>
      <c r="H473" s="1889"/>
      <c r="I473" s="1891"/>
      <c r="J473" s="1887" t="s">
        <v>967</v>
      </c>
      <c r="K473" s="1889"/>
      <c r="L473" s="1889"/>
      <c r="M473" s="1889"/>
      <c r="N473" s="1889"/>
      <c r="O473" s="1891"/>
      <c r="P473" s="1888" t="s">
        <v>968</v>
      </c>
      <c r="Q473" s="1889"/>
      <c r="R473" s="1889"/>
      <c r="S473" s="1889"/>
      <c r="T473" s="1889"/>
      <c r="U473" s="1890"/>
      <c r="V473" s="1887" t="s">
        <v>969</v>
      </c>
      <c r="W473" s="1889"/>
      <c r="X473" s="1889"/>
      <c r="Y473" s="1889"/>
      <c r="Z473" s="1889"/>
      <c r="AA473" s="1891"/>
      <c r="AB473" s="1887" t="s">
        <v>578</v>
      </c>
      <c r="AC473" s="1889"/>
      <c r="AD473" s="1889"/>
      <c r="AE473" s="1889"/>
      <c r="AF473" s="1889"/>
      <c r="AG473" s="1891"/>
      <c r="AH473" s="423"/>
      <c r="AI473" s="423"/>
      <c r="AJ473" s="423"/>
      <c r="AK473" s="423"/>
      <c r="AL473" s="423"/>
      <c r="AM473" s="423"/>
      <c r="AN473" s="423"/>
      <c r="AO473" s="423"/>
      <c r="AP473" s="1960" t="s">
        <v>234</v>
      </c>
      <c r="AQ473" s="885"/>
      <c r="AR473" s="543"/>
      <c r="AS473" s="423"/>
      <c r="AT473" s="423"/>
      <c r="AU473" s="423"/>
      <c r="AV473" s="423"/>
      <c r="AW473" s="423"/>
      <c r="AX473" s="423"/>
      <c r="AY473" s="424"/>
    </row>
    <row r="474" spans="2:51" ht="18" customHeight="1">
      <c r="B474" s="1942"/>
      <c r="C474" s="1907" t="s">
        <v>579</v>
      </c>
      <c r="D474" s="1898" t="s">
        <v>318</v>
      </c>
      <c r="E474" s="1900"/>
      <c r="F474" s="1900" t="s">
        <v>319</v>
      </c>
      <c r="G474" s="1900"/>
      <c r="H474" s="1900" t="s">
        <v>320</v>
      </c>
      <c r="I474" s="1902"/>
      <c r="J474" s="1898" t="s">
        <v>318</v>
      </c>
      <c r="K474" s="1900"/>
      <c r="L474" s="1900" t="s">
        <v>319</v>
      </c>
      <c r="M474" s="1900"/>
      <c r="N474" s="1900" t="s">
        <v>320</v>
      </c>
      <c r="O474" s="1902"/>
      <c r="P474" s="1899" t="s">
        <v>318</v>
      </c>
      <c r="Q474" s="1900"/>
      <c r="R474" s="1900" t="s">
        <v>319</v>
      </c>
      <c r="S474" s="1900"/>
      <c r="T474" s="1900" t="s">
        <v>320</v>
      </c>
      <c r="U474" s="1901"/>
      <c r="V474" s="1898" t="s">
        <v>318</v>
      </c>
      <c r="W474" s="1900"/>
      <c r="X474" s="1900" t="s">
        <v>319</v>
      </c>
      <c r="Y474" s="1900"/>
      <c r="Z474" s="1900" t="s">
        <v>320</v>
      </c>
      <c r="AA474" s="1902"/>
      <c r="AB474" s="1898" t="s">
        <v>318</v>
      </c>
      <c r="AC474" s="1900"/>
      <c r="AD474" s="1900" t="s">
        <v>318</v>
      </c>
      <c r="AE474" s="1900"/>
      <c r="AF474" s="1900" t="s">
        <v>319</v>
      </c>
      <c r="AG474" s="1902"/>
      <c r="AH474" s="582" t="s">
        <v>5628</v>
      </c>
      <c r="AI474" s="425"/>
      <c r="AJ474" s="425"/>
      <c r="AK474" s="582"/>
      <c r="AL474" s="425"/>
      <c r="AM474" s="425"/>
      <c r="AN474" s="425"/>
      <c r="AO474" s="425"/>
      <c r="AP474" s="1961" t="s">
        <v>1207</v>
      </c>
      <c r="AQ474" s="582"/>
      <c r="AR474" s="582"/>
      <c r="AS474" s="425"/>
      <c r="AT474" s="425"/>
      <c r="AU474" s="425"/>
      <c r="AV474" s="425"/>
      <c r="AW474" s="425"/>
      <c r="AX474" s="425"/>
      <c r="AY474" s="426"/>
    </row>
    <row r="475" spans="2:51" ht="18" customHeight="1">
      <c r="B475" s="1945" t="str">
        <f>+$B$6</f>
        <v>戸建形式住宅</v>
      </c>
      <c r="C475" s="588" t="s">
        <v>23</v>
      </c>
      <c r="D475" s="431" t="s">
        <v>857</v>
      </c>
      <c r="E475" s="432" t="s">
        <v>857</v>
      </c>
      <c r="F475" s="432" t="s">
        <v>857</v>
      </c>
      <c r="G475" s="432" t="s">
        <v>857</v>
      </c>
      <c r="H475" s="432" t="s">
        <v>857</v>
      </c>
      <c r="I475" s="433" t="s">
        <v>857</v>
      </c>
      <c r="J475" s="431" t="s">
        <v>857</v>
      </c>
      <c r="K475" s="432" t="s">
        <v>857</v>
      </c>
      <c r="L475" s="432" t="s">
        <v>857</v>
      </c>
      <c r="M475" s="432" t="s">
        <v>857</v>
      </c>
      <c r="N475" s="432" t="s">
        <v>857</v>
      </c>
      <c r="O475" s="433" t="s">
        <v>857</v>
      </c>
      <c r="P475" s="431" t="s">
        <v>857</v>
      </c>
      <c r="Q475" s="432" t="s">
        <v>857</v>
      </c>
      <c r="R475" s="432" t="s">
        <v>857</v>
      </c>
      <c r="S475" s="432" t="s">
        <v>857</v>
      </c>
      <c r="T475" s="432" t="s">
        <v>857</v>
      </c>
      <c r="U475" s="433" t="s">
        <v>857</v>
      </c>
      <c r="V475" s="431" t="s">
        <v>857</v>
      </c>
      <c r="W475" s="432" t="s">
        <v>857</v>
      </c>
      <c r="X475" s="432" t="s">
        <v>857</v>
      </c>
      <c r="Y475" s="432" t="s">
        <v>857</v>
      </c>
      <c r="Z475" s="432" t="s">
        <v>857</v>
      </c>
      <c r="AA475" s="433" t="s">
        <v>857</v>
      </c>
      <c r="AB475" s="431" t="s">
        <v>857</v>
      </c>
      <c r="AC475" s="432" t="s">
        <v>857</v>
      </c>
      <c r="AD475" s="432" t="s">
        <v>857</v>
      </c>
      <c r="AE475" s="432" t="s">
        <v>857</v>
      </c>
      <c r="AF475" s="432" t="s">
        <v>857</v>
      </c>
      <c r="AG475" s="433" t="s">
        <v>857</v>
      </c>
      <c r="AH475" s="425"/>
      <c r="AI475" s="425"/>
      <c r="AJ475" s="425"/>
      <c r="AK475" s="425"/>
      <c r="AL475" s="425"/>
      <c r="AM475" s="425"/>
      <c r="AN475" s="425"/>
      <c r="AO475" s="425"/>
      <c r="AP475" s="1070" t="s">
        <v>23</v>
      </c>
      <c r="AQ475" s="679"/>
      <c r="AR475" s="679"/>
      <c r="AS475" s="425"/>
      <c r="AT475" s="425"/>
      <c r="AU475" s="425"/>
      <c r="AV475" s="425"/>
      <c r="AW475" s="425"/>
      <c r="AX475" s="425"/>
      <c r="AY475" s="426"/>
    </row>
    <row r="476" spans="2:51" ht="18" customHeight="1">
      <c r="B476" s="1946" t="str">
        <f>+$B$7</f>
        <v>集合形式住宅</v>
      </c>
      <c r="C476" s="430">
        <v>29796230</v>
      </c>
      <c r="D476" s="1262">
        <v>2000</v>
      </c>
      <c r="E476" s="432">
        <v>1.2</v>
      </c>
      <c r="F476" s="1202">
        <v>1000</v>
      </c>
      <c r="G476" s="432">
        <v>1</v>
      </c>
      <c r="H476" s="1202" t="s">
        <v>1051</v>
      </c>
      <c r="I476" s="433" t="s">
        <v>1051</v>
      </c>
      <c r="J476" s="1262">
        <v>20</v>
      </c>
      <c r="K476" s="432">
        <v>1.1000000000000001</v>
      </c>
      <c r="L476" s="1202">
        <v>15</v>
      </c>
      <c r="M476" s="432">
        <v>1</v>
      </c>
      <c r="N476" s="1202" t="s">
        <v>1051</v>
      </c>
      <c r="O476" s="433" t="s">
        <v>1051</v>
      </c>
      <c r="P476" s="1262">
        <v>300</v>
      </c>
      <c r="Q476" s="432">
        <v>1.0900000000000001</v>
      </c>
      <c r="R476" s="1202">
        <v>240</v>
      </c>
      <c r="S476" s="432">
        <v>1</v>
      </c>
      <c r="T476" s="1202" t="s">
        <v>1051</v>
      </c>
      <c r="U476" s="433" t="s">
        <v>1051</v>
      </c>
      <c r="V476" s="437" t="s">
        <v>576</v>
      </c>
      <c r="W476" s="432">
        <v>1.3</v>
      </c>
      <c r="X476" s="432" t="s">
        <v>577</v>
      </c>
      <c r="Y476" s="432">
        <v>1</v>
      </c>
      <c r="Z476" s="432" t="s">
        <v>340</v>
      </c>
      <c r="AA476" s="433">
        <v>0.8</v>
      </c>
      <c r="AB476" s="434" t="s">
        <v>567</v>
      </c>
      <c r="AC476" s="432">
        <v>1.06</v>
      </c>
      <c r="AD476" s="435" t="s">
        <v>568</v>
      </c>
      <c r="AE476" s="432">
        <v>1.03</v>
      </c>
      <c r="AF476" s="432" t="s">
        <v>636</v>
      </c>
      <c r="AG476" s="433">
        <v>1</v>
      </c>
      <c r="AH476" s="425"/>
      <c r="AI476" s="425"/>
      <c r="AJ476" s="425"/>
      <c r="AK476" s="425"/>
      <c r="AL476" s="425"/>
      <c r="AM476" s="425"/>
      <c r="AN476" s="425"/>
      <c r="AO476" s="425"/>
      <c r="AP476" s="1345">
        <v>1063340</v>
      </c>
      <c r="AQ476" s="679"/>
      <c r="AR476" s="679"/>
      <c r="AS476" s="425"/>
      <c r="AT476" s="425"/>
      <c r="AU476" s="425"/>
      <c r="AV476" s="425"/>
      <c r="AW476" s="425"/>
      <c r="AX476" s="425"/>
      <c r="AY476" s="426"/>
    </row>
    <row r="477" spans="2:51" ht="18" customHeight="1">
      <c r="B477" s="1946" t="str">
        <f>+$B$8</f>
        <v>事務所・店舗</v>
      </c>
      <c r="C477" s="430">
        <v>29796230</v>
      </c>
      <c r="D477" s="1262">
        <v>2000</v>
      </c>
      <c r="E477" s="432">
        <v>1.2</v>
      </c>
      <c r="F477" s="1202">
        <v>1000</v>
      </c>
      <c r="G477" s="432">
        <v>1</v>
      </c>
      <c r="H477" s="1202" t="s">
        <v>1051</v>
      </c>
      <c r="I477" s="433" t="s">
        <v>1051</v>
      </c>
      <c r="J477" s="1262">
        <v>20</v>
      </c>
      <c r="K477" s="432">
        <v>1.1000000000000001</v>
      </c>
      <c r="L477" s="1202">
        <v>15</v>
      </c>
      <c r="M477" s="432">
        <v>1</v>
      </c>
      <c r="N477" s="1202" t="s">
        <v>1051</v>
      </c>
      <c r="O477" s="433" t="s">
        <v>1051</v>
      </c>
      <c r="P477" s="1262">
        <v>300</v>
      </c>
      <c r="Q477" s="432">
        <v>1.0900000000000001</v>
      </c>
      <c r="R477" s="1202">
        <v>240</v>
      </c>
      <c r="S477" s="432">
        <v>1</v>
      </c>
      <c r="T477" s="1202" t="s">
        <v>1051</v>
      </c>
      <c r="U477" s="433" t="s">
        <v>1051</v>
      </c>
      <c r="V477" s="437" t="s">
        <v>576</v>
      </c>
      <c r="W477" s="432">
        <v>1.3</v>
      </c>
      <c r="X477" s="432" t="s">
        <v>577</v>
      </c>
      <c r="Y477" s="432">
        <v>1</v>
      </c>
      <c r="Z477" s="432" t="s">
        <v>340</v>
      </c>
      <c r="AA477" s="433">
        <v>0.8</v>
      </c>
      <c r="AB477" s="434" t="s">
        <v>567</v>
      </c>
      <c r="AC477" s="432">
        <v>1.06</v>
      </c>
      <c r="AD477" s="435" t="s">
        <v>568</v>
      </c>
      <c r="AE477" s="432">
        <v>1.03</v>
      </c>
      <c r="AF477" s="432" t="s">
        <v>636</v>
      </c>
      <c r="AG477" s="433">
        <v>1</v>
      </c>
      <c r="AH477" s="425"/>
      <c r="AI477" s="425"/>
      <c r="AJ477" s="425"/>
      <c r="AK477" s="425"/>
      <c r="AL477" s="425"/>
      <c r="AM477" s="425"/>
      <c r="AN477" s="425"/>
      <c r="AO477" s="425"/>
      <c r="AP477" s="1345">
        <v>1063340</v>
      </c>
      <c r="AQ477" s="679"/>
      <c r="AR477" s="679"/>
      <c r="AS477" s="425"/>
      <c r="AT477" s="425"/>
      <c r="AU477" s="425"/>
      <c r="AV477" s="425"/>
      <c r="AW477" s="425"/>
      <c r="AX477" s="425"/>
      <c r="AY477" s="426"/>
    </row>
    <row r="478" spans="2:51" ht="18" customHeight="1">
      <c r="B478" s="1946" t="str">
        <f>+$B$9</f>
        <v>病院・ホテル</v>
      </c>
      <c r="C478" s="430">
        <v>29796230</v>
      </c>
      <c r="D478" s="1262">
        <v>2000</v>
      </c>
      <c r="E478" s="432">
        <v>1.2</v>
      </c>
      <c r="F478" s="1202">
        <v>1000</v>
      </c>
      <c r="G478" s="432">
        <v>1</v>
      </c>
      <c r="H478" s="1202" t="s">
        <v>1051</v>
      </c>
      <c r="I478" s="433" t="s">
        <v>1051</v>
      </c>
      <c r="J478" s="1262">
        <v>20</v>
      </c>
      <c r="K478" s="432">
        <v>1.1000000000000001</v>
      </c>
      <c r="L478" s="1202">
        <v>15</v>
      </c>
      <c r="M478" s="432">
        <v>1</v>
      </c>
      <c r="N478" s="1202" t="s">
        <v>1051</v>
      </c>
      <c r="O478" s="433" t="s">
        <v>1051</v>
      </c>
      <c r="P478" s="1262">
        <v>300</v>
      </c>
      <c r="Q478" s="432">
        <v>1.0900000000000001</v>
      </c>
      <c r="R478" s="1202">
        <v>240</v>
      </c>
      <c r="S478" s="432">
        <v>1</v>
      </c>
      <c r="T478" s="1202" t="s">
        <v>1051</v>
      </c>
      <c r="U478" s="433" t="s">
        <v>1051</v>
      </c>
      <c r="V478" s="437" t="s">
        <v>576</v>
      </c>
      <c r="W478" s="432">
        <v>1.3</v>
      </c>
      <c r="X478" s="432" t="s">
        <v>577</v>
      </c>
      <c r="Y478" s="432">
        <v>1</v>
      </c>
      <c r="Z478" s="432" t="s">
        <v>340</v>
      </c>
      <c r="AA478" s="433">
        <v>0.8</v>
      </c>
      <c r="AB478" s="434" t="s">
        <v>567</v>
      </c>
      <c r="AC478" s="432">
        <v>1.06</v>
      </c>
      <c r="AD478" s="435" t="s">
        <v>568</v>
      </c>
      <c r="AE478" s="432">
        <v>1.03</v>
      </c>
      <c r="AF478" s="432" t="s">
        <v>636</v>
      </c>
      <c r="AG478" s="433">
        <v>1</v>
      </c>
      <c r="AH478" s="425"/>
      <c r="AI478" s="425"/>
      <c r="AJ478" s="425"/>
      <c r="AK478" s="425"/>
      <c r="AL478" s="425"/>
      <c r="AM478" s="425"/>
      <c r="AN478" s="425"/>
      <c r="AO478" s="425"/>
      <c r="AP478" s="1345">
        <v>1063340</v>
      </c>
      <c r="AQ478" s="679"/>
      <c r="AR478" s="679"/>
      <c r="AS478" s="425"/>
      <c r="AT478" s="425"/>
      <c r="AU478" s="425"/>
      <c r="AV478" s="425"/>
      <c r="AW478" s="425"/>
      <c r="AX478" s="425"/>
      <c r="AY478" s="426"/>
    </row>
    <row r="479" spans="2:51" ht="18" customHeight="1">
      <c r="B479" s="1947" t="str">
        <f>+$B$10</f>
        <v>工場・倉庫</v>
      </c>
      <c r="C479" s="1308">
        <f>C477</f>
        <v>29796230</v>
      </c>
      <c r="D479" s="1338">
        <f>D477</f>
        <v>2000</v>
      </c>
      <c r="E479" s="1215">
        <f>E477</f>
        <v>1.2</v>
      </c>
      <c r="F479" s="1339">
        <f t="shared" ref="F479:AG479" si="65">F477</f>
        <v>1000</v>
      </c>
      <c r="G479" s="1215">
        <f t="shared" si="65"/>
        <v>1</v>
      </c>
      <c r="H479" s="1339" t="str">
        <f t="shared" si="65"/>
        <v>-</v>
      </c>
      <c r="I479" s="1215" t="str">
        <f t="shared" si="65"/>
        <v>-</v>
      </c>
      <c r="J479" s="1338">
        <f t="shared" si="65"/>
        <v>20</v>
      </c>
      <c r="K479" s="1215">
        <f t="shared" si="65"/>
        <v>1.1000000000000001</v>
      </c>
      <c r="L479" s="1339">
        <f t="shared" si="65"/>
        <v>15</v>
      </c>
      <c r="M479" s="1215">
        <f t="shared" si="65"/>
        <v>1</v>
      </c>
      <c r="N479" s="1339" t="str">
        <f t="shared" si="65"/>
        <v>-</v>
      </c>
      <c r="O479" s="1315" t="str">
        <f t="shared" si="65"/>
        <v>-</v>
      </c>
      <c r="P479" s="1338">
        <f t="shared" si="65"/>
        <v>300</v>
      </c>
      <c r="Q479" s="1215">
        <f t="shared" si="65"/>
        <v>1.0900000000000001</v>
      </c>
      <c r="R479" s="1339">
        <f t="shared" si="65"/>
        <v>240</v>
      </c>
      <c r="S479" s="1215">
        <f t="shared" si="65"/>
        <v>1</v>
      </c>
      <c r="T479" s="1339" t="str">
        <f t="shared" si="65"/>
        <v>-</v>
      </c>
      <c r="U479" s="1315" t="str">
        <f t="shared" si="65"/>
        <v>-</v>
      </c>
      <c r="V479" s="1338" t="str">
        <f t="shared" si="65"/>
        <v>上等(ｽﾃﾝﾚｽ)</v>
      </c>
      <c r="W479" s="1215">
        <f t="shared" si="65"/>
        <v>1.3</v>
      </c>
      <c r="X479" s="1339" t="str">
        <f t="shared" si="65"/>
        <v>普通（鋼板）</v>
      </c>
      <c r="Y479" s="1215">
        <f t="shared" si="65"/>
        <v>1</v>
      </c>
      <c r="Z479" s="1339" t="str">
        <f t="shared" si="65"/>
        <v>以下</v>
      </c>
      <c r="AA479" s="1315">
        <f t="shared" si="65"/>
        <v>0.8</v>
      </c>
      <c r="AB479" s="1338" t="str">
        <f t="shared" si="65"/>
        <v>３台以上</v>
      </c>
      <c r="AC479" s="1215">
        <f t="shared" si="65"/>
        <v>1.06</v>
      </c>
      <c r="AD479" s="1339" t="str">
        <f t="shared" si="65"/>
        <v>２台</v>
      </c>
      <c r="AE479" s="1215">
        <f t="shared" si="65"/>
        <v>1.03</v>
      </c>
      <c r="AF479" s="1339" t="str">
        <f t="shared" si="65"/>
        <v>なし</v>
      </c>
      <c r="AG479" s="1315">
        <f t="shared" si="65"/>
        <v>1</v>
      </c>
      <c r="AH479" s="425"/>
      <c r="AI479" s="425"/>
      <c r="AJ479" s="425"/>
      <c r="AK479" s="425"/>
      <c r="AL479" s="425"/>
      <c r="AM479" s="425"/>
      <c r="AN479" s="425"/>
      <c r="AO479" s="425"/>
      <c r="AP479" s="1211">
        <f>AP477</f>
        <v>1063340</v>
      </c>
      <c r="AQ479" s="886"/>
      <c r="AR479" s="680"/>
      <c r="AS479" s="425"/>
      <c r="AT479" s="425"/>
      <c r="AU479" s="425"/>
      <c r="AV479" s="425"/>
      <c r="AW479" s="425"/>
      <c r="AX479" s="425"/>
      <c r="AY479" s="426"/>
    </row>
    <row r="480" spans="2:51" ht="18" customHeight="1">
      <c r="B480" s="1941" t="s">
        <v>311</v>
      </c>
      <c r="C480" s="1916" t="s">
        <v>580</v>
      </c>
      <c r="D480" s="1888" t="s">
        <v>581</v>
      </c>
      <c r="E480" s="1889"/>
      <c r="F480" s="1889"/>
      <c r="G480" s="1889"/>
      <c r="H480" s="1889"/>
      <c r="I480" s="1890"/>
      <c r="J480" s="1887" t="s">
        <v>582</v>
      </c>
      <c r="K480" s="1889"/>
      <c r="L480" s="1889"/>
      <c r="M480" s="1889"/>
      <c r="N480" s="1889"/>
      <c r="O480" s="1891"/>
      <c r="P480" s="1888" t="s">
        <v>583</v>
      </c>
      <c r="Q480" s="1889"/>
      <c r="R480" s="1889"/>
      <c r="S480" s="1889"/>
      <c r="T480" s="1889"/>
      <c r="U480" s="1891"/>
      <c r="V480" s="460"/>
      <c r="W480" s="423"/>
      <c r="X480" s="423"/>
      <c r="Y480" s="423"/>
      <c r="Z480" s="423"/>
      <c r="AA480" s="423"/>
      <c r="AB480" s="423"/>
      <c r="AC480" s="423"/>
      <c r="AD480" s="423"/>
      <c r="AE480" s="423"/>
      <c r="AF480" s="423"/>
      <c r="AG480" s="423"/>
      <c r="AH480" s="423"/>
      <c r="AI480" s="423"/>
      <c r="AJ480" s="423"/>
      <c r="AK480" s="423"/>
      <c r="AL480" s="423"/>
      <c r="AM480" s="423"/>
      <c r="AN480" s="423"/>
      <c r="AO480" s="423"/>
      <c r="AP480" s="423"/>
      <c r="AQ480" s="423"/>
      <c r="AR480" s="423"/>
      <c r="AS480" s="423"/>
      <c r="AT480" s="423"/>
      <c r="AU480" s="423"/>
      <c r="AV480" s="423"/>
      <c r="AW480" s="423"/>
      <c r="AX480" s="423"/>
      <c r="AY480" s="424"/>
    </row>
    <row r="481" spans="2:51" ht="18" customHeight="1">
      <c r="B481" s="1942"/>
      <c r="C481" s="1907" t="s">
        <v>584</v>
      </c>
      <c r="D481" s="1899" t="s">
        <v>318</v>
      </c>
      <c r="E481" s="1900"/>
      <c r="F481" s="1900" t="s">
        <v>319</v>
      </c>
      <c r="G481" s="1900"/>
      <c r="H481" s="1900" t="s">
        <v>320</v>
      </c>
      <c r="I481" s="1901"/>
      <c r="J481" s="1898" t="s">
        <v>318</v>
      </c>
      <c r="K481" s="1900"/>
      <c r="L481" s="1900" t="s">
        <v>319</v>
      </c>
      <c r="M481" s="1900"/>
      <c r="N481" s="1900" t="s">
        <v>320</v>
      </c>
      <c r="O481" s="1902"/>
      <c r="P481" s="1899" t="s">
        <v>318</v>
      </c>
      <c r="Q481" s="1900"/>
      <c r="R481" s="1900" t="s">
        <v>319</v>
      </c>
      <c r="S481" s="1900"/>
      <c r="T481" s="1900" t="s">
        <v>320</v>
      </c>
      <c r="U481" s="1902"/>
      <c r="V481" s="612" t="s">
        <v>5622</v>
      </c>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5"/>
      <c r="AY481" s="426"/>
    </row>
    <row r="482" spans="2:51" ht="18" customHeight="1">
      <c r="B482" s="1945" t="str">
        <f>+$B$6</f>
        <v>戸建形式住宅</v>
      </c>
      <c r="C482" s="432" t="s">
        <v>857</v>
      </c>
      <c r="D482" s="432" t="s">
        <v>857</v>
      </c>
      <c r="E482" s="432" t="s">
        <v>857</v>
      </c>
      <c r="F482" s="432" t="s">
        <v>857</v>
      </c>
      <c r="G482" s="432" t="s">
        <v>857</v>
      </c>
      <c r="H482" s="432" t="s">
        <v>857</v>
      </c>
      <c r="I482" s="432" t="s">
        <v>857</v>
      </c>
      <c r="J482" s="432" t="s">
        <v>857</v>
      </c>
      <c r="K482" s="432" t="s">
        <v>857</v>
      </c>
      <c r="L482" s="432" t="s">
        <v>857</v>
      </c>
      <c r="M482" s="432" t="s">
        <v>857</v>
      </c>
      <c r="N482" s="432" t="s">
        <v>857</v>
      </c>
      <c r="O482" s="432" t="s">
        <v>857</v>
      </c>
      <c r="P482" s="432" t="s">
        <v>857</v>
      </c>
      <c r="Q482" s="432" t="s">
        <v>857</v>
      </c>
      <c r="R482" s="432" t="s">
        <v>857</v>
      </c>
      <c r="S482" s="432" t="s">
        <v>857</v>
      </c>
      <c r="T482" s="432" t="s">
        <v>857</v>
      </c>
      <c r="U482" s="432" t="s">
        <v>857</v>
      </c>
      <c r="V482" s="461"/>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25"/>
      <c r="AY482" s="426"/>
    </row>
    <row r="483" spans="2:51" ht="18" customHeight="1">
      <c r="B483" s="1946" t="str">
        <f>+$B$7</f>
        <v>集合形式住宅</v>
      </c>
      <c r="C483" s="430">
        <v>1818000</v>
      </c>
      <c r="D483" s="1262">
        <v>200</v>
      </c>
      <c r="E483" s="432">
        <v>1.1000000000000001</v>
      </c>
      <c r="F483" s="1202">
        <v>150</v>
      </c>
      <c r="G483" s="432">
        <v>1</v>
      </c>
      <c r="H483" s="432" t="s">
        <v>1051</v>
      </c>
      <c r="I483" s="433" t="s">
        <v>1051</v>
      </c>
      <c r="J483" s="1262">
        <v>3</v>
      </c>
      <c r="K483" s="432">
        <v>1.1000000000000001</v>
      </c>
      <c r="L483" s="1202">
        <v>2</v>
      </c>
      <c r="M483" s="432">
        <v>1</v>
      </c>
      <c r="N483" s="432" t="s">
        <v>1051</v>
      </c>
      <c r="O483" s="433" t="s">
        <v>1051</v>
      </c>
      <c r="P483" s="437" t="s">
        <v>329</v>
      </c>
      <c r="Q483" s="432">
        <v>1.2</v>
      </c>
      <c r="R483" s="432" t="s">
        <v>324</v>
      </c>
      <c r="S483" s="432">
        <v>1</v>
      </c>
      <c r="T483" s="432" t="s">
        <v>330</v>
      </c>
      <c r="U483" s="433">
        <v>0.7</v>
      </c>
      <c r="V483" s="461"/>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25"/>
      <c r="AY483" s="426"/>
    </row>
    <row r="484" spans="2:51" ht="18" customHeight="1">
      <c r="B484" s="1946" t="str">
        <f>+$B$8</f>
        <v>事務所・店舗</v>
      </c>
      <c r="C484" s="1205">
        <f t="shared" ref="C484:U484" si="66">C483</f>
        <v>1818000</v>
      </c>
      <c r="D484" s="1353">
        <f t="shared" si="66"/>
        <v>200</v>
      </c>
      <c r="E484" s="1207">
        <f t="shared" si="66"/>
        <v>1.1000000000000001</v>
      </c>
      <c r="F484" s="1355">
        <f t="shared" si="66"/>
        <v>150</v>
      </c>
      <c r="G484" s="1207">
        <f t="shared" si="66"/>
        <v>1</v>
      </c>
      <c r="H484" s="1355" t="str">
        <f t="shared" si="66"/>
        <v>-</v>
      </c>
      <c r="I484" s="1210" t="str">
        <f t="shared" si="66"/>
        <v>-</v>
      </c>
      <c r="J484" s="1353">
        <f t="shared" si="66"/>
        <v>3</v>
      </c>
      <c r="K484" s="1207">
        <f t="shared" si="66"/>
        <v>1.1000000000000001</v>
      </c>
      <c r="L484" s="1355">
        <f t="shared" si="66"/>
        <v>2</v>
      </c>
      <c r="M484" s="1207">
        <f t="shared" si="66"/>
        <v>1</v>
      </c>
      <c r="N484" s="1355" t="str">
        <f t="shared" si="66"/>
        <v>-</v>
      </c>
      <c r="O484" s="1210" t="str">
        <f t="shared" si="66"/>
        <v>-</v>
      </c>
      <c r="P484" s="1353" t="str">
        <f t="shared" si="66"/>
        <v>上等</v>
      </c>
      <c r="Q484" s="1207">
        <f t="shared" si="66"/>
        <v>1.2</v>
      </c>
      <c r="R484" s="1355" t="str">
        <f t="shared" si="66"/>
        <v>普通</v>
      </c>
      <c r="S484" s="1207">
        <f t="shared" si="66"/>
        <v>1</v>
      </c>
      <c r="T484" s="1355" t="str">
        <f t="shared" si="66"/>
        <v>以下</v>
      </c>
      <c r="U484" s="1210">
        <f t="shared" si="66"/>
        <v>0.7</v>
      </c>
      <c r="V484" s="461"/>
      <c r="W484" s="425"/>
      <c r="X484" s="425"/>
      <c r="Y484" s="425"/>
      <c r="Z484" s="425"/>
      <c r="AA484" s="425"/>
      <c r="AB484" s="425"/>
      <c r="AC484" s="425"/>
      <c r="AD484" s="425"/>
      <c r="AE484" s="425"/>
      <c r="AF484" s="425"/>
      <c r="AG484" s="425"/>
      <c r="AH484" s="425"/>
      <c r="AI484" s="425"/>
      <c r="AJ484" s="425"/>
      <c r="AK484" s="425"/>
      <c r="AL484" s="425"/>
      <c r="AM484" s="425"/>
      <c r="AN484" s="425"/>
      <c r="AO484" s="425"/>
      <c r="AP484" s="425"/>
      <c r="AQ484" s="425"/>
      <c r="AR484" s="425"/>
      <c r="AS484" s="425"/>
      <c r="AT484" s="425"/>
      <c r="AU484" s="425"/>
      <c r="AV484" s="425"/>
      <c r="AW484" s="425"/>
      <c r="AX484" s="425"/>
      <c r="AY484" s="426"/>
    </row>
    <row r="485" spans="2:51" ht="18" customHeight="1">
      <c r="B485" s="1946" t="str">
        <f>+$B$9</f>
        <v>病院・ホテル</v>
      </c>
      <c r="C485" s="1205">
        <f t="shared" ref="C485:U485" si="67">C483</f>
        <v>1818000</v>
      </c>
      <c r="D485" s="1353">
        <f t="shared" si="67"/>
        <v>200</v>
      </c>
      <c r="E485" s="1207">
        <f t="shared" si="67"/>
        <v>1.1000000000000001</v>
      </c>
      <c r="F485" s="1355">
        <f t="shared" si="67"/>
        <v>150</v>
      </c>
      <c r="G485" s="1207">
        <f t="shared" si="67"/>
        <v>1</v>
      </c>
      <c r="H485" s="1355" t="str">
        <f t="shared" si="67"/>
        <v>-</v>
      </c>
      <c r="I485" s="1210" t="str">
        <f t="shared" si="67"/>
        <v>-</v>
      </c>
      <c r="J485" s="1353">
        <f t="shared" si="67"/>
        <v>3</v>
      </c>
      <c r="K485" s="1207">
        <f t="shared" si="67"/>
        <v>1.1000000000000001</v>
      </c>
      <c r="L485" s="1355">
        <f t="shared" si="67"/>
        <v>2</v>
      </c>
      <c r="M485" s="1207">
        <f t="shared" si="67"/>
        <v>1</v>
      </c>
      <c r="N485" s="1355" t="str">
        <f t="shared" si="67"/>
        <v>-</v>
      </c>
      <c r="O485" s="1210" t="str">
        <f t="shared" si="67"/>
        <v>-</v>
      </c>
      <c r="P485" s="1353" t="str">
        <f t="shared" si="67"/>
        <v>上等</v>
      </c>
      <c r="Q485" s="1207">
        <f t="shared" si="67"/>
        <v>1.2</v>
      </c>
      <c r="R485" s="1355" t="str">
        <f t="shared" si="67"/>
        <v>普通</v>
      </c>
      <c r="S485" s="1207">
        <f t="shared" si="67"/>
        <v>1</v>
      </c>
      <c r="T485" s="1355" t="str">
        <f t="shared" si="67"/>
        <v>以下</v>
      </c>
      <c r="U485" s="1210">
        <f t="shared" si="67"/>
        <v>0.7</v>
      </c>
      <c r="V485" s="461"/>
      <c r="W485" s="425"/>
      <c r="X485" s="425"/>
      <c r="Y485" s="425"/>
      <c r="Z485" s="425"/>
      <c r="AA485" s="425"/>
      <c r="AB485" s="425"/>
      <c r="AC485" s="425"/>
      <c r="AD485" s="425"/>
      <c r="AE485" s="425"/>
      <c r="AF485" s="425"/>
      <c r="AG485" s="425"/>
      <c r="AH485" s="425"/>
      <c r="AI485" s="425"/>
      <c r="AJ485" s="425"/>
      <c r="AK485" s="425"/>
      <c r="AL485" s="425"/>
      <c r="AM485" s="425"/>
      <c r="AN485" s="425"/>
      <c r="AO485" s="425"/>
      <c r="AP485" s="425"/>
      <c r="AQ485" s="425"/>
      <c r="AR485" s="425"/>
      <c r="AS485" s="425"/>
      <c r="AT485" s="425"/>
      <c r="AU485" s="425"/>
      <c r="AV485" s="425"/>
      <c r="AW485" s="425"/>
      <c r="AX485" s="425"/>
      <c r="AY485" s="426"/>
    </row>
    <row r="486" spans="2:51" ht="18" customHeight="1">
      <c r="B486" s="1947" t="str">
        <f>+$B$10</f>
        <v>工場・倉庫</v>
      </c>
      <c r="C486" s="1308">
        <f t="shared" ref="C486:U486" si="68">C483</f>
        <v>1818000</v>
      </c>
      <c r="D486" s="1338">
        <f t="shared" si="68"/>
        <v>200</v>
      </c>
      <c r="E486" s="1215">
        <f t="shared" si="68"/>
        <v>1.1000000000000001</v>
      </c>
      <c r="F486" s="1381">
        <f t="shared" si="68"/>
        <v>150</v>
      </c>
      <c r="G486" s="1215">
        <f t="shared" si="68"/>
        <v>1</v>
      </c>
      <c r="H486" s="1381" t="str">
        <f t="shared" si="68"/>
        <v>-</v>
      </c>
      <c r="I486" s="1315" t="str">
        <f t="shared" si="68"/>
        <v>-</v>
      </c>
      <c r="J486" s="1338">
        <f t="shared" si="68"/>
        <v>3</v>
      </c>
      <c r="K486" s="1215">
        <f t="shared" si="68"/>
        <v>1.1000000000000001</v>
      </c>
      <c r="L486" s="1381">
        <f t="shared" si="68"/>
        <v>2</v>
      </c>
      <c r="M486" s="1215">
        <f t="shared" si="68"/>
        <v>1</v>
      </c>
      <c r="N486" s="1381" t="str">
        <f t="shared" si="68"/>
        <v>-</v>
      </c>
      <c r="O486" s="1315" t="str">
        <f t="shared" si="68"/>
        <v>-</v>
      </c>
      <c r="P486" s="1338" t="str">
        <f t="shared" si="68"/>
        <v>上等</v>
      </c>
      <c r="Q486" s="1215">
        <f t="shared" si="68"/>
        <v>1.2</v>
      </c>
      <c r="R486" s="1381" t="str">
        <f t="shared" si="68"/>
        <v>普通</v>
      </c>
      <c r="S486" s="1215">
        <f t="shared" si="68"/>
        <v>1</v>
      </c>
      <c r="T486" s="1381" t="str">
        <f t="shared" si="68"/>
        <v>以下</v>
      </c>
      <c r="U486" s="1315">
        <f t="shared" si="68"/>
        <v>0.7</v>
      </c>
      <c r="V486" s="461"/>
      <c r="W486" s="425"/>
      <c r="X486" s="425"/>
      <c r="Y486" s="425"/>
      <c r="Z486" s="425"/>
      <c r="AA486" s="425"/>
      <c r="AB486" s="425"/>
      <c r="AC486" s="425"/>
      <c r="AD486" s="425"/>
      <c r="AE486" s="425"/>
      <c r="AF486" s="425"/>
      <c r="AG486" s="425"/>
      <c r="AH486" s="425"/>
      <c r="AI486" s="425"/>
      <c r="AJ486" s="425"/>
      <c r="AK486" s="425"/>
      <c r="AL486" s="425"/>
      <c r="AM486" s="425"/>
      <c r="AN486" s="425"/>
      <c r="AO486" s="425"/>
      <c r="AP486" s="425"/>
      <c r="AQ486" s="425"/>
      <c r="AR486" s="425"/>
      <c r="AS486" s="425"/>
      <c r="AT486" s="425"/>
      <c r="AU486" s="425"/>
      <c r="AV486" s="425"/>
      <c r="AW486" s="425"/>
      <c r="AX486" s="425"/>
      <c r="AY486" s="426"/>
    </row>
    <row r="487" spans="2:51" ht="18" customHeight="1">
      <c r="B487" s="1941" t="s">
        <v>311</v>
      </c>
      <c r="C487" s="1916" t="s">
        <v>585</v>
      </c>
      <c r="D487" s="1888" t="s">
        <v>586</v>
      </c>
      <c r="E487" s="1889"/>
      <c r="F487" s="1889"/>
      <c r="G487" s="1889"/>
      <c r="H487" s="1889"/>
      <c r="I487" s="1890"/>
      <c r="J487" s="1887" t="s">
        <v>587</v>
      </c>
      <c r="K487" s="1889"/>
      <c r="L487" s="1889"/>
      <c r="M487" s="1889"/>
      <c r="N487" s="1889"/>
      <c r="O487" s="1891"/>
      <c r="P487" s="1888" t="s">
        <v>588</v>
      </c>
      <c r="Q487" s="1889"/>
      <c r="R487" s="1889"/>
      <c r="S487" s="1889"/>
      <c r="T487" s="1889"/>
      <c r="U487" s="1890"/>
      <c r="V487" s="1887" t="s">
        <v>589</v>
      </c>
      <c r="W487" s="1889"/>
      <c r="X487" s="1889"/>
      <c r="Y487" s="1889"/>
      <c r="Z487" s="1889"/>
      <c r="AA487" s="1891"/>
      <c r="AB487" s="1888" t="s">
        <v>590</v>
      </c>
      <c r="AC487" s="1889"/>
      <c r="AD487" s="1889"/>
      <c r="AE487" s="1889"/>
      <c r="AF487" s="1889"/>
      <c r="AG487" s="1891"/>
      <c r="AH487" s="423"/>
      <c r="AI487" s="423"/>
      <c r="AJ487" s="423"/>
      <c r="AK487" s="423"/>
      <c r="AL487" s="423"/>
      <c r="AM487" s="423"/>
      <c r="AN487" s="423"/>
      <c r="AO487" s="423"/>
      <c r="AP487" s="423"/>
      <c r="AQ487" s="423"/>
      <c r="AR487" s="423"/>
      <c r="AS487" s="423"/>
      <c r="AT487" s="423"/>
      <c r="AU487" s="423"/>
      <c r="AV487" s="423"/>
      <c r="AW487" s="423"/>
      <c r="AX487" s="423"/>
      <c r="AY487" s="424"/>
    </row>
    <row r="488" spans="2:51" ht="18" customHeight="1">
      <c r="B488" s="1942"/>
      <c r="C488" s="1907" t="s">
        <v>591</v>
      </c>
      <c r="D488" s="1899" t="s">
        <v>318</v>
      </c>
      <c r="E488" s="1900"/>
      <c r="F488" s="1900" t="s">
        <v>319</v>
      </c>
      <c r="G488" s="1900"/>
      <c r="H488" s="1900" t="s">
        <v>320</v>
      </c>
      <c r="I488" s="1901"/>
      <c r="J488" s="1898" t="s">
        <v>318</v>
      </c>
      <c r="K488" s="1900"/>
      <c r="L488" s="1900" t="s">
        <v>319</v>
      </c>
      <c r="M488" s="1900"/>
      <c r="N488" s="1900" t="s">
        <v>320</v>
      </c>
      <c r="O488" s="1902"/>
      <c r="P488" s="1899" t="s">
        <v>318</v>
      </c>
      <c r="Q488" s="1900"/>
      <c r="R488" s="1900" t="s">
        <v>319</v>
      </c>
      <c r="S488" s="1900"/>
      <c r="T488" s="1900" t="s">
        <v>320</v>
      </c>
      <c r="U488" s="1901"/>
      <c r="V488" s="1898" t="s">
        <v>318</v>
      </c>
      <c r="W488" s="1900"/>
      <c r="X488" s="1900" t="s">
        <v>319</v>
      </c>
      <c r="Y488" s="1900"/>
      <c r="Z488" s="1900" t="s">
        <v>320</v>
      </c>
      <c r="AA488" s="1902"/>
      <c r="AB488" s="1899" t="s">
        <v>318</v>
      </c>
      <c r="AC488" s="1900"/>
      <c r="AD488" s="1900" t="s">
        <v>318</v>
      </c>
      <c r="AE488" s="1900"/>
      <c r="AF488" s="1900" t="s">
        <v>319</v>
      </c>
      <c r="AG488" s="1902"/>
      <c r="AH488" s="612" t="s">
        <v>5629</v>
      </c>
      <c r="AI488" s="425"/>
      <c r="AJ488" s="425"/>
      <c r="AK488" s="425"/>
      <c r="AL488" s="425"/>
      <c r="AM488" s="425"/>
      <c r="AN488" s="425"/>
      <c r="AO488" s="425"/>
      <c r="AP488" s="425"/>
      <c r="AQ488" s="425"/>
      <c r="AR488" s="425"/>
      <c r="AS488" s="425"/>
      <c r="AT488" s="425"/>
      <c r="AU488" s="425"/>
      <c r="AV488" s="425"/>
      <c r="AW488" s="425"/>
      <c r="AX488" s="425"/>
      <c r="AY488" s="426"/>
    </row>
    <row r="489" spans="2:51" ht="18" customHeight="1">
      <c r="B489" s="1945" t="str">
        <f>+$B$6</f>
        <v>戸建形式住宅</v>
      </c>
      <c r="C489" s="588" t="s">
        <v>23</v>
      </c>
      <c r="D489" s="431" t="s">
        <v>857</v>
      </c>
      <c r="E489" s="432" t="s">
        <v>857</v>
      </c>
      <c r="F489" s="432" t="s">
        <v>857</v>
      </c>
      <c r="G489" s="432" t="s">
        <v>857</v>
      </c>
      <c r="H489" s="432" t="s">
        <v>857</v>
      </c>
      <c r="I489" s="433" t="s">
        <v>857</v>
      </c>
      <c r="J489" s="431" t="s">
        <v>857</v>
      </c>
      <c r="K489" s="432" t="s">
        <v>857</v>
      </c>
      <c r="L489" s="432" t="s">
        <v>857</v>
      </c>
      <c r="M489" s="432" t="s">
        <v>857</v>
      </c>
      <c r="N489" s="432" t="s">
        <v>857</v>
      </c>
      <c r="O489" s="433" t="s">
        <v>857</v>
      </c>
      <c r="P489" s="431" t="s">
        <v>857</v>
      </c>
      <c r="Q489" s="432" t="s">
        <v>857</v>
      </c>
      <c r="R489" s="432" t="s">
        <v>857</v>
      </c>
      <c r="S489" s="432" t="s">
        <v>857</v>
      </c>
      <c r="T489" s="432" t="s">
        <v>857</v>
      </c>
      <c r="U489" s="433" t="s">
        <v>857</v>
      </c>
      <c r="V489" s="431" t="s">
        <v>857</v>
      </c>
      <c r="W489" s="432" t="s">
        <v>857</v>
      </c>
      <c r="X489" s="432" t="s">
        <v>857</v>
      </c>
      <c r="Y489" s="432" t="s">
        <v>857</v>
      </c>
      <c r="Z489" s="432" t="s">
        <v>857</v>
      </c>
      <c r="AA489" s="433" t="s">
        <v>857</v>
      </c>
      <c r="AB489" s="431" t="s">
        <v>857</v>
      </c>
      <c r="AC489" s="432" t="s">
        <v>857</v>
      </c>
      <c r="AD489" s="432" t="s">
        <v>857</v>
      </c>
      <c r="AE489" s="432" t="s">
        <v>857</v>
      </c>
      <c r="AF489" s="432" t="s">
        <v>857</v>
      </c>
      <c r="AG489" s="433" t="s">
        <v>857</v>
      </c>
      <c r="AH489" s="425"/>
      <c r="AI489" s="425"/>
      <c r="AJ489" s="425"/>
      <c r="AK489" s="425"/>
      <c r="AL489" s="425"/>
      <c r="AM489" s="425"/>
      <c r="AN489" s="425"/>
      <c r="AO489" s="425"/>
      <c r="AP489" s="425"/>
      <c r="AQ489" s="425"/>
      <c r="AR489" s="425"/>
      <c r="AS489" s="425"/>
      <c r="AT489" s="425"/>
      <c r="AU489" s="425"/>
      <c r="AV489" s="425"/>
      <c r="AW489" s="425"/>
      <c r="AX489" s="425"/>
      <c r="AY489" s="426"/>
    </row>
    <row r="490" spans="2:51" ht="18" customHeight="1">
      <c r="B490" s="1946" t="str">
        <f>+$B$7</f>
        <v>集合形式住宅</v>
      </c>
      <c r="C490" s="1205">
        <f>C492</f>
        <v>6758580</v>
      </c>
      <c r="D490" s="1244">
        <f>D492</f>
        <v>1000</v>
      </c>
      <c r="E490" s="1346">
        <f>E492</f>
        <v>1.05</v>
      </c>
      <c r="F490" s="1245">
        <f t="shared" ref="F490:AG490" si="69">F492</f>
        <v>750</v>
      </c>
      <c r="G490" s="1347">
        <f t="shared" si="69"/>
        <v>1</v>
      </c>
      <c r="H490" s="1245" t="str">
        <f t="shared" si="69"/>
        <v>-</v>
      </c>
      <c r="I490" s="1348" t="str">
        <f t="shared" si="69"/>
        <v>-</v>
      </c>
      <c r="J490" s="1349">
        <f t="shared" si="69"/>
        <v>13</v>
      </c>
      <c r="K490" s="1346">
        <f t="shared" si="69"/>
        <v>1.24</v>
      </c>
      <c r="L490" s="1350">
        <f t="shared" si="69"/>
        <v>8</v>
      </c>
      <c r="M490" s="1347">
        <f t="shared" si="69"/>
        <v>1</v>
      </c>
      <c r="N490" s="1350">
        <f t="shared" si="69"/>
        <v>5</v>
      </c>
      <c r="O490" s="1351">
        <f t="shared" si="69"/>
        <v>0.85</v>
      </c>
      <c r="P490" s="1349">
        <f t="shared" si="69"/>
        <v>105</v>
      </c>
      <c r="Q490" s="1346">
        <f t="shared" si="69"/>
        <v>1.1599999999999999</v>
      </c>
      <c r="R490" s="1350">
        <f t="shared" si="69"/>
        <v>60</v>
      </c>
      <c r="S490" s="1347">
        <f t="shared" si="69"/>
        <v>1</v>
      </c>
      <c r="T490" s="1350">
        <f t="shared" si="69"/>
        <v>45</v>
      </c>
      <c r="U490" s="1351">
        <f t="shared" si="69"/>
        <v>0.95</v>
      </c>
      <c r="V490" s="1244" t="str">
        <f t="shared" si="69"/>
        <v>上等(ｽﾃﾝﾚｽ)</v>
      </c>
      <c r="W490" s="1352">
        <f t="shared" si="69"/>
        <v>1.1499999999999999</v>
      </c>
      <c r="X490" s="1245" t="str">
        <f t="shared" si="69"/>
        <v>普通（鋼板）</v>
      </c>
      <c r="Y490" s="1352">
        <f t="shared" si="69"/>
        <v>1</v>
      </c>
      <c r="Z490" s="1245" t="str">
        <f t="shared" si="69"/>
        <v>以下</v>
      </c>
      <c r="AA490" s="1348">
        <f t="shared" si="69"/>
        <v>0.9</v>
      </c>
      <c r="AB490" s="1349" t="str">
        <f t="shared" si="69"/>
        <v>３台以上</v>
      </c>
      <c r="AC490" s="1346">
        <f t="shared" si="69"/>
        <v>1.03</v>
      </c>
      <c r="AD490" s="1350" t="str">
        <f t="shared" si="69"/>
        <v>２台</v>
      </c>
      <c r="AE490" s="1346">
        <f t="shared" si="69"/>
        <v>1.02</v>
      </c>
      <c r="AF490" s="1350" t="str">
        <f t="shared" si="69"/>
        <v>なし</v>
      </c>
      <c r="AG490" s="1378">
        <f t="shared" si="69"/>
        <v>1</v>
      </c>
      <c r="AH490" s="425"/>
      <c r="AI490" s="425"/>
      <c r="AJ490" s="425"/>
      <c r="AK490" s="425"/>
      <c r="AL490" s="425"/>
      <c r="AM490" s="425"/>
      <c r="AN490" s="425"/>
      <c r="AO490" s="425"/>
      <c r="AP490" s="425"/>
      <c r="AQ490" s="425"/>
      <c r="AR490" s="425"/>
      <c r="AS490" s="425"/>
      <c r="AT490" s="425"/>
      <c r="AU490" s="425"/>
      <c r="AV490" s="425"/>
      <c r="AW490" s="425"/>
      <c r="AX490" s="425"/>
      <c r="AY490" s="426"/>
    </row>
    <row r="491" spans="2:51" ht="18" customHeight="1">
      <c r="B491" s="1946" t="str">
        <f>+$B$8</f>
        <v>事務所・店舗</v>
      </c>
      <c r="C491" s="1205">
        <f>C492</f>
        <v>6758580</v>
      </c>
      <c r="D491" s="1353">
        <f>D492</f>
        <v>1000</v>
      </c>
      <c r="E491" s="1354">
        <f>E492</f>
        <v>1.05</v>
      </c>
      <c r="F491" s="1355">
        <f t="shared" ref="F491:AG491" si="70">F492</f>
        <v>750</v>
      </c>
      <c r="G491" s="1356">
        <f t="shared" si="70"/>
        <v>1</v>
      </c>
      <c r="H491" s="1355" t="str">
        <f t="shared" si="70"/>
        <v>-</v>
      </c>
      <c r="I491" s="1210" t="str">
        <f t="shared" si="70"/>
        <v>-</v>
      </c>
      <c r="J491" s="1357">
        <f t="shared" si="70"/>
        <v>13</v>
      </c>
      <c r="K491" s="1354">
        <f t="shared" si="70"/>
        <v>1.24</v>
      </c>
      <c r="L491" s="1358">
        <f t="shared" si="70"/>
        <v>8</v>
      </c>
      <c r="M491" s="1356">
        <f t="shared" si="70"/>
        <v>1</v>
      </c>
      <c r="N491" s="1358">
        <f t="shared" si="70"/>
        <v>5</v>
      </c>
      <c r="O491" s="1359">
        <f t="shared" si="70"/>
        <v>0.85</v>
      </c>
      <c r="P491" s="1357">
        <f t="shared" si="70"/>
        <v>105</v>
      </c>
      <c r="Q491" s="1354">
        <f t="shared" si="70"/>
        <v>1.1599999999999999</v>
      </c>
      <c r="R491" s="1358">
        <f t="shared" si="70"/>
        <v>60</v>
      </c>
      <c r="S491" s="1356">
        <f t="shared" si="70"/>
        <v>1</v>
      </c>
      <c r="T491" s="1358">
        <f t="shared" si="70"/>
        <v>45</v>
      </c>
      <c r="U491" s="1359">
        <f t="shared" si="70"/>
        <v>0.95</v>
      </c>
      <c r="V491" s="1357" t="str">
        <f t="shared" si="70"/>
        <v>上等(ｽﾃﾝﾚｽ)</v>
      </c>
      <c r="W491" s="1354">
        <f t="shared" si="70"/>
        <v>1.1499999999999999</v>
      </c>
      <c r="X491" s="1358" t="str">
        <f t="shared" si="70"/>
        <v>普通（鋼板）</v>
      </c>
      <c r="Y491" s="1356">
        <f t="shared" si="70"/>
        <v>1</v>
      </c>
      <c r="Z491" s="1358" t="str">
        <f t="shared" si="70"/>
        <v>以下</v>
      </c>
      <c r="AA491" s="1360">
        <f t="shared" si="70"/>
        <v>0.9</v>
      </c>
      <c r="AB491" s="1357" t="str">
        <f t="shared" si="70"/>
        <v>３台以上</v>
      </c>
      <c r="AC491" s="1354">
        <f t="shared" si="70"/>
        <v>1.03</v>
      </c>
      <c r="AD491" s="1358" t="str">
        <f t="shared" si="70"/>
        <v>２台</v>
      </c>
      <c r="AE491" s="1354">
        <f t="shared" si="70"/>
        <v>1.02</v>
      </c>
      <c r="AF491" s="1358" t="str">
        <f t="shared" si="70"/>
        <v>なし</v>
      </c>
      <c r="AG491" s="1360">
        <f t="shared" si="70"/>
        <v>1</v>
      </c>
      <c r="AH491" s="425"/>
      <c r="AI491" s="425"/>
      <c r="AJ491" s="425"/>
      <c r="AK491" s="425"/>
      <c r="AL491" s="425"/>
      <c r="AM491" s="425"/>
      <c r="AN491" s="425"/>
      <c r="AO491" s="425"/>
      <c r="AP491" s="425"/>
      <c r="AQ491" s="425"/>
      <c r="AR491" s="425"/>
      <c r="AS491" s="425"/>
      <c r="AT491" s="425"/>
      <c r="AU491" s="425"/>
      <c r="AV491" s="425"/>
      <c r="AW491" s="425"/>
      <c r="AX491" s="425"/>
      <c r="AY491" s="426"/>
    </row>
    <row r="492" spans="2:51" ht="18" customHeight="1">
      <c r="B492" s="1946" t="str">
        <f>+$B$9</f>
        <v>病院・ホテル</v>
      </c>
      <c r="C492" s="430">
        <v>6758580</v>
      </c>
      <c r="D492" s="1262">
        <v>1000</v>
      </c>
      <c r="E492" s="1361">
        <v>1.05</v>
      </c>
      <c r="F492" s="1202">
        <v>750</v>
      </c>
      <c r="G492" s="1362">
        <v>1</v>
      </c>
      <c r="H492" s="1202" t="s">
        <v>1051</v>
      </c>
      <c r="I492" s="433" t="s">
        <v>1051</v>
      </c>
      <c r="J492" s="1363">
        <v>13</v>
      </c>
      <c r="K492" s="1361">
        <v>1.24</v>
      </c>
      <c r="L492" s="1364">
        <v>8</v>
      </c>
      <c r="M492" s="1362">
        <v>1</v>
      </c>
      <c r="N492" s="1364">
        <v>5</v>
      </c>
      <c r="O492" s="1365">
        <v>0.85</v>
      </c>
      <c r="P492" s="1363">
        <v>105</v>
      </c>
      <c r="Q492" s="1361">
        <v>1.1599999999999999</v>
      </c>
      <c r="R492" s="1364">
        <v>60</v>
      </c>
      <c r="S492" s="1362">
        <v>1</v>
      </c>
      <c r="T492" s="1364">
        <v>45</v>
      </c>
      <c r="U492" s="1365">
        <v>0.95</v>
      </c>
      <c r="V492" s="1366" t="s">
        <v>576</v>
      </c>
      <c r="W492" s="1361">
        <v>1.1499999999999999</v>
      </c>
      <c r="X492" s="1361" t="s">
        <v>577</v>
      </c>
      <c r="Y492" s="1362">
        <v>1</v>
      </c>
      <c r="Z492" s="1361" t="s">
        <v>330</v>
      </c>
      <c r="AA492" s="1367">
        <v>0.9</v>
      </c>
      <c r="AB492" s="1366" t="s">
        <v>567</v>
      </c>
      <c r="AC492" s="1361">
        <v>1.03</v>
      </c>
      <c r="AD492" s="1361" t="s">
        <v>568</v>
      </c>
      <c r="AE492" s="1361">
        <v>1.02</v>
      </c>
      <c r="AF492" s="1361" t="s">
        <v>636</v>
      </c>
      <c r="AG492" s="1367">
        <v>1</v>
      </c>
      <c r="AH492" s="425"/>
      <c r="AI492" s="425"/>
      <c r="AJ492" s="425"/>
      <c r="AK492" s="425"/>
      <c r="AL492" s="425"/>
      <c r="AM492" s="425"/>
      <c r="AN492" s="425"/>
      <c r="AO492" s="425"/>
      <c r="AP492" s="425"/>
      <c r="AQ492" s="425"/>
      <c r="AR492" s="425"/>
      <c r="AS492" s="425"/>
      <c r="AT492" s="425"/>
      <c r="AU492" s="425"/>
      <c r="AV492" s="425"/>
      <c r="AW492" s="425"/>
      <c r="AX492" s="425"/>
      <c r="AY492" s="426"/>
    </row>
    <row r="493" spans="2:51" ht="18" customHeight="1">
      <c r="B493" s="1947" t="str">
        <f>+$B$10</f>
        <v>工場・倉庫</v>
      </c>
      <c r="C493" s="1308">
        <f>C492</f>
        <v>6758580</v>
      </c>
      <c r="D493" s="1311">
        <f>D492</f>
        <v>1000</v>
      </c>
      <c r="E493" s="1368">
        <f>E492</f>
        <v>1.05</v>
      </c>
      <c r="F493" s="1312">
        <f t="shared" ref="F493:AG493" si="71">F492</f>
        <v>750</v>
      </c>
      <c r="G493" s="1369">
        <f t="shared" si="71"/>
        <v>1</v>
      </c>
      <c r="H493" s="1312" t="str">
        <f t="shared" si="71"/>
        <v>-</v>
      </c>
      <c r="I493" s="1370" t="str">
        <f t="shared" si="71"/>
        <v>-</v>
      </c>
      <c r="J493" s="1371">
        <f t="shared" si="71"/>
        <v>13</v>
      </c>
      <c r="K493" s="1368">
        <f t="shared" si="71"/>
        <v>1.24</v>
      </c>
      <c r="L493" s="1372">
        <f t="shared" si="71"/>
        <v>8</v>
      </c>
      <c r="M493" s="1369">
        <f t="shared" si="71"/>
        <v>1</v>
      </c>
      <c r="N493" s="1372">
        <f t="shared" si="71"/>
        <v>5</v>
      </c>
      <c r="O493" s="1373">
        <f t="shared" si="71"/>
        <v>0.85</v>
      </c>
      <c r="P493" s="1371">
        <f t="shared" si="71"/>
        <v>105</v>
      </c>
      <c r="Q493" s="1368">
        <f t="shared" si="71"/>
        <v>1.1599999999999999</v>
      </c>
      <c r="R493" s="1372">
        <f t="shared" si="71"/>
        <v>60</v>
      </c>
      <c r="S493" s="1369">
        <f t="shared" si="71"/>
        <v>1</v>
      </c>
      <c r="T493" s="1372">
        <f t="shared" si="71"/>
        <v>45</v>
      </c>
      <c r="U493" s="1373">
        <f t="shared" si="71"/>
        <v>0.95</v>
      </c>
      <c r="V493" s="1311" t="str">
        <f t="shared" si="71"/>
        <v>上等(ｽﾃﾝﾚｽ)</v>
      </c>
      <c r="W493" s="1374">
        <f t="shared" si="71"/>
        <v>1.1499999999999999</v>
      </c>
      <c r="X493" s="1312" t="str">
        <f t="shared" si="71"/>
        <v>普通（鋼板）</v>
      </c>
      <c r="Y493" s="1374">
        <f t="shared" si="71"/>
        <v>1</v>
      </c>
      <c r="Z493" s="1312" t="str">
        <f t="shared" si="71"/>
        <v>以下</v>
      </c>
      <c r="AA493" s="1370">
        <f t="shared" si="71"/>
        <v>0.9</v>
      </c>
      <c r="AB493" s="1371" t="str">
        <f t="shared" si="71"/>
        <v>３台以上</v>
      </c>
      <c r="AC493" s="1368">
        <f t="shared" si="71"/>
        <v>1.03</v>
      </c>
      <c r="AD493" s="1372" t="str">
        <f t="shared" si="71"/>
        <v>２台</v>
      </c>
      <c r="AE493" s="1368">
        <f t="shared" si="71"/>
        <v>1.02</v>
      </c>
      <c r="AF493" s="1372" t="str">
        <f t="shared" si="71"/>
        <v>なし</v>
      </c>
      <c r="AG493" s="1379">
        <f t="shared" si="71"/>
        <v>1</v>
      </c>
      <c r="AH493" s="425"/>
      <c r="AI493" s="425"/>
      <c r="AJ493" s="425"/>
      <c r="AK493" s="425"/>
      <c r="AL493" s="425"/>
      <c r="AM493" s="425"/>
      <c r="AN493" s="425"/>
      <c r="AO493" s="425"/>
      <c r="AP493" s="425"/>
      <c r="AQ493" s="425"/>
      <c r="AR493" s="425"/>
      <c r="AS493" s="425"/>
      <c r="AT493" s="425"/>
      <c r="AU493" s="425"/>
      <c r="AV493" s="425"/>
      <c r="AW493" s="425"/>
      <c r="AX493" s="425"/>
      <c r="AY493" s="426"/>
    </row>
    <row r="494" spans="2:51" ht="18" customHeight="1">
      <c r="B494" s="1941" t="s">
        <v>311</v>
      </c>
      <c r="C494" s="1916" t="s">
        <v>592</v>
      </c>
      <c r="D494" s="1888" t="s">
        <v>593</v>
      </c>
      <c r="E494" s="1889"/>
      <c r="F494" s="1889"/>
      <c r="G494" s="1889"/>
      <c r="H494" s="1889"/>
      <c r="I494" s="1890"/>
      <c r="J494" s="1887" t="s">
        <v>594</v>
      </c>
      <c r="K494" s="1889"/>
      <c r="L494" s="1889"/>
      <c r="M494" s="1889"/>
      <c r="N494" s="1889"/>
      <c r="O494" s="1891"/>
      <c r="P494" s="1888" t="s">
        <v>595</v>
      </c>
      <c r="Q494" s="1889"/>
      <c r="R494" s="1889"/>
      <c r="S494" s="1889"/>
      <c r="T494" s="1889"/>
      <c r="U494" s="1890"/>
      <c r="V494" s="1887" t="s">
        <v>596</v>
      </c>
      <c r="W494" s="1889"/>
      <c r="X494" s="1889"/>
      <c r="Y494" s="1889"/>
      <c r="Z494" s="1889"/>
      <c r="AA494" s="1891"/>
      <c r="AB494" s="460"/>
      <c r="AC494" s="423"/>
      <c r="AD494" s="423"/>
      <c r="AE494" s="423"/>
      <c r="AF494" s="423"/>
      <c r="AG494" s="423"/>
      <c r="AH494" s="423"/>
      <c r="AI494" s="423"/>
      <c r="AJ494" s="423"/>
      <c r="AK494" s="423"/>
      <c r="AL494" s="423"/>
      <c r="AM494" s="423"/>
      <c r="AN494" s="423"/>
      <c r="AO494" s="423"/>
      <c r="AP494" s="1960" t="s">
        <v>234</v>
      </c>
      <c r="AQ494" s="885"/>
      <c r="AR494" s="543"/>
      <c r="AS494" s="423"/>
      <c r="AT494" s="423"/>
      <c r="AU494" s="423"/>
      <c r="AV494" s="423"/>
      <c r="AW494" s="423"/>
      <c r="AX494" s="423"/>
      <c r="AY494" s="424"/>
    </row>
    <row r="495" spans="2:51" ht="18" customHeight="1">
      <c r="B495" s="1942"/>
      <c r="C495" s="1907" t="s">
        <v>597</v>
      </c>
      <c r="D495" s="1899" t="s">
        <v>318</v>
      </c>
      <c r="E495" s="1900"/>
      <c r="F495" s="1900" t="s">
        <v>319</v>
      </c>
      <c r="G495" s="1900"/>
      <c r="H495" s="1900" t="s">
        <v>320</v>
      </c>
      <c r="I495" s="1901"/>
      <c r="J495" s="1898" t="s">
        <v>318</v>
      </c>
      <c r="K495" s="1900"/>
      <c r="L495" s="1900" t="s">
        <v>319</v>
      </c>
      <c r="M495" s="1900"/>
      <c r="N495" s="1900" t="s">
        <v>320</v>
      </c>
      <c r="O495" s="1902"/>
      <c r="P495" s="1899" t="s">
        <v>318</v>
      </c>
      <c r="Q495" s="1900"/>
      <c r="R495" s="1900" t="s">
        <v>319</v>
      </c>
      <c r="S495" s="1900"/>
      <c r="T495" s="1900" t="s">
        <v>320</v>
      </c>
      <c r="U495" s="1901"/>
      <c r="V495" s="1898" t="s">
        <v>318</v>
      </c>
      <c r="W495" s="1900"/>
      <c r="X495" s="1900" t="s">
        <v>319</v>
      </c>
      <c r="Y495" s="1900"/>
      <c r="Z495" s="1900" t="s">
        <v>320</v>
      </c>
      <c r="AA495" s="1902"/>
      <c r="AB495" s="461"/>
      <c r="AC495" s="425"/>
      <c r="AD495" s="425"/>
      <c r="AE495" s="425"/>
      <c r="AF495" s="425"/>
      <c r="AG495" s="425"/>
      <c r="AH495" s="425"/>
      <c r="AI495" s="425"/>
      <c r="AJ495" s="425"/>
      <c r="AK495" s="425"/>
      <c r="AL495" s="425"/>
      <c r="AM495" s="425"/>
      <c r="AN495" s="425"/>
      <c r="AO495" s="425"/>
      <c r="AP495" s="1961" t="s">
        <v>1207</v>
      </c>
      <c r="AQ495" s="582" t="s">
        <v>1208</v>
      </c>
      <c r="AR495" s="582"/>
      <c r="AS495" s="582"/>
      <c r="AT495" s="425"/>
      <c r="AU495" s="425"/>
      <c r="AV495" s="425"/>
      <c r="AW495" s="425"/>
      <c r="AX495" s="425"/>
      <c r="AY495" s="426"/>
    </row>
    <row r="496" spans="2:51" ht="18" customHeight="1">
      <c r="B496" s="1945" t="str">
        <f>+$B$6</f>
        <v>戸建形式住宅</v>
      </c>
      <c r="C496" s="588" t="s">
        <v>23</v>
      </c>
      <c r="D496" s="431" t="s">
        <v>857</v>
      </c>
      <c r="E496" s="432" t="s">
        <v>857</v>
      </c>
      <c r="F496" s="432" t="s">
        <v>857</v>
      </c>
      <c r="G496" s="432" t="s">
        <v>857</v>
      </c>
      <c r="H496" s="432" t="s">
        <v>857</v>
      </c>
      <c r="I496" s="433" t="s">
        <v>857</v>
      </c>
      <c r="J496" s="431" t="s">
        <v>857</v>
      </c>
      <c r="K496" s="432" t="s">
        <v>857</v>
      </c>
      <c r="L496" s="432" t="s">
        <v>857</v>
      </c>
      <c r="M496" s="432" t="s">
        <v>857</v>
      </c>
      <c r="N496" s="432" t="s">
        <v>857</v>
      </c>
      <c r="O496" s="433" t="s">
        <v>857</v>
      </c>
      <c r="P496" s="431" t="s">
        <v>857</v>
      </c>
      <c r="Q496" s="432" t="s">
        <v>857</v>
      </c>
      <c r="R496" s="432" t="s">
        <v>857</v>
      </c>
      <c r="S496" s="432" t="s">
        <v>857</v>
      </c>
      <c r="T496" s="432" t="s">
        <v>857</v>
      </c>
      <c r="U496" s="433" t="s">
        <v>857</v>
      </c>
      <c r="V496" s="431" t="s">
        <v>857</v>
      </c>
      <c r="W496" s="432" t="s">
        <v>857</v>
      </c>
      <c r="X496" s="432" t="s">
        <v>857</v>
      </c>
      <c r="Y496" s="432" t="s">
        <v>857</v>
      </c>
      <c r="Z496" s="432" t="s">
        <v>857</v>
      </c>
      <c r="AA496" s="433" t="s">
        <v>857</v>
      </c>
      <c r="AB496" s="461"/>
      <c r="AC496" s="425"/>
      <c r="AD496" s="425"/>
      <c r="AE496" s="425"/>
      <c r="AF496" s="425"/>
      <c r="AG496" s="425"/>
      <c r="AH496" s="425"/>
      <c r="AI496" s="425"/>
      <c r="AJ496" s="425"/>
      <c r="AK496" s="425"/>
      <c r="AL496" s="425"/>
      <c r="AM496" s="425"/>
      <c r="AN496" s="425"/>
      <c r="AO496" s="425"/>
      <c r="AP496" s="1070" t="s">
        <v>23</v>
      </c>
      <c r="AQ496" s="679"/>
      <c r="AR496" s="679"/>
      <c r="AS496" s="425"/>
      <c r="AT496" s="425"/>
      <c r="AU496" s="425"/>
      <c r="AV496" s="425"/>
      <c r="AW496" s="425"/>
      <c r="AX496" s="425"/>
      <c r="AY496" s="426"/>
    </row>
    <row r="497" spans="2:51" ht="18" customHeight="1">
      <c r="B497" s="1946" t="str">
        <f>+$B$7</f>
        <v>集合形式住宅</v>
      </c>
      <c r="C497" s="430">
        <v>9640260</v>
      </c>
      <c r="D497" s="1201">
        <v>4000</v>
      </c>
      <c r="E497" s="432">
        <v>1.35</v>
      </c>
      <c r="F497" s="1202">
        <v>2000</v>
      </c>
      <c r="G497" s="432">
        <v>1</v>
      </c>
      <c r="H497" s="1202">
        <v>1000</v>
      </c>
      <c r="I497" s="436">
        <v>0.76</v>
      </c>
      <c r="J497" s="1262">
        <v>8</v>
      </c>
      <c r="K497" s="432">
        <v>1.2</v>
      </c>
      <c r="L497" s="1202">
        <v>3</v>
      </c>
      <c r="M497" s="432">
        <v>1</v>
      </c>
      <c r="N497" s="1202">
        <v>2</v>
      </c>
      <c r="O497" s="433">
        <v>0.95</v>
      </c>
      <c r="P497" s="1201">
        <v>105</v>
      </c>
      <c r="Q497" s="432">
        <v>1.31</v>
      </c>
      <c r="R497" s="1202">
        <v>60</v>
      </c>
      <c r="S497" s="432">
        <v>1</v>
      </c>
      <c r="T497" s="1202">
        <v>45</v>
      </c>
      <c r="U497" s="436">
        <v>0.95</v>
      </c>
      <c r="V497" s="437" t="s">
        <v>598</v>
      </c>
      <c r="W497" s="432">
        <v>1.2</v>
      </c>
      <c r="X497" s="432" t="s">
        <v>577</v>
      </c>
      <c r="Y497" s="432">
        <v>1</v>
      </c>
      <c r="Z497" s="432" t="s">
        <v>340</v>
      </c>
      <c r="AA497" s="433">
        <v>0.8</v>
      </c>
      <c r="AB497" s="461"/>
      <c r="AC497" s="425"/>
      <c r="AD497" s="425"/>
      <c r="AE497" s="425"/>
      <c r="AF497" s="425"/>
      <c r="AG497" s="425"/>
      <c r="AH497" s="425"/>
      <c r="AI497" s="425"/>
      <c r="AJ497" s="425"/>
      <c r="AK497" s="425"/>
      <c r="AL497" s="425"/>
      <c r="AM497" s="425"/>
      <c r="AN497" s="425"/>
      <c r="AO497" s="425"/>
      <c r="AP497" s="430">
        <v>1063340</v>
      </c>
      <c r="AQ497" s="679"/>
      <c r="AR497" s="679"/>
      <c r="AS497" s="425"/>
      <c r="AT497" s="425"/>
      <c r="AU497" s="425"/>
      <c r="AV497" s="425"/>
      <c r="AW497" s="425"/>
      <c r="AX497" s="425"/>
      <c r="AY497" s="426"/>
    </row>
    <row r="498" spans="2:51" ht="18" customHeight="1">
      <c r="B498" s="1946" t="str">
        <f>+$B$8</f>
        <v>事務所・店舗</v>
      </c>
      <c r="C498" s="430">
        <v>9640260</v>
      </c>
      <c r="D498" s="1201">
        <v>4000</v>
      </c>
      <c r="E498" s="432">
        <v>1.35</v>
      </c>
      <c r="F498" s="1202">
        <v>2000</v>
      </c>
      <c r="G498" s="432">
        <v>1</v>
      </c>
      <c r="H498" s="1202">
        <v>1000</v>
      </c>
      <c r="I498" s="436">
        <v>0.76</v>
      </c>
      <c r="J498" s="1262">
        <v>8</v>
      </c>
      <c r="K498" s="432">
        <v>1.2</v>
      </c>
      <c r="L498" s="1202">
        <v>3</v>
      </c>
      <c r="M498" s="432">
        <v>1</v>
      </c>
      <c r="N498" s="1202">
        <v>2</v>
      </c>
      <c r="O498" s="433">
        <v>0.95</v>
      </c>
      <c r="P498" s="1201">
        <v>105</v>
      </c>
      <c r="Q498" s="432">
        <v>1.31</v>
      </c>
      <c r="R498" s="1202">
        <v>60</v>
      </c>
      <c r="S498" s="432">
        <v>1</v>
      </c>
      <c r="T498" s="1202">
        <v>45</v>
      </c>
      <c r="U498" s="436">
        <v>0.95</v>
      </c>
      <c r="V498" s="437" t="s">
        <v>598</v>
      </c>
      <c r="W498" s="432">
        <v>1.2</v>
      </c>
      <c r="X498" s="432" t="s">
        <v>577</v>
      </c>
      <c r="Y498" s="432">
        <v>1</v>
      </c>
      <c r="Z498" s="432" t="s">
        <v>340</v>
      </c>
      <c r="AA498" s="433">
        <v>0.8</v>
      </c>
      <c r="AB498" s="461"/>
      <c r="AC498" s="425"/>
      <c r="AD498" s="425"/>
      <c r="AE498" s="425"/>
      <c r="AF498" s="425"/>
      <c r="AG498" s="425"/>
      <c r="AH498" s="425"/>
      <c r="AI498" s="425"/>
      <c r="AJ498" s="425"/>
      <c r="AK498" s="425"/>
      <c r="AL498" s="425"/>
      <c r="AM498" s="425"/>
      <c r="AN498" s="425"/>
      <c r="AO498" s="425"/>
      <c r="AP498" s="430">
        <v>1063340</v>
      </c>
      <c r="AQ498" s="679"/>
      <c r="AR498" s="679"/>
      <c r="AS498" s="425"/>
      <c r="AT498" s="425"/>
      <c r="AU498" s="425"/>
      <c r="AV498" s="425"/>
      <c r="AW498" s="425"/>
      <c r="AX498" s="425"/>
      <c r="AY498" s="426"/>
    </row>
    <row r="499" spans="2:51" ht="18" customHeight="1">
      <c r="B499" s="1946" t="str">
        <f>+$B$9</f>
        <v>病院・ホテル</v>
      </c>
      <c r="C499" s="430">
        <v>9640260</v>
      </c>
      <c r="D499" s="1201">
        <v>4000</v>
      </c>
      <c r="E499" s="432">
        <v>1.35</v>
      </c>
      <c r="F499" s="1202">
        <v>2000</v>
      </c>
      <c r="G499" s="432">
        <v>1</v>
      </c>
      <c r="H499" s="1202">
        <v>1000</v>
      </c>
      <c r="I499" s="436">
        <v>0.76</v>
      </c>
      <c r="J499" s="1262">
        <v>8</v>
      </c>
      <c r="K499" s="432">
        <v>1.2</v>
      </c>
      <c r="L499" s="1202">
        <v>3</v>
      </c>
      <c r="M499" s="432">
        <v>1</v>
      </c>
      <c r="N499" s="1202">
        <v>2</v>
      </c>
      <c r="O499" s="433">
        <v>0.95</v>
      </c>
      <c r="P499" s="1201">
        <v>105</v>
      </c>
      <c r="Q499" s="432">
        <v>1.31</v>
      </c>
      <c r="R499" s="1202">
        <v>60</v>
      </c>
      <c r="S499" s="432">
        <v>1</v>
      </c>
      <c r="T499" s="1202">
        <v>45</v>
      </c>
      <c r="U499" s="436">
        <v>0.95</v>
      </c>
      <c r="V499" s="437" t="s">
        <v>598</v>
      </c>
      <c r="W499" s="432">
        <v>1.2</v>
      </c>
      <c r="X499" s="432" t="s">
        <v>577</v>
      </c>
      <c r="Y499" s="432">
        <v>1</v>
      </c>
      <c r="Z499" s="432" t="s">
        <v>340</v>
      </c>
      <c r="AA499" s="433">
        <v>0.8</v>
      </c>
      <c r="AB499" s="461"/>
      <c r="AC499" s="425"/>
      <c r="AD499" s="425"/>
      <c r="AE499" s="425"/>
      <c r="AF499" s="425"/>
      <c r="AG499" s="425"/>
      <c r="AH499" s="425"/>
      <c r="AI499" s="425"/>
      <c r="AJ499" s="425"/>
      <c r="AK499" s="425"/>
      <c r="AL499" s="425"/>
      <c r="AM499" s="425"/>
      <c r="AN499" s="425"/>
      <c r="AO499" s="425"/>
      <c r="AP499" s="430">
        <v>1063340</v>
      </c>
      <c r="AQ499" s="679"/>
      <c r="AR499" s="679"/>
      <c r="AS499" s="425"/>
      <c r="AT499" s="425"/>
      <c r="AU499" s="425"/>
      <c r="AV499" s="425"/>
      <c r="AW499" s="425"/>
      <c r="AX499" s="425"/>
      <c r="AY499" s="426"/>
    </row>
    <row r="500" spans="2:51" ht="18" customHeight="1">
      <c r="B500" s="1947" t="str">
        <f>+$B$10</f>
        <v>工場・倉庫</v>
      </c>
      <c r="C500" s="430">
        <v>9640260</v>
      </c>
      <c r="D500" s="1258">
        <v>4000</v>
      </c>
      <c r="E500" s="442">
        <v>1.35</v>
      </c>
      <c r="F500" s="1259">
        <v>2000</v>
      </c>
      <c r="G500" s="442">
        <v>1</v>
      </c>
      <c r="H500" s="1259">
        <v>1000</v>
      </c>
      <c r="I500" s="444">
        <v>0.76</v>
      </c>
      <c r="J500" s="1344">
        <v>8</v>
      </c>
      <c r="K500" s="442">
        <v>1.2</v>
      </c>
      <c r="L500" s="1259">
        <v>3</v>
      </c>
      <c r="M500" s="442">
        <v>1</v>
      </c>
      <c r="N500" s="1259">
        <v>2</v>
      </c>
      <c r="O500" s="443">
        <v>0.95</v>
      </c>
      <c r="P500" s="1258">
        <v>105</v>
      </c>
      <c r="Q500" s="442">
        <v>1.31</v>
      </c>
      <c r="R500" s="1259">
        <v>60</v>
      </c>
      <c r="S500" s="442">
        <v>1</v>
      </c>
      <c r="T500" s="1259">
        <v>45</v>
      </c>
      <c r="U500" s="444">
        <v>0.95</v>
      </c>
      <c r="V500" s="1283" t="s">
        <v>598</v>
      </c>
      <c r="W500" s="442">
        <v>1.2</v>
      </c>
      <c r="X500" s="442" t="s">
        <v>577</v>
      </c>
      <c r="Y500" s="442">
        <v>1</v>
      </c>
      <c r="Z500" s="442" t="s">
        <v>340</v>
      </c>
      <c r="AA500" s="443">
        <v>0.8</v>
      </c>
      <c r="AB500" s="461"/>
      <c r="AC500" s="425"/>
      <c r="AD500" s="425"/>
      <c r="AE500" s="425"/>
      <c r="AF500" s="425"/>
      <c r="AG500" s="425"/>
      <c r="AH500" s="425"/>
      <c r="AI500" s="425"/>
      <c r="AJ500" s="425"/>
      <c r="AK500" s="425"/>
      <c r="AL500" s="425"/>
      <c r="AM500" s="425"/>
      <c r="AN500" s="425"/>
      <c r="AO500" s="425"/>
      <c r="AP500" s="430">
        <v>1063340</v>
      </c>
      <c r="AQ500" s="886"/>
      <c r="AR500" s="680"/>
      <c r="AS500" s="425"/>
      <c r="AT500" s="425"/>
      <c r="AU500" s="425"/>
      <c r="AV500" s="425"/>
      <c r="AW500" s="425"/>
      <c r="AX500" s="425"/>
      <c r="AY500" s="426"/>
    </row>
    <row r="501" spans="2:51" ht="18" customHeight="1">
      <c r="B501" s="1941" t="s">
        <v>311</v>
      </c>
      <c r="C501" s="1916" t="s">
        <v>599</v>
      </c>
      <c r="D501" s="1888" t="s">
        <v>600</v>
      </c>
      <c r="E501" s="1889"/>
      <c r="F501" s="1889"/>
      <c r="G501" s="1889"/>
      <c r="H501" s="1889"/>
      <c r="I501" s="1890"/>
      <c r="J501" s="1887" t="s">
        <v>601</v>
      </c>
      <c r="K501" s="1889"/>
      <c r="L501" s="1889"/>
      <c r="M501" s="1889"/>
      <c r="N501" s="1889"/>
      <c r="O501" s="1891"/>
      <c r="P501" s="1888" t="s">
        <v>602</v>
      </c>
      <c r="Q501" s="1889"/>
      <c r="R501" s="1889"/>
      <c r="S501" s="1889"/>
      <c r="T501" s="1889"/>
      <c r="U501" s="1890"/>
      <c r="V501" s="1887" t="s">
        <v>603</v>
      </c>
      <c r="W501" s="1889"/>
      <c r="X501" s="1889"/>
      <c r="Y501" s="1889"/>
      <c r="Z501" s="1889"/>
      <c r="AA501" s="1891"/>
      <c r="AB501" s="1888" t="s">
        <v>604</v>
      </c>
      <c r="AC501" s="1889"/>
      <c r="AD501" s="1889"/>
      <c r="AE501" s="1889"/>
      <c r="AF501" s="1889"/>
      <c r="AG501" s="1891"/>
      <c r="AH501" s="423"/>
      <c r="AI501" s="423"/>
      <c r="AJ501" s="423"/>
      <c r="AK501" s="423"/>
      <c r="AL501" s="423"/>
      <c r="AM501" s="423"/>
      <c r="AN501" s="423"/>
      <c r="AO501" s="423"/>
      <c r="AP501" s="423"/>
      <c r="AQ501" s="423"/>
      <c r="AR501" s="423"/>
      <c r="AS501" s="423"/>
      <c r="AT501" s="423"/>
      <c r="AU501" s="423"/>
      <c r="AV501" s="423"/>
      <c r="AW501" s="423"/>
      <c r="AX501" s="423"/>
      <c r="AY501" s="424"/>
    </row>
    <row r="502" spans="2:51" ht="18" customHeight="1">
      <c r="B502" s="1942"/>
      <c r="C502" s="1907" t="s">
        <v>605</v>
      </c>
      <c r="D502" s="1899" t="s">
        <v>318</v>
      </c>
      <c r="E502" s="1900"/>
      <c r="F502" s="1900" t="s">
        <v>319</v>
      </c>
      <c r="G502" s="1900"/>
      <c r="H502" s="1900" t="s">
        <v>320</v>
      </c>
      <c r="I502" s="1901"/>
      <c r="J502" s="1898" t="s">
        <v>318</v>
      </c>
      <c r="K502" s="1900"/>
      <c r="L502" s="1900" t="s">
        <v>319</v>
      </c>
      <c r="M502" s="1900"/>
      <c r="N502" s="1900" t="s">
        <v>320</v>
      </c>
      <c r="O502" s="1902"/>
      <c r="P502" s="1899" t="s">
        <v>318</v>
      </c>
      <c r="Q502" s="1900"/>
      <c r="R502" s="1900" t="s">
        <v>319</v>
      </c>
      <c r="S502" s="1900"/>
      <c r="T502" s="1900" t="s">
        <v>320</v>
      </c>
      <c r="U502" s="1901"/>
      <c r="V502" s="1898" t="s">
        <v>318</v>
      </c>
      <c r="W502" s="1900"/>
      <c r="X502" s="1900" t="s">
        <v>319</v>
      </c>
      <c r="Y502" s="1900"/>
      <c r="Z502" s="1900" t="s">
        <v>320</v>
      </c>
      <c r="AA502" s="1902"/>
      <c r="AB502" s="1899" t="s">
        <v>318</v>
      </c>
      <c r="AC502" s="1900"/>
      <c r="AD502" s="1900" t="s">
        <v>319</v>
      </c>
      <c r="AE502" s="1900"/>
      <c r="AF502" s="1900" t="s">
        <v>320</v>
      </c>
      <c r="AG502" s="1902"/>
      <c r="AH502" s="612" t="s">
        <v>5630</v>
      </c>
      <c r="AI502" s="425"/>
      <c r="AJ502" s="425"/>
      <c r="AK502" s="425"/>
      <c r="AL502" s="425"/>
      <c r="AM502" s="425"/>
      <c r="AN502" s="425"/>
      <c r="AO502" s="425"/>
      <c r="AP502" s="425"/>
      <c r="AQ502" s="425"/>
      <c r="AR502" s="425"/>
      <c r="AS502" s="425"/>
      <c r="AT502" s="425"/>
      <c r="AU502" s="425"/>
      <c r="AV502" s="425"/>
      <c r="AW502" s="425"/>
      <c r="AX502" s="425"/>
      <c r="AY502" s="426"/>
    </row>
    <row r="503" spans="2:51" ht="18" customHeight="1">
      <c r="B503" s="1945" t="str">
        <f>+$B$6</f>
        <v>戸建形式住宅</v>
      </c>
      <c r="C503" s="588" t="s">
        <v>23</v>
      </c>
      <c r="D503" s="431" t="s">
        <v>857</v>
      </c>
      <c r="E503" s="432" t="s">
        <v>857</v>
      </c>
      <c r="F503" s="432" t="s">
        <v>857</v>
      </c>
      <c r="G503" s="432" t="s">
        <v>857</v>
      </c>
      <c r="H503" s="432" t="s">
        <v>857</v>
      </c>
      <c r="I503" s="433" t="s">
        <v>857</v>
      </c>
      <c r="J503" s="431" t="s">
        <v>857</v>
      </c>
      <c r="K503" s="432" t="s">
        <v>857</v>
      </c>
      <c r="L503" s="432" t="s">
        <v>857</v>
      </c>
      <c r="M503" s="432" t="s">
        <v>857</v>
      </c>
      <c r="N503" s="432" t="s">
        <v>857</v>
      </c>
      <c r="O503" s="433" t="s">
        <v>857</v>
      </c>
      <c r="P503" s="431" t="s">
        <v>857</v>
      </c>
      <c r="Q503" s="432" t="s">
        <v>857</v>
      </c>
      <c r="R503" s="432" t="s">
        <v>857</v>
      </c>
      <c r="S503" s="432" t="s">
        <v>857</v>
      </c>
      <c r="T503" s="432" t="s">
        <v>857</v>
      </c>
      <c r="U503" s="433" t="s">
        <v>857</v>
      </c>
      <c r="V503" s="431" t="s">
        <v>857</v>
      </c>
      <c r="W503" s="432" t="s">
        <v>857</v>
      </c>
      <c r="X503" s="432" t="s">
        <v>857</v>
      </c>
      <c r="Y503" s="432" t="s">
        <v>857</v>
      </c>
      <c r="Z503" s="432" t="s">
        <v>857</v>
      </c>
      <c r="AA503" s="433" t="s">
        <v>857</v>
      </c>
      <c r="AB503" s="431" t="s">
        <v>857</v>
      </c>
      <c r="AC503" s="432" t="s">
        <v>857</v>
      </c>
      <c r="AD503" s="432" t="s">
        <v>857</v>
      </c>
      <c r="AE503" s="432" t="s">
        <v>857</v>
      </c>
      <c r="AF503" s="432" t="s">
        <v>857</v>
      </c>
      <c r="AG503" s="433" t="s">
        <v>857</v>
      </c>
      <c r="AH503" s="612"/>
      <c r="AI503" s="425"/>
      <c r="AJ503" s="425"/>
      <c r="AK503" s="425"/>
      <c r="AL503" s="425"/>
      <c r="AM503" s="425"/>
      <c r="AN503" s="425"/>
      <c r="AO503" s="425"/>
      <c r="AP503" s="425"/>
      <c r="AQ503" s="425"/>
      <c r="AR503" s="425"/>
      <c r="AS503" s="425"/>
      <c r="AT503" s="425"/>
      <c r="AU503" s="425"/>
      <c r="AV503" s="425"/>
      <c r="AW503" s="425"/>
      <c r="AX503" s="425"/>
      <c r="AY503" s="426"/>
    </row>
    <row r="504" spans="2:51" ht="18" customHeight="1">
      <c r="B504" s="1946" t="str">
        <f>+$B$7</f>
        <v>集合形式住宅</v>
      </c>
      <c r="C504" s="1205">
        <f>C505</f>
        <v>11552870</v>
      </c>
      <c r="D504" s="1355">
        <f>D505</f>
        <v>3000</v>
      </c>
      <c r="E504" s="1207">
        <f>E505</f>
        <v>1.0900000000000001</v>
      </c>
      <c r="F504" s="1355">
        <f t="shared" ref="F504:I504" si="72">F505</f>
        <v>2500</v>
      </c>
      <c r="G504" s="1207">
        <f t="shared" si="72"/>
        <v>1</v>
      </c>
      <c r="H504" s="1355">
        <f t="shared" si="72"/>
        <v>2000</v>
      </c>
      <c r="I504" s="1207">
        <f t="shared" si="72"/>
        <v>0.92</v>
      </c>
      <c r="J504" s="1353">
        <f>J505</f>
        <v>5</v>
      </c>
      <c r="K504" s="1207">
        <f>K505</f>
        <v>1.1499999999999999</v>
      </c>
      <c r="L504" s="1375">
        <f t="shared" ref="L504:M504" si="73">L505</f>
        <v>2</v>
      </c>
      <c r="M504" s="1207">
        <f t="shared" si="73"/>
        <v>1</v>
      </c>
      <c r="N504" s="1245" t="str">
        <f t="shared" ref="N504:O504" si="74">N506</f>
        <v>-</v>
      </c>
      <c r="O504" s="1348" t="str">
        <f t="shared" si="74"/>
        <v>-</v>
      </c>
      <c r="P504" s="1355">
        <f>P505</f>
        <v>45</v>
      </c>
      <c r="Q504" s="1207">
        <f>Q505</f>
        <v>1.05</v>
      </c>
      <c r="R504" s="1355">
        <f t="shared" ref="R504:U504" si="75">R505</f>
        <v>30</v>
      </c>
      <c r="S504" s="1207">
        <f t="shared" si="75"/>
        <v>1</v>
      </c>
      <c r="T504" s="1355">
        <f t="shared" si="75"/>
        <v>15</v>
      </c>
      <c r="U504" s="1207">
        <f t="shared" si="75"/>
        <v>0.95</v>
      </c>
      <c r="V504" s="1209" t="str">
        <f>V505</f>
        <v>全自動,直流</v>
      </c>
      <c r="W504" s="1207">
        <f>W505</f>
        <v>1.5</v>
      </c>
      <c r="X504" s="1207" t="str">
        <f t="shared" ref="X504:AA504" si="76">X505</f>
        <v>全自動,交流</v>
      </c>
      <c r="Y504" s="1207">
        <f t="shared" si="76"/>
        <v>1</v>
      </c>
      <c r="Z504" s="1207" t="str">
        <f t="shared" si="76"/>
        <v>手動,交流</v>
      </c>
      <c r="AA504" s="1210">
        <f t="shared" si="76"/>
        <v>0.95</v>
      </c>
      <c r="AB504" s="1209" t="str">
        <f>AB505</f>
        <v>上等(ステンレス)</v>
      </c>
      <c r="AC504" s="1207">
        <f>AC505</f>
        <v>1.1499999999999999</v>
      </c>
      <c r="AD504" s="1207" t="str">
        <f t="shared" ref="AD504" si="77">AD505</f>
        <v>普通（鋼板）</v>
      </c>
      <c r="AE504" s="1207">
        <f t="shared" ref="AE504" si="78">AE505</f>
        <v>1</v>
      </c>
      <c r="AF504" s="1207" t="str">
        <f t="shared" ref="AF504" si="79">AF505</f>
        <v>以下</v>
      </c>
      <c r="AG504" s="1210">
        <f t="shared" ref="AG504" si="80">AG505</f>
        <v>0.8</v>
      </c>
      <c r="AH504" s="425"/>
      <c r="AI504" s="425"/>
      <c r="AJ504" s="425"/>
      <c r="AK504" s="425"/>
      <c r="AL504" s="425"/>
      <c r="AM504" s="425"/>
      <c r="AN504" s="425"/>
      <c r="AO504" s="425"/>
      <c r="AP504" s="425"/>
      <c r="AQ504" s="425"/>
      <c r="AR504" s="425"/>
      <c r="AS504" s="425"/>
      <c r="AT504" s="425"/>
      <c r="AU504" s="425"/>
      <c r="AV504" s="425"/>
      <c r="AW504" s="425"/>
      <c r="AX504" s="425"/>
      <c r="AY504" s="426"/>
    </row>
    <row r="505" spans="2:51" ht="18" customHeight="1">
      <c r="B505" s="1946" t="str">
        <f>+$B$8</f>
        <v>事務所・店舗</v>
      </c>
      <c r="C505" s="1376">
        <v>11552870</v>
      </c>
      <c r="D505" s="1335">
        <v>3000</v>
      </c>
      <c r="E505" s="428">
        <v>1.0900000000000001</v>
      </c>
      <c r="F505" s="1299">
        <v>2500</v>
      </c>
      <c r="G505" s="428">
        <v>1</v>
      </c>
      <c r="H505" s="1299">
        <v>2000</v>
      </c>
      <c r="I505" s="1297">
        <v>0.92</v>
      </c>
      <c r="J505" s="1298">
        <v>5</v>
      </c>
      <c r="K505" s="428">
        <v>1.1499999999999999</v>
      </c>
      <c r="L505" s="1299">
        <v>2</v>
      </c>
      <c r="M505" s="428">
        <v>1</v>
      </c>
      <c r="N505" s="1355" t="str">
        <f t="shared" ref="N505:O505" si="81">N506</f>
        <v>-</v>
      </c>
      <c r="O505" s="1210" t="str">
        <f t="shared" si="81"/>
        <v>-</v>
      </c>
      <c r="P505" s="1335">
        <v>45</v>
      </c>
      <c r="Q505" s="428">
        <v>1.05</v>
      </c>
      <c r="R505" s="1299">
        <v>30</v>
      </c>
      <c r="S505" s="428">
        <v>1</v>
      </c>
      <c r="T505" s="1299">
        <v>15</v>
      </c>
      <c r="U505" s="1297">
        <v>0.95</v>
      </c>
      <c r="V505" s="1204" t="s">
        <v>606</v>
      </c>
      <c r="W505" s="428">
        <v>1.5</v>
      </c>
      <c r="X505" s="428" t="s">
        <v>607</v>
      </c>
      <c r="Y505" s="428">
        <v>1</v>
      </c>
      <c r="Z505" s="428" t="s">
        <v>608</v>
      </c>
      <c r="AA505" s="429">
        <v>0.95</v>
      </c>
      <c r="AB505" s="1283" t="s">
        <v>598</v>
      </c>
      <c r="AC505" s="428">
        <v>1.1499999999999999</v>
      </c>
      <c r="AD505" s="442" t="s">
        <v>577</v>
      </c>
      <c r="AE505" s="428">
        <v>1</v>
      </c>
      <c r="AF505" s="428" t="s">
        <v>330</v>
      </c>
      <c r="AG505" s="429">
        <v>0.8</v>
      </c>
      <c r="AH505" s="425"/>
      <c r="AI505" s="425"/>
      <c r="AJ505" s="425"/>
      <c r="AK505" s="425"/>
      <c r="AL505" s="425"/>
      <c r="AM505" s="425"/>
      <c r="AN505" s="425"/>
      <c r="AO505" s="425"/>
      <c r="AP505" s="425"/>
      <c r="AQ505" s="425"/>
      <c r="AR505" s="425"/>
      <c r="AS505" s="425"/>
      <c r="AT505" s="425"/>
      <c r="AU505" s="425"/>
      <c r="AV505" s="425"/>
      <c r="AW505" s="425"/>
      <c r="AX505" s="425"/>
      <c r="AY505" s="426"/>
    </row>
    <row r="506" spans="2:51" ht="18" customHeight="1">
      <c r="B506" s="1946" t="str">
        <f>+$B$9</f>
        <v>病院・ホテル</v>
      </c>
      <c r="C506" s="1205">
        <f>C505</f>
        <v>11552870</v>
      </c>
      <c r="D506" s="1355">
        <f>D505</f>
        <v>3000</v>
      </c>
      <c r="E506" s="1207">
        <f>E505</f>
        <v>1.0900000000000001</v>
      </c>
      <c r="F506" s="1355">
        <f t="shared" ref="F506:I506" si="82">F505</f>
        <v>2500</v>
      </c>
      <c r="G506" s="1207">
        <f t="shared" si="82"/>
        <v>1</v>
      </c>
      <c r="H506" s="1355">
        <f t="shared" si="82"/>
        <v>2000</v>
      </c>
      <c r="I506" s="1207">
        <f t="shared" si="82"/>
        <v>0.92</v>
      </c>
      <c r="J506" s="1353">
        <f>J505</f>
        <v>5</v>
      </c>
      <c r="K506" s="1207">
        <f>K505</f>
        <v>1.1499999999999999</v>
      </c>
      <c r="L506" s="1375">
        <f t="shared" ref="L506:M506" si="83">L505</f>
        <v>2</v>
      </c>
      <c r="M506" s="1207">
        <f t="shared" si="83"/>
        <v>1</v>
      </c>
      <c r="N506" s="1202" t="s">
        <v>1051</v>
      </c>
      <c r="O506" s="433" t="s">
        <v>1051</v>
      </c>
      <c r="P506" s="1355">
        <f>P505</f>
        <v>45</v>
      </c>
      <c r="Q506" s="1207">
        <f>Q505</f>
        <v>1.05</v>
      </c>
      <c r="R506" s="1355">
        <f t="shared" ref="R506:U506" si="84">R505</f>
        <v>30</v>
      </c>
      <c r="S506" s="1207">
        <f t="shared" si="84"/>
        <v>1</v>
      </c>
      <c r="T506" s="1355">
        <f t="shared" si="84"/>
        <v>15</v>
      </c>
      <c r="U506" s="1207">
        <f t="shared" si="84"/>
        <v>0.95</v>
      </c>
      <c r="V506" s="1209" t="str">
        <f>V505</f>
        <v>全自動,直流</v>
      </c>
      <c r="W506" s="1207">
        <f>W505</f>
        <v>1.5</v>
      </c>
      <c r="X506" s="1207" t="str">
        <f t="shared" ref="X506:AA506" si="85">X505</f>
        <v>全自動,交流</v>
      </c>
      <c r="Y506" s="1207">
        <f t="shared" si="85"/>
        <v>1</v>
      </c>
      <c r="Z506" s="1207" t="str">
        <f t="shared" si="85"/>
        <v>手動,交流</v>
      </c>
      <c r="AA506" s="1210">
        <f t="shared" si="85"/>
        <v>0.95</v>
      </c>
      <c r="AB506" s="1209" t="str">
        <f>AB505</f>
        <v>上等(ステンレス)</v>
      </c>
      <c r="AC506" s="1207">
        <f>AC505</f>
        <v>1.1499999999999999</v>
      </c>
      <c r="AD506" s="1207" t="str">
        <f t="shared" ref="AD506" si="86">AD505</f>
        <v>普通（鋼板）</v>
      </c>
      <c r="AE506" s="1207">
        <f t="shared" ref="AE506" si="87">AE505</f>
        <v>1</v>
      </c>
      <c r="AF506" s="1207" t="str">
        <f t="shared" ref="AF506" si="88">AF505</f>
        <v>以下</v>
      </c>
      <c r="AG506" s="1210">
        <f t="shared" ref="AG506" si="89">AG505</f>
        <v>0.8</v>
      </c>
      <c r="AH506" s="425"/>
      <c r="AI506" s="425"/>
      <c r="AJ506" s="425"/>
      <c r="AK506" s="425"/>
      <c r="AL506" s="425"/>
      <c r="AM506" s="425"/>
      <c r="AN506" s="425"/>
      <c r="AO506" s="425"/>
      <c r="AP506" s="425"/>
      <c r="AQ506" s="425"/>
      <c r="AR506" s="425"/>
      <c r="AS506" s="425"/>
      <c r="AT506" s="425"/>
      <c r="AU506" s="425"/>
      <c r="AV506" s="425"/>
      <c r="AW506" s="425"/>
      <c r="AX506" s="425"/>
      <c r="AY506" s="426"/>
    </row>
    <row r="507" spans="2:51" ht="18" customHeight="1">
      <c r="B507" s="1947" t="str">
        <f>+$B$10</f>
        <v>工場・倉庫</v>
      </c>
      <c r="C507" s="1308">
        <f>C505</f>
        <v>11552870</v>
      </c>
      <c r="D507" s="1377">
        <f>D505</f>
        <v>3000</v>
      </c>
      <c r="E507" s="1213">
        <f>E505</f>
        <v>1.0900000000000001</v>
      </c>
      <c r="F507" s="1377">
        <f t="shared" ref="F507:I507" si="90">F505</f>
        <v>2500</v>
      </c>
      <c r="G507" s="1213">
        <f t="shared" si="90"/>
        <v>1</v>
      </c>
      <c r="H507" s="1377">
        <f t="shared" si="90"/>
        <v>2000</v>
      </c>
      <c r="I507" s="1213">
        <f t="shared" si="90"/>
        <v>0.92</v>
      </c>
      <c r="J507" s="1338">
        <f>J505</f>
        <v>5</v>
      </c>
      <c r="K507" s="1215">
        <f>K505</f>
        <v>1.1499999999999999</v>
      </c>
      <c r="L507" s="1339">
        <f t="shared" ref="L507:M507" si="91">L505</f>
        <v>2</v>
      </c>
      <c r="M507" s="1215">
        <f t="shared" si="91"/>
        <v>1</v>
      </c>
      <c r="N507" s="1312" t="str">
        <f t="shared" ref="N507:O507" si="92">N506</f>
        <v>-</v>
      </c>
      <c r="O507" s="1370" t="str">
        <f t="shared" si="92"/>
        <v>-</v>
      </c>
      <c r="P507" s="1377">
        <f>P505</f>
        <v>45</v>
      </c>
      <c r="Q507" s="1213">
        <f>Q505</f>
        <v>1.05</v>
      </c>
      <c r="R507" s="1377">
        <f t="shared" ref="R507:U507" si="93">R505</f>
        <v>30</v>
      </c>
      <c r="S507" s="1213">
        <f t="shared" si="93"/>
        <v>1</v>
      </c>
      <c r="T507" s="1377">
        <f t="shared" si="93"/>
        <v>15</v>
      </c>
      <c r="U507" s="1213">
        <f t="shared" si="93"/>
        <v>0.95</v>
      </c>
      <c r="V507" s="1342" t="str">
        <f>V505</f>
        <v>全自動,直流</v>
      </c>
      <c r="W507" s="1215">
        <f>W505</f>
        <v>1.5</v>
      </c>
      <c r="X507" s="1215" t="str">
        <f t="shared" ref="X507:AA507" si="94">X505</f>
        <v>全自動,交流</v>
      </c>
      <c r="Y507" s="1215">
        <f t="shared" si="94"/>
        <v>1</v>
      </c>
      <c r="Z507" s="1215" t="str">
        <f t="shared" si="94"/>
        <v>手動,交流</v>
      </c>
      <c r="AA507" s="1315">
        <f t="shared" si="94"/>
        <v>0.95</v>
      </c>
      <c r="AB507" s="1342" t="str">
        <f>AB505</f>
        <v>上等(ステンレス)</v>
      </c>
      <c r="AC507" s="1215">
        <f>AC505</f>
        <v>1.1499999999999999</v>
      </c>
      <c r="AD507" s="1215" t="str">
        <f t="shared" ref="AD507:AG507" si="95">AD505</f>
        <v>普通（鋼板）</v>
      </c>
      <c r="AE507" s="1215">
        <f t="shared" si="95"/>
        <v>1</v>
      </c>
      <c r="AF507" s="1215" t="str">
        <f t="shared" si="95"/>
        <v>以下</v>
      </c>
      <c r="AG507" s="1315">
        <f t="shared" si="95"/>
        <v>0.8</v>
      </c>
      <c r="AH507" s="425"/>
      <c r="AI507" s="425"/>
      <c r="AJ507" s="425"/>
      <c r="AK507" s="425"/>
      <c r="AL507" s="425"/>
      <c r="AM507" s="425"/>
      <c r="AN507" s="425"/>
      <c r="AO507" s="425"/>
      <c r="AP507" s="425"/>
      <c r="AQ507" s="425"/>
      <c r="AR507" s="425"/>
      <c r="AS507" s="425"/>
      <c r="AT507" s="425"/>
      <c r="AU507" s="425"/>
      <c r="AV507" s="425"/>
      <c r="AW507" s="425"/>
      <c r="AX507" s="425"/>
      <c r="AY507" s="426"/>
    </row>
    <row r="508" spans="2:51" ht="18" customHeight="1">
      <c r="B508" s="1941" t="s">
        <v>311</v>
      </c>
      <c r="C508" s="1916" t="s">
        <v>609</v>
      </c>
      <c r="D508" s="1887" t="s">
        <v>610</v>
      </c>
      <c r="E508" s="1889"/>
      <c r="F508" s="1889"/>
      <c r="G508" s="1889"/>
      <c r="H508" s="1889"/>
      <c r="I508" s="1890"/>
      <c r="J508" s="1887" t="s">
        <v>611</v>
      </c>
      <c r="K508" s="1889"/>
      <c r="L508" s="1889"/>
      <c r="M508" s="1889"/>
      <c r="N508" s="1889"/>
      <c r="O508" s="1891"/>
      <c r="P508" s="1888" t="s">
        <v>612</v>
      </c>
      <c r="Q508" s="1889"/>
      <c r="R508" s="1889"/>
      <c r="S508" s="1889"/>
      <c r="T508" s="1889"/>
      <c r="U508" s="1890"/>
      <c r="V508" s="459"/>
      <c r="W508" s="455"/>
      <c r="X508" s="455"/>
      <c r="Y508" s="455"/>
      <c r="Z508" s="455"/>
      <c r="AA508" s="455"/>
      <c r="AB508" s="480"/>
      <c r="AC508" s="480"/>
      <c r="AD508" s="480"/>
      <c r="AE508" s="480"/>
      <c r="AF508" s="480"/>
      <c r="AG508" s="480"/>
      <c r="AH508" s="423"/>
      <c r="AI508" s="423"/>
      <c r="AJ508" s="423"/>
      <c r="AK508" s="423"/>
      <c r="AL508" s="423"/>
      <c r="AM508" s="423"/>
      <c r="AN508" s="423"/>
      <c r="AO508" s="423"/>
      <c r="AP508" s="423"/>
      <c r="AQ508" s="423"/>
      <c r="AR508" s="423"/>
      <c r="AS508" s="423"/>
      <c r="AT508" s="423"/>
      <c r="AU508" s="423"/>
      <c r="AV508" s="423"/>
      <c r="AW508" s="423"/>
      <c r="AX508" s="423"/>
      <c r="AY508" s="424"/>
    </row>
    <row r="509" spans="2:51" ht="18" customHeight="1">
      <c r="B509" s="1942"/>
      <c r="C509" s="1907" t="s">
        <v>613</v>
      </c>
      <c r="D509" s="1898" t="s">
        <v>318</v>
      </c>
      <c r="E509" s="1900"/>
      <c r="F509" s="1900" t="s">
        <v>319</v>
      </c>
      <c r="G509" s="1900"/>
      <c r="H509" s="1900" t="s">
        <v>320</v>
      </c>
      <c r="I509" s="1901"/>
      <c r="J509" s="1898" t="s">
        <v>318</v>
      </c>
      <c r="K509" s="1900"/>
      <c r="L509" s="1900" t="s">
        <v>319</v>
      </c>
      <c r="M509" s="1900"/>
      <c r="N509" s="1900" t="s">
        <v>320</v>
      </c>
      <c r="O509" s="1902"/>
      <c r="P509" s="1899" t="s">
        <v>318</v>
      </c>
      <c r="Q509" s="1900"/>
      <c r="R509" s="1900" t="s">
        <v>319</v>
      </c>
      <c r="S509" s="1900"/>
      <c r="T509" s="1900" t="s">
        <v>320</v>
      </c>
      <c r="U509" s="1901"/>
      <c r="V509" s="612" t="s">
        <v>5630</v>
      </c>
      <c r="W509" s="449"/>
      <c r="X509" s="449"/>
      <c r="Y509" s="449"/>
      <c r="Z509" s="449"/>
      <c r="AA509" s="449"/>
      <c r="AB509" s="481"/>
      <c r="AC509" s="481"/>
      <c r="AD509" s="481"/>
      <c r="AE509" s="481"/>
      <c r="AF509" s="481"/>
      <c r="AG509" s="481"/>
      <c r="AH509" s="425"/>
      <c r="AI509" s="425"/>
      <c r="AJ509" s="425"/>
      <c r="AK509" s="425"/>
      <c r="AL509" s="425"/>
      <c r="AM509" s="425"/>
      <c r="AN509" s="425"/>
      <c r="AO509" s="425"/>
      <c r="AP509" s="425"/>
      <c r="AQ509" s="425"/>
      <c r="AR509" s="425"/>
      <c r="AS509" s="425"/>
      <c r="AT509" s="425"/>
      <c r="AU509" s="425"/>
      <c r="AV509" s="425"/>
      <c r="AW509" s="425"/>
      <c r="AX509" s="425"/>
      <c r="AY509" s="426"/>
    </row>
    <row r="510" spans="2:51" ht="18" customHeight="1">
      <c r="B510" s="1945" t="str">
        <f>+$B$6</f>
        <v>戸建形式住宅</v>
      </c>
      <c r="C510" s="588" t="s">
        <v>23</v>
      </c>
      <c r="D510" s="431" t="s">
        <v>857</v>
      </c>
      <c r="E510" s="432" t="s">
        <v>857</v>
      </c>
      <c r="F510" s="432" t="s">
        <v>857</v>
      </c>
      <c r="G510" s="432" t="s">
        <v>857</v>
      </c>
      <c r="H510" s="432" t="s">
        <v>857</v>
      </c>
      <c r="I510" s="433" t="s">
        <v>857</v>
      </c>
      <c r="J510" s="431" t="s">
        <v>857</v>
      </c>
      <c r="K510" s="432" t="s">
        <v>857</v>
      </c>
      <c r="L510" s="432" t="s">
        <v>857</v>
      </c>
      <c r="M510" s="432" t="s">
        <v>857</v>
      </c>
      <c r="N510" s="432" t="s">
        <v>857</v>
      </c>
      <c r="O510" s="433" t="s">
        <v>857</v>
      </c>
      <c r="P510" s="431" t="s">
        <v>857</v>
      </c>
      <c r="Q510" s="432" t="s">
        <v>857</v>
      </c>
      <c r="R510" s="432" t="s">
        <v>857</v>
      </c>
      <c r="S510" s="432" t="s">
        <v>857</v>
      </c>
      <c r="T510" s="432" t="s">
        <v>857</v>
      </c>
      <c r="U510" s="433" t="s">
        <v>857</v>
      </c>
      <c r="V510" s="612"/>
      <c r="W510" s="451"/>
      <c r="X510" s="451"/>
      <c r="Y510" s="451"/>
      <c r="Z510" s="451"/>
      <c r="AA510" s="451"/>
      <c r="AB510" s="481"/>
      <c r="AC510" s="481"/>
      <c r="AD510" s="481"/>
      <c r="AE510" s="481"/>
      <c r="AF510" s="481"/>
      <c r="AG510" s="481"/>
      <c r="AH510" s="425"/>
      <c r="AI510" s="425"/>
      <c r="AJ510" s="425"/>
      <c r="AK510" s="425"/>
      <c r="AL510" s="425"/>
      <c r="AM510" s="425"/>
      <c r="AN510" s="425"/>
      <c r="AO510" s="425"/>
      <c r="AP510" s="425"/>
      <c r="AQ510" s="425"/>
      <c r="AR510" s="425"/>
      <c r="AS510" s="425"/>
      <c r="AT510" s="425"/>
      <c r="AU510" s="425"/>
      <c r="AV510" s="425"/>
      <c r="AW510" s="425"/>
      <c r="AX510" s="425"/>
      <c r="AY510" s="426"/>
    </row>
    <row r="511" spans="2:51" ht="18" customHeight="1">
      <c r="B511" s="1946" t="str">
        <f>+$B$7</f>
        <v>集合形式住宅</v>
      </c>
      <c r="C511" s="1205">
        <f>C512</f>
        <v>8849250</v>
      </c>
      <c r="D511" s="1355">
        <f>D512</f>
        <v>3000</v>
      </c>
      <c r="E511" s="1207">
        <f>E512</f>
        <v>1.1499999999999999</v>
      </c>
      <c r="F511" s="1355">
        <f t="shared" ref="F511" si="96">F512</f>
        <v>2300</v>
      </c>
      <c r="G511" s="1207">
        <f t="shared" ref="G511" si="97">G512</f>
        <v>1</v>
      </c>
      <c r="H511" s="1355">
        <f t="shared" ref="H511" si="98">H512</f>
        <v>2000</v>
      </c>
      <c r="I511" s="1243">
        <f t="shared" ref="I511" si="99">I512</f>
        <v>0.9</v>
      </c>
      <c r="J511" s="1353">
        <f>J512</f>
        <v>30</v>
      </c>
      <c r="K511" s="1207">
        <f>K512</f>
        <v>1.05</v>
      </c>
      <c r="L511" s="1355">
        <f t="shared" ref="L511" si="100">L512</f>
        <v>20</v>
      </c>
      <c r="M511" s="1207">
        <f t="shared" ref="M511" si="101">M512</f>
        <v>1</v>
      </c>
      <c r="N511" s="1355">
        <f t="shared" ref="N511" si="102">N512</f>
        <v>10</v>
      </c>
      <c r="O511" s="1210">
        <f t="shared" ref="O511" si="103">O512</f>
        <v>0.95</v>
      </c>
      <c r="P511" s="1209" t="str">
        <f>P512</f>
        <v>上等(ステンレス)</v>
      </c>
      <c r="Q511" s="1207">
        <f>Q512</f>
        <v>1.2</v>
      </c>
      <c r="R511" s="1207" t="str">
        <f t="shared" ref="R511" si="104">R512</f>
        <v>普通（鋼板）</v>
      </c>
      <c r="S511" s="1207">
        <f t="shared" ref="S511" si="105">S512</f>
        <v>1</v>
      </c>
      <c r="T511" s="1207" t="str">
        <f t="shared" ref="T511" si="106">T512</f>
        <v>以下</v>
      </c>
      <c r="U511" s="1210">
        <f t="shared" ref="U511" si="107">U512</f>
        <v>0.85</v>
      </c>
      <c r="V511" s="450"/>
      <c r="W511" s="451"/>
      <c r="X511" s="451"/>
      <c r="Y511" s="451"/>
      <c r="Z511" s="451"/>
      <c r="AA511" s="451"/>
      <c r="AB511" s="481"/>
      <c r="AC511" s="481"/>
      <c r="AD511" s="481"/>
      <c r="AE511" s="481"/>
      <c r="AF511" s="481"/>
      <c r="AG511" s="481"/>
      <c r="AH511" s="425"/>
      <c r="AI511" s="425"/>
      <c r="AJ511" s="425"/>
      <c r="AK511" s="425"/>
      <c r="AL511" s="425"/>
      <c r="AM511" s="425"/>
      <c r="AN511" s="425"/>
      <c r="AO511" s="425"/>
      <c r="AP511" s="425"/>
      <c r="AQ511" s="425"/>
      <c r="AR511" s="425"/>
      <c r="AS511" s="425"/>
      <c r="AT511" s="425"/>
      <c r="AU511" s="425"/>
      <c r="AV511" s="425"/>
      <c r="AW511" s="425"/>
      <c r="AX511" s="425"/>
      <c r="AY511" s="426"/>
    </row>
    <row r="512" spans="2:51" ht="18" customHeight="1">
      <c r="B512" s="1946" t="str">
        <f>+$B$8</f>
        <v>事務所・店舗</v>
      </c>
      <c r="C512" s="1376">
        <v>8849250</v>
      </c>
      <c r="D512" s="1298">
        <v>3000</v>
      </c>
      <c r="E512" s="428">
        <v>1.1499999999999999</v>
      </c>
      <c r="F512" s="1299">
        <v>2300</v>
      </c>
      <c r="G512" s="428">
        <v>1</v>
      </c>
      <c r="H512" s="1299">
        <v>2000</v>
      </c>
      <c r="I512" s="1297">
        <v>0.9</v>
      </c>
      <c r="J512" s="1298">
        <v>30</v>
      </c>
      <c r="K512" s="428">
        <v>1.05</v>
      </c>
      <c r="L512" s="1299">
        <v>20</v>
      </c>
      <c r="M512" s="428">
        <v>1</v>
      </c>
      <c r="N512" s="1299">
        <v>10</v>
      </c>
      <c r="O512" s="429">
        <v>0.95</v>
      </c>
      <c r="P512" s="427" t="s">
        <v>598</v>
      </c>
      <c r="Q512" s="428">
        <v>1.2</v>
      </c>
      <c r="R512" s="428" t="s">
        <v>577</v>
      </c>
      <c r="S512" s="428">
        <v>1</v>
      </c>
      <c r="T512" s="428" t="s">
        <v>340</v>
      </c>
      <c r="U512" s="1297">
        <v>0.85</v>
      </c>
      <c r="V512" s="450"/>
      <c r="W512" s="451"/>
      <c r="X512" s="451"/>
      <c r="Y512" s="451"/>
      <c r="Z512" s="451"/>
      <c r="AA512" s="451"/>
      <c r="AB512" s="481"/>
      <c r="AC512" s="481"/>
      <c r="AD512" s="481"/>
      <c r="AE512" s="481"/>
      <c r="AF512" s="481"/>
      <c r="AG512" s="481"/>
      <c r="AH512" s="425"/>
      <c r="AI512" s="425"/>
      <c r="AJ512" s="425"/>
      <c r="AK512" s="425"/>
      <c r="AL512" s="425"/>
      <c r="AM512" s="425"/>
      <c r="AN512" s="425"/>
      <c r="AO512" s="425"/>
      <c r="AP512" s="425"/>
      <c r="AQ512" s="425"/>
      <c r="AR512" s="425"/>
      <c r="AS512" s="425"/>
      <c r="AT512" s="425"/>
      <c r="AU512" s="425"/>
      <c r="AV512" s="425"/>
      <c r="AW512" s="425"/>
      <c r="AX512" s="425"/>
      <c r="AY512" s="426"/>
    </row>
    <row r="513" spans="2:51" ht="18" customHeight="1">
      <c r="B513" s="1946" t="str">
        <f>+$B$9</f>
        <v>病院・ホテル</v>
      </c>
      <c r="C513" s="1205">
        <f>C512</f>
        <v>8849250</v>
      </c>
      <c r="D513" s="1355">
        <f>D512</f>
        <v>3000</v>
      </c>
      <c r="E513" s="1207">
        <f>E512</f>
        <v>1.1499999999999999</v>
      </c>
      <c r="F513" s="1355">
        <f t="shared" ref="F513" si="108">F512</f>
        <v>2300</v>
      </c>
      <c r="G513" s="1207">
        <f t="shared" ref="G513" si="109">G512</f>
        <v>1</v>
      </c>
      <c r="H513" s="1355">
        <f t="shared" ref="H513" si="110">H512</f>
        <v>2000</v>
      </c>
      <c r="I513" s="1243">
        <f t="shared" ref="I513" si="111">I512</f>
        <v>0.9</v>
      </c>
      <c r="J513" s="1353">
        <f>J512</f>
        <v>30</v>
      </c>
      <c r="K513" s="1207">
        <f>K512</f>
        <v>1.05</v>
      </c>
      <c r="L513" s="1355">
        <f t="shared" ref="L513" si="112">L512</f>
        <v>20</v>
      </c>
      <c r="M513" s="1207">
        <f t="shared" ref="M513" si="113">M512</f>
        <v>1</v>
      </c>
      <c r="N513" s="1355">
        <f t="shared" ref="N513" si="114">N512</f>
        <v>10</v>
      </c>
      <c r="O513" s="1210">
        <f t="shared" ref="O513" si="115">O512</f>
        <v>0.95</v>
      </c>
      <c r="P513" s="1209" t="str">
        <f>P512</f>
        <v>上等(ステンレス)</v>
      </c>
      <c r="Q513" s="1207">
        <f>Q512</f>
        <v>1.2</v>
      </c>
      <c r="R513" s="1207" t="str">
        <f t="shared" ref="R513" si="116">R512</f>
        <v>普通（鋼板）</v>
      </c>
      <c r="S513" s="1207">
        <f t="shared" ref="S513" si="117">S512</f>
        <v>1</v>
      </c>
      <c r="T513" s="1207" t="str">
        <f t="shared" ref="T513" si="118">T512</f>
        <v>以下</v>
      </c>
      <c r="U513" s="1210">
        <f t="shared" ref="U513" si="119">U512</f>
        <v>0.85</v>
      </c>
      <c r="V513" s="450"/>
      <c r="W513" s="451"/>
      <c r="X513" s="451"/>
      <c r="Y513" s="451"/>
      <c r="Z513" s="451"/>
      <c r="AA513" s="451"/>
      <c r="AB513" s="481"/>
      <c r="AC513" s="481"/>
      <c r="AD513" s="481"/>
      <c r="AE513" s="481"/>
      <c r="AF513" s="481"/>
      <c r="AG513" s="481"/>
      <c r="AH513" s="425"/>
      <c r="AI513" s="425"/>
      <c r="AJ513" s="425"/>
      <c r="AK513" s="425"/>
      <c r="AL513" s="425"/>
      <c r="AM513" s="425"/>
      <c r="AN513" s="425"/>
      <c r="AO513" s="425"/>
      <c r="AP513" s="425"/>
      <c r="AQ513" s="425"/>
      <c r="AR513" s="425"/>
      <c r="AS513" s="425"/>
      <c r="AT513" s="425"/>
      <c r="AU513" s="425"/>
      <c r="AV513" s="425"/>
      <c r="AW513" s="425"/>
      <c r="AX513" s="425"/>
      <c r="AY513" s="426"/>
    </row>
    <row r="514" spans="2:51" ht="18" customHeight="1">
      <c r="B514" s="1947" t="str">
        <f>+$B$10</f>
        <v>工場・倉庫</v>
      </c>
      <c r="C514" s="1308">
        <f>C512</f>
        <v>8849250</v>
      </c>
      <c r="D514" s="1377">
        <f>D512</f>
        <v>3000</v>
      </c>
      <c r="E514" s="1213">
        <f>E512</f>
        <v>1.1499999999999999</v>
      </c>
      <c r="F514" s="1377">
        <f t="shared" ref="F514:I514" si="120">F512</f>
        <v>2300</v>
      </c>
      <c r="G514" s="1213">
        <f t="shared" si="120"/>
        <v>1</v>
      </c>
      <c r="H514" s="1377">
        <f t="shared" si="120"/>
        <v>2000</v>
      </c>
      <c r="I514" s="1380">
        <f t="shared" si="120"/>
        <v>0.9</v>
      </c>
      <c r="J514" s="1338">
        <f>J512</f>
        <v>30</v>
      </c>
      <c r="K514" s="1215">
        <f>K512</f>
        <v>1.05</v>
      </c>
      <c r="L514" s="1381">
        <f t="shared" ref="L514:O514" si="121">L512</f>
        <v>20</v>
      </c>
      <c r="M514" s="1215">
        <f t="shared" si="121"/>
        <v>1</v>
      </c>
      <c r="N514" s="1381">
        <f t="shared" si="121"/>
        <v>10</v>
      </c>
      <c r="O514" s="1315">
        <f t="shared" si="121"/>
        <v>0.95</v>
      </c>
      <c r="P514" s="1342" t="str">
        <f>P512</f>
        <v>上等(ステンレス)</v>
      </c>
      <c r="Q514" s="1215">
        <f>Q512</f>
        <v>1.2</v>
      </c>
      <c r="R514" s="1215" t="str">
        <f t="shared" ref="R514:U514" si="122">R512</f>
        <v>普通（鋼板）</v>
      </c>
      <c r="S514" s="1215">
        <f t="shared" si="122"/>
        <v>1</v>
      </c>
      <c r="T514" s="1215" t="str">
        <f t="shared" si="122"/>
        <v>以下</v>
      </c>
      <c r="U514" s="1315">
        <f t="shared" si="122"/>
        <v>0.85</v>
      </c>
      <c r="V514" s="450"/>
      <c r="W514" s="451"/>
      <c r="X514" s="451"/>
      <c r="Y514" s="451"/>
      <c r="Z514" s="451"/>
      <c r="AA514" s="451"/>
      <c r="AB514" s="481"/>
      <c r="AC514" s="481"/>
      <c r="AD514" s="481"/>
      <c r="AE514" s="481"/>
      <c r="AF514" s="481"/>
      <c r="AG514" s="481"/>
      <c r="AH514" s="452"/>
      <c r="AI514" s="425"/>
      <c r="AJ514" s="425"/>
      <c r="AK514" s="425"/>
      <c r="AL514" s="425"/>
      <c r="AM514" s="425"/>
      <c r="AN514" s="425"/>
      <c r="AO514" s="425"/>
      <c r="AP514" s="425"/>
      <c r="AQ514" s="425"/>
      <c r="AR514" s="425"/>
      <c r="AS514" s="425"/>
      <c r="AT514" s="425"/>
      <c r="AU514" s="425"/>
      <c r="AV514" s="425"/>
      <c r="AW514" s="425"/>
      <c r="AX514" s="425"/>
      <c r="AY514" s="426"/>
    </row>
    <row r="515" spans="2:51" ht="18" customHeight="1">
      <c r="B515" s="1941" t="s">
        <v>311</v>
      </c>
      <c r="C515" s="1916" t="s">
        <v>241</v>
      </c>
      <c r="D515" s="1888" t="s">
        <v>614</v>
      </c>
      <c r="E515" s="1889"/>
      <c r="F515" s="1889"/>
      <c r="G515" s="1889"/>
      <c r="H515" s="1889"/>
      <c r="I515" s="1890"/>
      <c r="J515" s="1887" t="s">
        <v>615</v>
      </c>
      <c r="K515" s="1889"/>
      <c r="L515" s="1889"/>
      <c r="M515" s="1889"/>
      <c r="N515" s="1889"/>
      <c r="O515" s="1891"/>
      <c r="P515" s="1888" t="s">
        <v>616</v>
      </c>
      <c r="Q515" s="1889"/>
      <c r="R515" s="1889"/>
      <c r="S515" s="1889"/>
      <c r="T515" s="1889"/>
      <c r="U515" s="1890"/>
      <c r="V515" s="1887" t="s">
        <v>617</v>
      </c>
      <c r="W515" s="1889"/>
      <c r="X515" s="1889"/>
      <c r="Y515" s="1889"/>
      <c r="Z515" s="1889"/>
      <c r="AA515" s="1891"/>
      <c r="AB515" s="423"/>
      <c r="AC515" s="423"/>
      <c r="AD515" s="423"/>
      <c r="AE515" s="423"/>
      <c r="AF515" s="423"/>
      <c r="AG515" s="423"/>
      <c r="AH515" s="423"/>
      <c r="AI515" s="423"/>
      <c r="AJ515" s="423"/>
      <c r="AK515" s="423"/>
      <c r="AL515" s="423"/>
      <c r="AM515" s="423"/>
      <c r="AN515" s="423"/>
      <c r="AO515" s="423"/>
      <c r="AP515" s="423"/>
      <c r="AQ515" s="423"/>
      <c r="AR515" s="423"/>
      <c r="AS515" s="423"/>
      <c r="AT515" s="423"/>
      <c r="AU515" s="423"/>
      <c r="AV515" s="423"/>
      <c r="AW515" s="423"/>
      <c r="AX515" s="423"/>
      <c r="AY515" s="424"/>
    </row>
    <row r="516" spans="2:51" ht="18" customHeight="1">
      <c r="B516" s="1942"/>
      <c r="C516" s="1907" t="s">
        <v>618</v>
      </c>
      <c r="D516" s="1899" t="s">
        <v>318</v>
      </c>
      <c r="E516" s="1900"/>
      <c r="F516" s="1900" t="s">
        <v>319</v>
      </c>
      <c r="G516" s="1900"/>
      <c r="H516" s="1900" t="s">
        <v>320</v>
      </c>
      <c r="I516" s="1901"/>
      <c r="J516" s="1898" t="s">
        <v>318</v>
      </c>
      <c r="K516" s="1900"/>
      <c r="L516" s="1900" t="s">
        <v>319</v>
      </c>
      <c r="M516" s="1900"/>
      <c r="N516" s="1900" t="s">
        <v>320</v>
      </c>
      <c r="O516" s="1902"/>
      <c r="P516" s="1899" t="s">
        <v>318</v>
      </c>
      <c r="Q516" s="1900"/>
      <c r="R516" s="1900" t="s">
        <v>319</v>
      </c>
      <c r="S516" s="1900"/>
      <c r="T516" s="1900" t="s">
        <v>320</v>
      </c>
      <c r="U516" s="1901"/>
      <c r="V516" s="1898" t="s">
        <v>318</v>
      </c>
      <c r="W516" s="1900"/>
      <c r="X516" s="1900" t="s">
        <v>319</v>
      </c>
      <c r="Y516" s="1900"/>
      <c r="Z516" s="1900" t="s">
        <v>320</v>
      </c>
      <c r="AA516" s="1902"/>
      <c r="AB516" s="612" t="s">
        <v>5631</v>
      </c>
      <c r="AC516" s="425"/>
      <c r="AD516" s="425"/>
      <c r="AE516" s="425"/>
      <c r="AF516" s="425"/>
      <c r="AG516" s="425"/>
      <c r="AH516" s="425"/>
      <c r="AI516" s="425"/>
      <c r="AJ516" s="425"/>
      <c r="AK516" s="425"/>
      <c r="AL516" s="425"/>
      <c r="AM516" s="425"/>
      <c r="AN516" s="425"/>
      <c r="AO516" s="425"/>
      <c r="AP516" s="425"/>
      <c r="AQ516" s="425"/>
      <c r="AR516" s="425"/>
      <c r="AS516" s="425"/>
      <c r="AT516" s="425"/>
      <c r="AU516" s="425"/>
      <c r="AV516" s="425"/>
      <c r="AW516" s="425"/>
      <c r="AX516" s="425"/>
      <c r="AY516" s="426"/>
    </row>
    <row r="517" spans="2:51" ht="18" customHeight="1">
      <c r="B517" s="1945" t="str">
        <f>+$B$6</f>
        <v>戸建形式住宅</v>
      </c>
      <c r="C517" s="588" t="s">
        <v>23</v>
      </c>
      <c r="D517" s="431" t="s">
        <v>857</v>
      </c>
      <c r="E517" s="432" t="s">
        <v>857</v>
      </c>
      <c r="F517" s="432" t="s">
        <v>857</v>
      </c>
      <c r="G517" s="432" t="s">
        <v>857</v>
      </c>
      <c r="H517" s="432" t="s">
        <v>857</v>
      </c>
      <c r="I517" s="433" t="s">
        <v>857</v>
      </c>
      <c r="J517" s="431" t="s">
        <v>857</v>
      </c>
      <c r="K517" s="432" t="s">
        <v>857</v>
      </c>
      <c r="L517" s="432" t="s">
        <v>857</v>
      </c>
      <c r="M517" s="432" t="s">
        <v>857</v>
      </c>
      <c r="N517" s="432" t="s">
        <v>857</v>
      </c>
      <c r="O517" s="433" t="s">
        <v>857</v>
      </c>
      <c r="P517" s="431" t="s">
        <v>857</v>
      </c>
      <c r="Q517" s="432" t="s">
        <v>857</v>
      </c>
      <c r="R517" s="432" t="s">
        <v>857</v>
      </c>
      <c r="S517" s="432" t="s">
        <v>857</v>
      </c>
      <c r="T517" s="432" t="s">
        <v>857</v>
      </c>
      <c r="U517" s="433" t="s">
        <v>857</v>
      </c>
      <c r="V517" s="431" t="s">
        <v>857</v>
      </c>
      <c r="W517" s="432" t="s">
        <v>857</v>
      </c>
      <c r="X517" s="432" t="s">
        <v>857</v>
      </c>
      <c r="Y517" s="432" t="s">
        <v>857</v>
      </c>
      <c r="Z517" s="432" t="s">
        <v>857</v>
      </c>
      <c r="AA517" s="433" t="s">
        <v>857</v>
      </c>
      <c r="AB517" s="425"/>
      <c r="AC517" s="425"/>
      <c r="AD517" s="425"/>
      <c r="AE517" s="425"/>
      <c r="AF517" s="425"/>
      <c r="AG517" s="425"/>
      <c r="AH517" s="425"/>
      <c r="AI517" s="425"/>
      <c r="AJ517" s="425"/>
      <c r="AK517" s="425"/>
      <c r="AL517" s="425"/>
      <c r="AM517" s="425"/>
      <c r="AN517" s="425"/>
      <c r="AO517" s="425"/>
      <c r="AP517" s="425"/>
      <c r="AQ517" s="425"/>
      <c r="AR517" s="425"/>
      <c r="AS517" s="425"/>
      <c r="AT517" s="425"/>
      <c r="AU517" s="425"/>
      <c r="AV517" s="425"/>
      <c r="AW517" s="425"/>
      <c r="AX517" s="425"/>
      <c r="AY517" s="426"/>
    </row>
    <row r="518" spans="2:51" ht="18" customHeight="1">
      <c r="B518" s="1946" t="str">
        <f>+$B$7</f>
        <v>集合形式住宅</v>
      </c>
      <c r="C518" s="1205">
        <f>C519</f>
        <v>653700</v>
      </c>
      <c r="D518" s="1355">
        <f>D519</f>
        <v>500</v>
      </c>
      <c r="E518" s="1207">
        <f>E519</f>
        <v>1.2</v>
      </c>
      <c r="F518" s="1355">
        <f t="shared" ref="F518" si="123">F519</f>
        <v>200</v>
      </c>
      <c r="G518" s="1207">
        <f t="shared" ref="G518" si="124">G519</f>
        <v>1</v>
      </c>
      <c r="H518" s="1355">
        <f t="shared" ref="H518" si="125">H519</f>
        <v>50</v>
      </c>
      <c r="I518" s="1243">
        <f t="shared" ref="I518" si="126">I519</f>
        <v>0.85</v>
      </c>
      <c r="J518" s="1353">
        <f>J519</f>
        <v>5</v>
      </c>
      <c r="K518" s="1207">
        <f>K519</f>
        <v>1.4</v>
      </c>
      <c r="L518" s="1355">
        <f t="shared" ref="L518" si="127">L519</f>
        <v>2</v>
      </c>
      <c r="M518" s="1207">
        <f t="shared" ref="M518" si="128">M519</f>
        <v>1</v>
      </c>
      <c r="N518" s="1355" t="str">
        <f t="shared" ref="N518" si="129">N519</f>
        <v>-</v>
      </c>
      <c r="O518" s="1210" t="str">
        <f t="shared" ref="O518" si="130">O519</f>
        <v>-</v>
      </c>
      <c r="P518" s="1353" t="str">
        <f>P519</f>
        <v>-</v>
      </c>
      <c r="Q518" s="1207" t="str">
        <f>Q519</f>
        <v>-</v>
      </c>
      <c r="R518" s="1355">
        <f t="shared" ref="R518" si="131">R519</f>
        <v>30</v>
      </c>
      <c r="S518" s="1207">
        <f t="shared" ref="S518" si="132">S519</f>
        <v>1</v>
      </c>
      <c r="T518" s="1355">
        <f t="shared" ref="T518" si="133">T519</f>
        <v>25</v>
      </c>
      <c r="U518" s="1210">
        <f t="shared" ref="U518" si="134">U519</f>
        <v>0.95</v>
      </c>
      <c r="V518" s="1209" t="str">
        <f>V519</f>
        <v>ｽﾃﾝﾚｽ製</v>
      </c>
      <c r="W518" s="1207">
        <f>W519</f>
        <v>1.3</v>
      </c>
      <c r="X518" s="1207" t="str">
        <f t="shared" ref="X518" si="135">X519</f>
        <v>鉄板製</v>
      </c>
      <c r="Y518" s="1207">
        <f t="shared" ref="Y518" si="136">Y519</f>
        <v>1</v>
      </c>
      <c r="Z518" s="1207" t="str">
        <f t="shared" ref="Z518" si="137">Z519</f>
        <v>内部木製</v>
      </c>
      <c r="AA518" s="1210">
        <f t="shared" ref="AA518" si="138">AA519</f>
        <v>0.8</v>
      </c>
      <c r="AB518" s="425"/>
      <c r="AC518" s="425"/>
      <c r="AD518" s="425"/>
      <c r="AE518" s="425"/>
      <c r="AF518" s="425"/>
      <c r="AG518" s="425"/>
      <c r="AH518" s="425"/>
      <c r="AI518" s="425"/>
      <c r="AJ518" s="425"/>
      <c r="AK518" s="425"/>
      <c r="AL518" s="425"/>
      <c r="AM518" s="425"/>
      <c r="AN518" s="425"/>
      <c r="AO518" s="425"/>
      <c r="AP518" s="425"/>
      <c r="AQ518" s="425"/>
      <c r="AR518" s="425"/>
      <c r="AS518" s="425"/>
      <c r="AT518" s="425"/>
      <c r="AU518" s="425"/>
      <c r="AV518" s="425"/>
      <c r="AW518" s="425"/>
      <c r="AX518" s="425"/>
      <c r="AY518" s="426"/>
    </row>
    <row r="519" spans="2:51" ht="18" customHeight="1">
      <c r="B519" s="1946" t="str">
        <f>+$B$8</f>
        <v>事務所・店舗</v>
      </c>
      <c r="C519" s="430">
        <v>653700</v>
      </c>
      <c r="D519" s="1201">
        <v>500</v>
      </c>
      <c r="E519" s="432">
        <v>1.2</v>
      </c>
      <c r="F519" s="1202">
        <v>200</v>
      </c>
      <c r="G519" s="432">
        <v>1</v>
      </c>
      <c r="H519" s="1202">
        <v>50</v>
      </c>
      <c r="I519" s="436">
        <v>0.85</v>
      </c>
      <c r="J519" s="1262">
        <v>5</v>
      </c>
      <c r="K519" s="432">
        <v>1.4</v>
      </c>
      <c r="L519" s="1202">
        <v>2</v>
      </c>
      <c r="M519" s="432">
        <v>1</v>
      </c>
      <c r="N519" s="1202" t="s">
        <v>1051</v>
      </c>
      <c r="O519" s="433" t="s">
        <v>1051</v>
      </c>
      <c r="P519" s="1201" t="s">
        <v>1051</v>
      </c>
      <c r="Q519" s="432" t="s">
        <v>1051</v>
      </c>
      <c r="R519" s="1202">
        <v>30</v>
      </c>
      <c r="S519" s="432">
        <v>1</v>
      </c>
      <c r="T519" s="1202">
        <v>25</v>
      </c>
      <c r="U519" s="436">
        <v>0.95</v>
      </c>
      <c r="V519" s="437" t="s">
        <v>619</v>
      </c>
      <c r="W519" s="432">
        <v>1.3</v>
      </c>
      <c r="X519" s="432" t="s">
        <v>620</v>
      </c>
      <c r="Y519" s="432">
        <v>1</v>
      </c>
      <c r="Z519" s="432" t="s">
        <v>621</v>
      </c>
      <c r="AA519" s="433">
        <v>0.8</v>
      </c>
      <c r="AB519" s="425"/>
      <c r="AC519" s="425"/>
      <c r="AD519" s="425"/>
      <c r="AE519" s="425"/>
      <c r="AF519" s="425"/>
      <c r="AG519" s="425"/>
      <c r="AH519" s="425"/>
      <c r="AI519" s="425"/>
      <c r="AJ519" s="425"/>
      <c r="AK519" s="425"/>
      <c r="AL519" s="425"/>
      <c r="AM519" s="425"/>
      <c r="AN519" s="425"/>
      <c r="AO519" s="425"/>
      <c r="AP519" s="425"/>
      <c r="AQ519" s="425"/>
      <c r="AR519" s="425"/>
      <c r="AS519" s="425"/>
      <c r="AT519" s="425"/>
      <c r="AU519" s="425"/>
      <c r="AV519" s="425"/>
      <c r="AW519" s="425"/>
      <c r="AX519" s="425"/>
      <c r="AY519" s="426"/>
    </row>
    <row r="520" spans="2:51" ht="18" customHeight="1">
      <c r="B520" s="1946" t="str">
        <f>+$B$9</f>
        <v>病院・ホテル</v>
      </c>
      <c r="C520" s="430">
        <v>653700</v>
      </c>
      <c r="D520" s="1201">
        <v>500</v>
      </c>
      <c r="E520" s="432">
        <v>1.2</v>
      </c>
      <c r="F520" s="1202">
        <v>200</v>
      </c>
      <c r="G520" s="432">
        <v>1</v>
      </c>
      <c r="H520" s="1202">
        <v>50</v>
      </c>
      <c r="I520" s="436">
        <v>0.85</v>
      </c>
      <c r="J520" s="1262">
        <v>5</v>
      </c>
      <c r="K520" s="432">
        <v>1.4</v>
      </c>
      <c r="L520" s="1202">
        <v>2</v>
      </c>
      <c r="M520" s="432">
        <v>1</v>
      </c>
      <c r="N520" s="1202" t="s">
        <v>1051</v>
      </c>
      <c r="O520" s="433" t="s">
        <v>1051</v>
      </c>
      <c r="P520" s="1201" t="s">
        <v>1051</v>
      </c>
      <c r="Q520" s="432" t="s">
        <v>1051</v>
      </c>
      <c r="R520" s="1202">
        <v>30</v>
      </c>
      <c r="S520" s="432">
        <v>1</v>
      </c>
      <c r="T520" s="1202">
        <v>25</v>
      </c>
      <c r="U520" s="436">
        <v>0.95</v>
      </c>
      <c r="V520" s="437" t="s">
        <v>619</v>
      </c>
      <c r="W520" s="432">
        <v>1.3</v>
      </c>
      <c r="X520" s="432" t="s">
        <v>620</v>
      </c>
      <c r="Y520" s="432">
        <v>1</v>
      </c>
      <c r="Z520" s="432" t="s">
        <v>621</v>
      </c>
      <c r="AA520" s="433">
        <v>0.8</v>
      </c>
      <c r="AB520" s="425"/>
      <c r="AC520" s="425"/>
      <c r="AD520" s="425"/>
      <c r="AE520" s="425"/>
      <c r="AF520" s="425"/>
      <c r="AG520" s="425"/>
      <c r="AH520" s="425"/>
      <c r="AI520" s="425"/>
      <c r="AJ520" s="425"/>
      <c r="AK520" s="425"/>
      <c r="AL520" s="425"/>
      <c r="AM520" s="425"/>
      <c r="AN520" s="425"/>
      <c r="AO520" s="425"/>
      <c r="AP520" s="425"/>
      <c r="AQ520" s="425"/>
      <c r="AR520" s="425"/>
      <c r="AS520" s="425"/>
      <c r="AT520" s="425"/>
      <c r="AU520" s="425"/>
      <c r="AV520" s="425"/>
      <c r="AW520" s="425"/>
      <c r="AX520" s="425"/>
      <c r="AY520" s="426"/>
    </row>
    <row r="521" spans="2:51" ht="18" customHeight="1">
      <c r="B521" s="1947" t="str">
        <f>+$B$10</f>
        <v>工場・倉庫</v>
      </c>
      <c r="C521" s="1308">
        <f>C519</f>
        <v>653700</v>
      </c>
      <c r="D521" s="1377">
        <f>D519</f>
        <v>500</v>
      </c>
      <c r="E521" s="1213">
        <f>E519</f>
        <v>1.2</v>
      </c>
      <c r="F521" s="1377">
        <f t="shared" ref="F521:I521" si="139">F519</f>
        <v>200</v>
      </c>
      <c r="G521" s="1213">
        <f t="shared" si="139"/>
        <v>1</v>
      </c>
      <c r="H521" s="1377">
        <f t="shared" si="139"/>
        <v>50</v>
      </c>
      <c r="I521" s="1380">
        <f t="shared" si="139"/>
        <v>0.85</v>
      </c>
      <c r="J521" s="1338">
        <f>J519</f>
        <v>5</v>
      </c>
      <c r="K521" s="1215">
        <f>K519</f>
        <v>1.4</v>
      </c>
      <c r="L521" s="1381">
        <f t="shared" ref="L521:O521" si="140">L519</f>
        <v>2</v>
      </c>
      <c r="M521" s="1215">
        <f t="shared" si="140"/>
        <v>1</v>
      </c>
      <c r="N521" s="1381" t="str">
        <f t="shared" si="140"/>
        <v>-</v>
      </c>
      <c r="O521" s="1315" t="str">
        <f t="shared" si="140"/>
        <v>-</v>
      </c>
      <c r="P521" s="1377" t="s">
        <v>1051</v>
      </c>
      <c r="Q521" s="1213" t="s">
        <v>1051</v>
      </c>
      <c r="R521" s="1341">
        <v>30</v>
      </c>
      <c r="S521" s="1213">
        <v>1</v>
      </c>
      <c r="T521" s="1341">
        <v>25</v>
      </c>
      <c r="U521" s="1380">
        <v>0.95</v>
      </c>
      <c r="V521" s="1342" t="str">
        <f>V519</f>
        <v>ｽﾃﾝﾚｽ製</v>
      </c>
      <c r="W521" s="1215">
        <f>W519</f>
        <v>1.3</v>
      </c>
      <c r="X521" s="1215" t="str">
        <f t="shared" ref="X521:AA521" si="141">X519</f>
        <v>鉄板製</v>
      </c>
      <c r="Y521" s="1215">
        <f t="shared" si="141"/>
        <v>1</v>
      </c>
      <c r="Z521" s="1215" t="str">
        <f t="shared" si="141"/>
        <v>内部木製</v>
      </c>
      <c r="AA521" s="1315">
        <f t="shared" si="141"/>
        <v>0.8</v>
      </c>
      <c r="AB521" s="425"/>
      <c r="AC521" s="425"/>
      <c r="AD521" s="425"/>
      <c r="AE521" s="425"/>
      <c r="AF521" s="425"/>
      <c r="AG521" s="425"/>
      <c r="AH521" s="425"/>
      <c r="AI521" s="425"/>
      <c r="AJ521" s="425"/>
      <c r="AK521" s="425"/>
      <c r="AL521" s="425"/>
      <c r="AM521" s="425"/>
      <c r="AN521" s="425"/>
      <c r="AO521" s="425"/>
      <c r="AP521" s="425"/>
      <c r="AQ521" s="425"/>
      <c r="AR521" s="425"/>
      <c r="AS521" s="425"/>
      <c r="AT521" s="425"/>
      <c r="AU521" s="425"/>
      <c r="AV521" s="425"/>
      <c r="AW521" s="425"/>
      <c r="AX521" s="425"/>
      <c r="AY521" s="426"/>
    </row>
    <row r="522" spans="2:51" ht="18" customHeight="1">
      <c r="B522" s="1941" t="s">
        <v>311</v>
      </c>
      <c r="C522" s="1928" t="s">
        <v>1164</v>
      </c>
      <c r="D522" s="1932" t="s">
        <v>1168</v>
      </c>
      <c r="E522" s="1889"/>
      <c r="F522" s="1889"/>
      <c r="G522" s="1889"/>
      <c r="H522" s="1889"/>
      <c r="I522" s="1890"/>
      <c r="J522" s="1914" t="s">
        <v>1169</v>
      </c>
      <c r="K522" s="1889"/>
      <c r="L522" s="1889"/>
      <c r="M522" s="1889"/>
      <c r="N522" s="1889"/>
      <c r="O522" s="1891"/>
      <c r="P522" s="553"/>
      <c r="Q522" s="545"/>
      <c r="R522" s="545"/>
      <c r="S522" s="545"/>
      <c r="T522" s="545"/>
      <c r="U522" s="545"/>
      <c r="V522" s="543"/>
      <c r="W522" s="423"/>
      <c r="X522" s="423"/>
      <c r="Y522" s="423"/>
      <c r="Z522" s="423"/>
      <c r="AA522" s="423"/>
      <c r="AB522" s="423"/>
      <c r="AC522" s="423"/>
      <c r="AD522" s="423"/>
      <c r="AE522" s="423"/>
      <c r="AF522" s="423"/>
      <c r="AG522" s="423"/>
      <c r="AH522" s="423"/>
      <c r="AI522" s="423"/>
      <c r="AJ522" s="423"/>
      <c r="AK522" s="423"/>
      <c r="AL522" s="423"/>
      <c r="AM522" s="423"/>
      <c r="AN522" s="423"/>
      <c r="AO522" s="423"/>
      <c r="AP522" s="423"/>
      <c r="AQ522" s="423"/>
      <c r="AR522" s="423"/>
      <c r="AS522" s="423"/>
      <c r="AT522" s="423"/>
      <c r="AU522" s="423"/>
      <c r="AV522" s="423"/>
      <c r="AW522" s="423"/>
      <c r="AX522" s="423"/>
      <c r="AY522" s="424"/>
    </row>
    <row r="523" spans="2:51" ht="18" customHeight="1">
      <c r="B523" s="1942"/>
      <c r="C523" s="1907" t="s">
        <v>1166</v>
      </c>
      <c r="D523" s="1899" t="s">
        <v>318</v>
      </c>
      <c r="E523" s="1900"/>
      <c r="F523" s="1900" t="s">
        <v>319</v>
      </c>
      <c r="G523" s="1900"/>
      <c r="H523" s="1900" t="s">
        <v>320</v>
      </c>
      <c r="I523" s="1901"/>
      <c r="J523" s="1898" t="s">
        <v>318</v>
      </c>
      <c r="K523" s="1900"/>
      <c r="L523" s="1900" t="s">
        <v>319</v>
      </c>
      <c r="M523" s="1900"/>
      <c r="N523" s="1900" t="s">
        <v>320</v>
      </c>
      <c r="O523" s="1902"/>
      <c r="P523" s="612" t="s">
        <v>5631</v>
      </c>
      <c r="Q523" s="547"/>
      <c r="R523" s="547"/>
      <c r="S523" s="547"/>
      <c r="T523" s="547"/>
      <c r="U523" s="547"/>
      <c r="V523" s="422"/>
      <c r="W523" s="425"/>
      <c r="X523" s="425"/>
      <c r="Y523" s="425"/>
      <c r="Z523" s="425"/>
      <c r="AA523" s="425"/>
      <c r="AB523" s="425"/>
      <c r="AC523" s="425"/>
      <c r="AD523" s="425"/>
      <c r="AE523" s="425"/>
      <c r="AF523" s="425"/>
      <c r="AG523" s="425"/>
      <c r="AH523" s="425"/>
      <c r="AI523" s="425"/>
      <c r="AJ523" s="425"/>
      <c r="AK523" s="425"/>
      <c r="AL523" s="425"/>
      <c r="AM523" s="425"/>
      <c r="AN523" s="425"/>
      <c r="AO523" s="425"/>
      <c r="AP523" s="425"/>
      <c r="AQ523" s="425"/>
      <c r="AR523" s="425"/>
      <c r="AS523" s="425"/>
      <c r="AT523" s="425"/>
      <c r="AU523" s="425"/>
      <c r="AV523" s="425"/>
      <c r="AW523" s="425"/>
      <c r="AX523" s="425"/>
      <c r="AY523" s="426"/>
    </row>
    <row r="524" spans="2:51" ht="18" customHeight="1">
      <c r="B524" s="1945" t="str">
        <f>+$B$6</f>
        <v>戸建形式住宅</v>
      </c>
      <c r="C524" s="588" t="s">
        <v>23</v>
      </c>
      <c r="D524" s="431" t="s">
        <v>857</v>
      </c>
      <c r="E524" s="432" t="s">
        <v>857</v>
      </c>
      <c r="F524" s="432" t="s">
        <v>857</v>
      </c>
      <c r="G524" s="432" t="s">
        <v>857</v>
      </c>
      <c r="H524" s="432" t="s">
        <v>857</v>
      </c>
      <c r="I524" s="433" t="s">
        <v>857</v>
      </c>
      <c r="J524" s="431" t="s">
        <v>857</v>
      </c>
      <c r="K524" s="432" t="s">
        <v>857</v>
      </c>
      <c r="L524" s="432" t="s">
        <v>857</v>
      </c>
      <c r="M524" s="432" t="s">
        <v>857</v>
      </c>
      <c r="N524" s="432" t="s">
        <v>857</v>
      </c>
      <c r="O524" s="433" t="s">
        <v>857</v>
      </c>
      <c r="P524" s="554"/>
      <c r="Q524" s="549"/>
      <c r="R524" s="549"/>
      <c r="S524" s="549"/>
      <c r="T524" s="549"/>
      <c r="U524" s="549"/>
      <c r="V524" s="422"/>
      <c r="W524" s="425"/>
      <c r="X524" s="425"/>
      <c r="Y524" s="425"/>
      <c r="Z524" s="425"/>
      <c r="AA524" s="425"/>
      <c r="AB524" s="425"/>
      <c r="AC524" s="425"/>
      <c r="AD524" s="425"/>
      <c r="AE524" s="425"/>
      <c r="AF524" s="425"/>
      <c r="AG524" s="425"/>
      <c r="AH524" s="425"/>
      <c r="AI524" s="425"/>
      <c r="AJ524" s="425"/>
      <c r="AK524" s="425"/>
      <c r="AL524" s="425"/>
      <c r="AM524" s="425"/>
      <c r="AN524" s="425"/>
      <c r="AO524" s="425"/>
      <c r="AP524" s="425"/>
      <c r="AQ524" s="425"/>
      <c r="AR524" s="425"/>
      <c r="AS524" s="425"/>
      <c r="AT524" s="425"/>
      <c r="AU524" s="425"/>
      <c r="AV524" s="425"/>
      <c r="AW524" s="425"/>
      <c r="AX524" s="425"/>
      <c r="AY524" s="426"/>
    </row>
    <row r="525" spans="2:51" ht="18" customHeight="1">
      <c r="B525" s="1946" t="str">
        <f>+$B$7</f>
        <v>集合形式住宅</v>
      </c>
      <c r="C525" s="1205">
        <f>C526</f>
        <v>9049980</v>
      </c>
      <c r="D525" s="1355" t="str">
        <f>D526</f>
        <v>欄干透明</v>
      </c>
      <c r="E525" s="1207">
        <f>E526</f>
        <v>1.05</v>
      </c>
      <c r="F525" s="1355" t="str">
        <f t="shared" ref="F525" si="142">F526</f>
        <v>欄干ｽﾃﾝﾚｽ</v>
      </c>
      <c r="G525" s="1207">
        <f t="shared" ref="G525" si="143">G526</f>
        <v>1</v>
      </c>
      <c r="H525" s="1355" t="str">
        <f t="shared" ref="H525" si="144">H526</f>
        <v>-</v>
      </c>
      <c r="I525" s="1243" t="str">
        <f t="shared" ref="I525" si="145">I526</f>
        <v>-</v>
      </c>
      <c r="J525" s="1353">
        <f>J526</f>
        <v>5</v>
      </c>
      <c r="K525" s="1207">
        <f>K526</f>
        <v>1.1000000000000001</v>
      </c>
      <c r="L525" s="1355">
        <f t="shared" ref="L525" si="146">L526</f>
        <v>4</v>
      </c>
      <c r="M525" s="1207">
        <f t="shared" ref="M525" si="147">M526</f>
        <v>1</v>
      </c>
      <c r="N525" s="1355">
        <f t="shared" ref="N525" si="148">N526</f>
        <v>3</v>
      </c>
      <c r="O525" s="1210">
        <f t="shared" ref="O525" si="149">O526</f>
        <v>0.9</v>
      </c>
      <c r="P525" s="554"/>
      <c r="Q525" s="549"/>
      <c r="R525" s="549"/>
      <c r="S525" s="549"/>
      <c r="T525" s="549"/>
      <c r="U525" s="549"/>
      <c r="V525" s="422"/>
      <c r="W525" s="425"/>
      <c r="X525" s="425"/>
      <c r="Y525" s="425"/>
      <c r="Z525" s="425"/>
      <c r="AA525" s="425"/>
      <c r="AB525" s="425"/>
      <c r="AC525" s="425"/>
      <c r="AD525" s="425"/>
      <c r="AE525" s="425"/>
      <c r="AF525" s="425"/>
      <c r="AG525" s="425"/>
      <c r="AH525" s="425"/>
      <c r="AI525" s="425"/>
      <c r="AJ525" s="425"/>
      <c r="AK525" s="425"/>
      <c r="AL525" s="425"/>
      <c r="AM525" s="425"/>
      <c r="AN525" s="425"/>
      <c r="AO525" s="425"/>
      <c r="AP525" s="425"/>
      <c r="AQ525" s="425"/>
      <c r="AR525" s="425"/>
      <c r="AS525" s="425"/>
      <c r="AT525" s="425"/>
      <c r="AU525" s="425"/>
      <c r="AV525" s="425"/>
      <c r="AW525" s="425"/>
      <c r="AX525" s="425"/>
      <c r="AY525" s="426"/>
    </row>
    <row r="526" spans="2:51" ht="18" customHeight="1">
      <c r="B526" s="1946" t="str">
        <f>+$B$8</f>
        <v>事務所・店舗</v>
      </c>
      <c r="C526" s="430">
        <v>9049980</v>
      </c>
      <c r="D526" s="431" t="s">
        <v>622</v>
      </c>
      <c r="E526" s="432">
        <v>1.05</v>
      </c>
      <c r="F526" s="432" t="s">
        <v>623</v>
      </c>
      <c r="G526" s="432">
        <v>1</v>
      </c>
      <c r="H526" s="432" t="s">
        <v>1051</v>
      </c>
      <c r="I526" s="436" t="s">
        <v>1051</v>
      </c>
      <c r="J526" s="434">
        <v>5</v>
      </c>
      <c r="K526" s="432">
        <v>1.1000000000000001</v>
      </c>
      <c r="L526" s="435">
        <v>4</v>
      </c>
      <c r="M526" s="432">
        <v>1</v>
      </c>
      <c r="N526" s="435">
        <v>3</v>
      </c>
      <c r="O526" s="433">
        <v>0.9</v>
      </c>
      <c r="P526" s="554"/>
      <c r="Q526" s="549"/>
      <c r="R526" s="549"/>
      <c r="S526" s="549"/>
      <c r="T526" s="549"/>
      <c r="U526" s="549"/>
      <c r="V526" s="422"/>
      <c r="W526" s="425"/>
      <c r="X526" s="425"/>
      <c r="Y526" s="425"/>
      <c r="Z526" s="425"/>
      <c r="AA526" s="425"/>
      <c r="AB526" s="425"/>
      <c r="AC526" s="425"/>
      <c r="AD526" s="425"/>
      <c r="AE526" s="425"/>
      <c r="AF526" s="425"/>
      <c r="AG526" s="425"/>
      <c r="AH526" s="425"/>
      <c r="AI526" s="425"/>
      <c r="AJ526" s="425"/>
      <c r="AK526" s="425"/>
      <c r="AL526" s="425"/>
      <c r="AM526" s="425"/>
      <c r="AN526" s="425"/>
      <c r="AO526" s="425"/>
      <c r="AP526" s="425"/>
      <c r="AQ526" s="425"/>
      <c r="AR526" s="425"/>
      <c r="AS526" s="425"/>
      <c r="AT526" s="425"/>
      <c r="AU526" s="425"/>
      <c r="AV526" s="425"/>
      <c r="AW526" s="425"/>
      <c r="AX526" s="425"/>
      <c r="AY526" s="426"/>
    </row>
    <row r="527" spans="2:51" ht="18" customHeight="1">
      <c r="B527" s="1946" t="str">
        <f>+$B$9</f>
        <v>病院・ホテル</v>
      </c>
      <c r="C527" s="430">
        <v>9049980</v>
      </c>
      <c r="D527" s="431" t="s">
        <v>622</v>
      </c>
      <c r="E527" s="432">
        <v>1.05</v>
      </c>
      <c r="F527" s="432" t="s">
        <v>623</v>
      </c>
      <c r="G527" s="432">
        <v>1</v>
      </c>
      <c r="H527" s="432" t="s">
        <v>1051</v>
      </c>
      <c r="I527" s="436" t="s">
        <v>1051</v>
      </c>
      <c r="J527" s="434">
        <v>5</v>
      </c>
      <c r="K527" s="432">
        <v>1.1000000000000001</v>
      </c>
      <c r="L527" s="435">
        <v>4</v>
      </c>
      <c r="M527" s="432">
        <v>1</v>
      </c>
      <c r="N527" s="435">
        <v>3</v>
      </c>
      <c r="O527" s="433">
        <v>0.9</v>
      </c>
      <c r="P527" s="554"/>
      <c r="Q527" s="549"/>
      <c r="R527" s="549"/>
      <c r="S527" s="549"/>
      <c r="T527" s="549"/>
      <c r="U527" s="549"/>
      <c r="V527" s="422"/>
      <c r="W527" s="425"/>
      <c r="X527" s="425"/>
      <c r="Y527" s="425"/>
      <c r="Z527" s="425"/>
      <c r="AA527" s="425"/>
      <c r="AB527" s="425"/>
      <c r="AC527" s="425"/>
      <c r="AD527" s="425"/>
      <c r="AE527" s="425"/>
      <c r="AF527" s="425"/>
      <c r="AG527" s="425"/>
      <c r="AH527" s="425"/>
      <c r="AI527" s="425"/>
      <c r="AJ527" s="425"/>
      <c r="AK527" s="425"/>
      <c r="AL527" s="425"/>
      <c r="AM527" s="425"/>
      <c r="AN527" s="425"/>
      <c r="AO527" s="425"/>
      <c r="AP527" s="425"/>
      <c r="AQ527" s="425"/>
      <c r="AR527" s="425"/>
      <c r="AS527" s="425"/>
      <c r="AT527" s="425"/>
      <c r="AU527" s="425"/>
      <c r="AV527" s="425"/>
      <c r="AW527" s="425"/>
      <c r="AX527" s="425"/>
      <c r="AY527" s="426"/>
    </row>
    <row r="528" spans="2:51" ht="18" customHeight="1">
      <c r="B528" s="1947" t="str">
        <f>+$B$10</f>
        <v>工場・倉庫</v>
      </c>
      <c r="C528" s="1308">
        <f>C526</f>
        <v>9049980</v>
      </c>
      <c r="D528" s="1377" t="str">
        <f>D526</f>
        <v>欄干透明</v>
      </c>
      <c r="E528" s="1213">
        <f>E526</f>
        <v>1.05</v>
      </c>
      <c r="F528" s="1377" t="str">
        <f t="shared" ref="F528:I528" si="150">F526</f>
        <v>欄干ｽﾃﾝﾚｽ</v>
      </c>
      <c r="G528" s="1213">
        <f t="shared" si="150"/>
        <v>1</v>
      </c>
      <c r="H528" s="1377" t="str">
        <f t="shared" si="150"/>
        <v>-</v>
      </c>
      <c r="I528" s="1380" t="str">
        <f t="shared" si="150"/>
        <v>-</v>
      </c>
      <c r="J528" s="1338">
        <f>J526</f>
        <v>5</v>
      </c>
      <c r="K528" s="1215">
        <f>K526</f>
        <v>1.1000000000000001</v>
      </c>
      <c r="L528" s="1381">
        <f t="shared" ref="L528:O528" si="151">L526</f>
        <v>4</v>
      </c>
      <c r="M528" s="1215">
        <f t="shared" si="151"/>
        <v>1</v>
      </c>
      <c r="N528" s="1381">
        <f t="shared" si="151"/>
        <v>3</v>
      </c>
      <c r="O528" s="1315">
        <f t="shared" si="151"/>
        <v>0.9</v>
      </c>
      <c r="P528" s="554"/>
      <c r="Q528" s="549"/>
      <c r="R528" s="549"/>
      <c r="S528" s="549"/>
      <c r="T528" s="549"/>
      <c r="U528" s="549"/>
      <c r="V528" s="422"/>
      <c r="W528" s="425"/>
      <c r="X528" s="425"/>
      <c r="Y528" s="425"/>
      <c r="Z528" s="425"/>
      <c r="AA528" s="425"/>
      <c r="AB528" s="425"/>
      <c r="AC528" s="425"/>
      <c r="AD528" s="425"/>
      <c r="AE528" s="425"/>
      <c r="AF528" s="425"/>
      <c r="AG528" s="425"/>
      <c r="AH528" s="425"/>
      <c r="AI528" s="425"/>
      <c r="AJ528" s="425"/>
      <c r="AK528" s="425"/>
      <c r="AL528" s="425"/>
      <c r="AM528" s="425"/>
      <c r="AN528" s="425"/>
      <c r="AO528" s="425"/>
      <c r="AP528" s="425"/>
      <c r="AQ528" s="425"/>
      <c r="AR528" s="425"/>
      <c r="AS528" s="425"/>
      <c r="AT528" s="425"/>
      <c r="AU528" s="425"/>
      <c r="AV528" s="425"/>
      <c r="AW528" s="425"/>
      <c r="AX528" s="425"/>
      <c r="AY528" s="426"/>
    </row>
    <row r="529" spans="2:51" ht="18" customHeight="1">
      <c r="B529" s="1941" t="s">
        <v>311</v>
      </c>
      <c r="C529" s="1928" t="s">
        <v>1165</v>
      </c>
      <c r="D529" s="1932" t="s">
        <v>1170</v>
      </c>
      <c r="E529" s="1889"/>
      <c r="F529" s="1889"/>
      <c r="G529" s="1889"/>
      <c r="H529" s="1889"/>
      <c r="I529" s="1890"/>
      <c r="J529" s="1914" t="s">
        <v>1171</v>
      </c>
      <c r="K529" s="1889"/>
      <c r="L529" s="1889"/>
      <c r="M529" s="1889"/>
      <c r="N529" s="1889"/>
      <c r="O529" s="1891"/>
      <c r="P529" s="546"/>
      <c r="Q529" s="547"/>
      <c r="R529" s="547"/>
      <c r="S529" s="547"/>
      <c r="T529" s="547"/>
      <c r="U529" s="547"/>
      <c r="V529" s="422"/>
      <c r="W529" s="423"/>
      <c r="X529" s="423"/>
      <c r="Y529" s="423"/>
      <c r="Z529" s="423"/>
      <c r="AA529" s="423"/>
      <c r="AB529" s="423"/>
      <c r="AC529" s="423"/>
      <c r="AD529" s="423"/>
      <c r="AE529" s="423"/>
      <c r="AF529" s="423"/>
      <c r="AG529" s="423"/>
      <c r="AH529" s="423"/>
      <c r="AI529" s="423"/>
      <c r="AJ529" s="423"/>
      <c r="AK529" s="423"/>
      <c r="AL529" s="423"/>
      <c r="AM529" s="423"/>
      <c r="AN529" s="423"/>
      <c r="AO529" s="423"/>
      <c r="AP529" s="423"/>
      <c r="AQ529" s="423"/>
      <c r="AR529" s="423"/>
      <c r="AS529" s="423"/>
      <c r="AT529" s="423"/>
      <c r="AU529" s="423"/>
      <c r="AV529" s="423"/>
      <c r="AW529" s="423"/>
      <c r="AX529" s="423"/>
      <c r="AY529" s="424"/>
    </row>
    <row r="530" spans="2:51" ht="18" customHeight="1">
      <c r="B530" s="1942"/>
      <c r="C530" s="1907" t="s">
        <v>1167</v>
      </c>
      <c r="D530" s="1899" t="s">
        <v>318</v>
      </c>
      <c r="E530" s="1900"/>
      <c r="F530" s="1900" t="s">
        <v>319</v>
      </c>
      <c r="G530" s="1900"/>
      <c r="H530" s="1900" t="s">
        <v>320</v>
      </c>
      <c r="I530" s="1901"/>
      <c r="J530" s="1898" t="s">
        <v>318</v>
      </c>
      <c r="K530" s="1900"/>
      <c r="L530" s="1900" t="s">
        <v>319</v>
      </c>
      <c r="M530" s="1900"/>
      <c r="N530" s="1900" t="s">
        <v>320</v>
      </c>
      <c r="O530" s="1902"/>
      <c r="P530" s="612" t="s">
        <v>5631</v>
      </c>
      <c r="Q530" s="547"/>
      <c r="R530" s="547"/>
      <c r="S530" s="547"/>
      <c r="T530" s="547"/>
      <c r="U530" s="547"/>
      <c r="V530" s="422"/>
      <c r="W530" s="425"/>
      <c r="X530" s="425"/>
      <c r="Y530" s="425"/>
      <c r="Z530" s="425"/>
      <c r="AA530" s="425"/>
      <c r="AB530" s="425"/>
      <c r="AC530" s="425"/>
      <c r="AD530" s="425"/>
      <c r="AE530" s="425"/>
      <c r="AF530" s="425"/>
      <c r="AG530" s="425"/>
      <c r="AH530" s="425"/>
      <c r="AI530" s="425"/>
      <c r="AJ530" s="425"/>
      <c r="AK530" s="425"/>
      <c r="AL530" s="425"/>
      <c r="AM530" s="425"/>
      <c r="AN530" s="425"/>
      <c r="AO530" s="425"/>
      <c r="AP530" s="425"/>
      <c r="AQ530" s="425"/>
      <c r="AR530" s="425"/>
      <c r="AS530" s="425"/>
      <c r="AT530" s="425"/>
      <c r="AU530" s="425"/>
      <c r="AV530" s="425"/>
      <c r="AW530" s="425"/>
      <c r="AX530" s="425"/>
      <c r="AY530" s="426"/>
    </row>
    <row r="531" spans="2:51" ht="18" customHeight="1">
      <c r="B531" s="1945" t="str">
        <f>+$B$6</f>
        <v>戸建形式住宅</v>
      </c>
      <c r="C531" s="588" t="s">
        <v>23</v>
      </c>
      <c r="D531" s="431" t="s">
        <v>857</v>
      </c>
      <c r="E531" s="432" t="s">
        <v>857</v>
      </c>
      <c r="F531" s="432" t="s">
        <v>857</v>
      </c>
      <c r="G531" s="432" t="s">
        <v>857</v>
      </c>
      <c r="H531" s="432" t="s">
        <v>857</v>
      </c>
      <c r="I531" s="433" t="s">
        <v>857</v>
      </c>
      <c r="J531" s="431" t="s">
        <v>857</v>
      </c>
      <c r="K531" s="432" t="s">
        <v>857</v>
      </c>
      <c r="L531" s="432" t="s">
        <v>857</v>
      </c>
      <c r="M531" s="432" t="s">
        <v>857</v>
      </c>
      <c r="N531" s="432" t="s">
        <v>857</v>
      </c>
      <c r="O531" s="433" t="s">
        <v>857</v>
      </c>
      <c r="P531" s="554"/>
      <c r="Q531" s="549"/>
      <c r="R531" s="549"/>
      <c r="S531" s="549"/>
      <c r="T531" s="549"/>
      <c r="U531" s="549"/>
      <c r="V531" s="422"/>
      <c r="W531" s="425"/>
      <c r="X531" s="425"/>
      <c r="Y531" s="425"/>
      <c r="Z531" s="425"/>
      <c r="AA531" s="425"/>
      <c r="AB531" s="425"/>
      <c r="AC531" s="425"/>
      <c r="AD531" s="425"/>
      <c r="AE531" s="425"/>
      <c r="AF531" s="425"/>
      <c r="AG531" s="425"/>
      <c r="AH531" s="425"/>
      <c r="AI531" s="425"/>
      <c r="AJ531" s="425"/>
      <c r="AK531" s="425"/>
      <c r="AL531" s="425"/>
      <c r="AM531" s="425"/>
      <c r="AN531" s="425"/>
      <c r="AO531" s="425"/>
      <c r="AP531" s="425"/>
      <c r="AQ531" s="425"/>
      <c r="AR531" s="425"/>
      <c r="AS531" s="425"/>
      <c r="AT531" s="425"/>
      <c r="AU531" s="425"/>
      <c r="AV531" s="425"/>
      <c r="AW531" s="425"/>
      <c r="AX531" s="425"/>
      <c r="AY531" s="426"/>
    </row>
    <row r="532" spans="2:51" ht="18" customHeight="1">
      <c r="B532" s="1946" t="str">
        <f>+$B$7</f>
        <v>集合形式住宅</v>
      </c>
      <c r="C532" s="1205">
        <f>C533</f>
        <v>13518970</v>
      </c>
      <c r="D532" s="1355" t="str">
        <f>D533</f>
        <v>欄干透明</v>
      </c>
      <c r="E532" s="1207">
        <f>E533</f>
        <v>1.1000000000000001</v>
      </c>
      <c r="F532" s="1355" t="str">
        <f t="shared" ref="F532" si="152">F533</f>
        <v>欄干ｽﾃﾝﾚｽ</v>
      </c>
      <c r="G532" s="1207">
        <f t="shared" ref="G532" si="153">G533</f>
        <v>1</v>
      </c>
      <c r="H532" s="1355" t="str">
        <f t="shared" ref="H532" si="154">H533</f>
        <v>-</v>
      </c>
      <c r="I532" s="1243" t="str">
        <f t="shared" ref="I532" si="155">I533</f>
        <v>-</v>
      </c>
      <c r="J532" s="1353">
        <f>J533</f>
        <v>5</v>
      </c>
      <c r="K532" s="1207">
        <f>K533</f>
        <v>1.08</v>
      </c>
      <c r="L532" s="1355">
        <f t="shared" ref="L532" si="156">L533</f>
        <v>4</v>
      </c>
      <c r="M532" s="1207">
        <f t="shared" ref="M532" si="157">M533</f>
        <v>1</v>
      </c>
      <c r="N532" s="1355">
        <f t="shared" ref="N532" si="158">N533</f>
        <v>3</v>
      </c>
      <c r="O532" s="1210">
        <f t="shared" ref="O532" si="159">O533</f>
        <v>0.92</v>
      </c>
      <c r="P532" s="554"/>
      <c r="Q532" s="549"/>
      <c r="R532" s="549"/>
      <c r="S532" s="549"/>
      <c r="T532" s="549"/>
      <c r="U532" s="549"/>
      <c r="V532" s="422"/>
      <c r="W532" s="425"/>
      <c r="X532" s="425"/>
      <c r="Y532" s="425"/>
      <c r="Z532" s="425"/>
      <c r="AA532" s="425"/>
      <c r="AB532" s="425"/>
      <c r="AC532" s="425"/>
      <c r="AD532" s="425"/>
      <c r="AE532" s="425"/>
      <c r="AF532" s="425"/>
      <c r="AG532" s="425"/>
      <c r="AH532" s="425"/>
      <c r="AI532" s="425"/>
      <c r="AJ532" s="425"/>
      <c r="AK532" s="425"/>
      <c r="AL532" s="425"/>
      <c r="AM532" s="425"/>
      <c r="AN532" s="425"/>
      <c r="AO532" s="425"/>
      <c r="AP532" s="425"/>
      <c r="AQ532" s="425"/>
      <c r="AR532" s="425"/>
      <c r="AS532" s="425"/>
      <c r="AT532" s="425"/>
      <c r="AU532" s="425"/>
      <c r="AV532" s="425"/>
      <c r="AW532" s="425"/>
      <c r="AX532" s="425"/>
      <c r="AY532" s="426"/>
    </row>
    <row r="533" spans="2:51" ht="18" customHeight="1">
      <c r="B533" s="1946" t="str">
        <f>+$B$8</f>
        <v>事務所・店舗</v>
      </c>
      <c r="C533" s="430">
        <v>13518970</v>
      </c>
      <c r="D533" s="431" t="s">
        <v>622</v>
      </c>
      <c r="E533" s="432">
        <v>1.1000000000000001</v>
      </c>
      <c r="F533" s="432" t="s">
        <v>623</v>
      </c>
      <c r="G533" s="432">
        <v>1</v>
      </c>
      <c r="H533" s="432" t="s">
        <v>1051</v>
      </c>
      <c r="I533" s="436" t="s">
        <v>1051</v>
      </c>
      <c r="J533" s="434">
        <v>5</v>
      </c>
      <c r="K533" s="432">
        <v>1.08</v>
      </c>
      <c r="L533" s="435">
        <v>4</v>
      </c>
      <c r="M533" s="432">
        <v>1</v>
      </c>
      <c r="N533" s="435">
        <v>3</v>
      </c>
      <c r="O533" s="433">
        <v>0.92</v>
      </c>
      <c r="P533" s="554"/>
      <c r="Q533" s="549"/>
      <c r="R533" s="549"/>
      <c r="S533" s="549"/>
      <c r="T533" s="549"/>
      <c r="U533" s="549"/>
      <c r="V533" s="422"/>
      <c r="W533" s="425"/>
      <c r="X533" s="425"/>
      <c r="Y533" s="425"/>
      <c r="Z533" s="425"/>
      <c r="AA533" s="425"/>
      <c r="AB533" s="425"/>
      <c r="AC533" s="425"/>
      <c r="AD533" s="425"/>
      <c r="AE533" s="425"/>
      <c r="AF533" s="425"/>
      <c r="AG533" s="425"/>
      <c r="AH533" s="425"/>
      <c r="AI533" s="425"/>
      <c r="AJ533" s="425"/>
      <c r="AK533" s="425"/>
      <c r="AL533" s="425"/>
      <c r="AM533" s="425"/>
      <c r="AN533" s="425"/>
      <c r="AO533" s="425"/>
      <c r="AP533" s="425"/>
      <c r="AQ533" s="425"/>
      <c r="AR533" s="425"/>
      <c r="AS533" s="425"/>
      <c r="AT533" s="425"/>
      <c r="AU533" s="425"/>
      <c r="AV533" s="425"/>
      <c r="AW533" s="425"/>
      <c r="AX533" s="425"/>
      <c r="AY533" s="426"/>
    </row>
    <row r="534" spans="2:51" ht="18" customHeight="1">
      <c r="B534" s="1946" t="str">
        <f>+$B$9</f>
        <v>病院・ホテル</v>
      </c>
      <c r="C534" s="430">
        <v>13518970</v>
      </c>
      <c r="D534" s="431" t="s">
        <v>622</v>
      </c>
      <c r="E534" s="432">
        <v>1.1000000000000001</v>
      </c>
      <c r="F534" s="432" t="s">
        <v>623</v>
      </c>
      <c r="G534" s="432">
        <v>1</v>
      </c>
      <c r="H534" s="432" t="s">
        <v>1051</v>
      </c>
      <c r="I534" s="436" t="s">
        <v>1051</v>
      </c>
      <c r="J534" s="434">
        <v>5</v>
      </c>
      <c r="K534" s="432">
        <v>1.08</v>
      </c>
      <c r="L534" s="435">
        <v>4</v>
      </c>
      <c r="M534" s="432">
        <v>1</v>
      </c>
      <c r="N534" s="435">
        <v>3</v>
      </c>
      <c r="O534" s="433">
        <v>0.92</v>
      </c>
      <c r="P534" s="554"/>
      <c r="Q534" s="549"/>
      <c r="R534" s="549"/>
      <c r="S534" s="549"/>
      <c r="T534" s="549"/>
      <c r="U534" s="549"/>
      <c r="V534" s="422"/>
      <c r="W534" s="425"/>
      <c r="X534" s="425"/>
      <c r="Y534" s="425"/>
      <c r="Z534" s="425"/>
      <c r="AA534" s="425"/>
      <c r="AB534" s="425"/>
      <c r="AC534" s="425"/>
      <c r="AD534" s="425"/>
      <c r="AE534" s="425"/>
      <c r="AF534" s="425"/>
      <c r="AG534" s="425"/>
      <c r="AH534" s="425"/>
      <c r="AI534" s="425"/>
      <c r="AJ534" s="425"/>
      <c r="AK534" s="425"/>
      <c r="AL534" s="425"/>
      <c r="AM534" s="425"/>
      <c r="AN534" s="425"/>
      <c r="AO534" s="425"/>
      <c r="AP534" s="425"/>
      <c r="AQ534" s="425"/>
      <c r="AR534" s="425"/>
      <c r="AS534" s="425"/>
      <c r="AT534" s="425"/>
      <c r="AU534" s="425"/>
      <c r="AV534" s="425"/>
      <c r="AW534" s="425"/>
      <c r="AX534" s="425"/>
      <c r="AY534" s="426"/>
    </row>
    <row r="535" spans="2:51" ht="18" customHeight="1">
      <c r="B535" s="1947" t="str">
        <f>+$B$10</f>
        <v>工場・倉庫</v>
      </c>
      <c r="C535" s="1308">
        <f>C533</f>
        <v>13518970</v>
      </c>
      <c r="D535" s="1377" t="str">
        <f>D533</f>
        <v>欄干透明</v>
      </c>
      <c r="E535" s="1213">
        <f>E533</f>
        <v>1.1000000000000001</v>
      </c>
      <c r="F535" s="1377" t="str">
        <f t="shared" ref="F535:I535" si="160">F533</f>
        <v>欄干ｽﾃﾝﾚｽ</v>
      </c>
      <c r="G535" s="1213">
        <f t="shared" si="160"/>
        <v>1</v>
      </c>
      <c r="H535" s="1377" t="str">
        <f t="shared" si="160"/>
        <v>-</v>
      </c>
      <c r="I535" s="1380" t="str">
        <f t="shared" si="160"/>
        <v>-</v>
      </c>
      <c r="J535" s="1338">
        <f>J533</f>
        <v>5</v>
      </c>
      <c r="K535" s="1215">
        <f>K533</f>
        <v>1.08</v>
      </c>
      <c r="L535" s="1381">
        <f t="shared" ref="L535:O535" si="161">L533</f>
        <v>4</v>
      </c>
      <c r="M535" s="1215">
        <f t="shared" si="161"/>
        <v>1</v>
      </c>
      <c r="N535" s="1381">
        <f t="shared" si="161"/>
        <v>3</v>
      </c>
      <c r="O535" s="1315">
        <f t="shared" si="161"/>
        <v>0.92</v>
      </c>
      <c r="P535" s="555"/>
      <c r="Q535" s="552"/>
      <c r="R535" s="552"/>
      <c r="S535" s="552"/>
      <c r="T535" s="552"/>
      <c r="U535" s="552"/>
      <c r="V535" s="568"/>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5"/>
      <c r="AY535" s="426"/>
    </row>
    <row r="536" spans="2:51" ht="18" customHeight="1">
      <c r="B536" s="1941" t="s">
        <v>311</v>
      </c>
      <c r="C536" s="1917" t="s">
        <v>0</v>
      </c>
      <c r="D536" s="1888" t="s">
        <v>1</v>
      </c>
      <c r="E536" s="1889"/>
      <c r="F536" s="1889"/>
      <c r="G536" s="1889"/>
      <c r="H536" s="1889"/>
      <c r="I536" s="1891"/>
      <c r="J536" s="1887" t="s">
        <v>2</v>
      </c>
      <c r="K536" s="1889"/>
      <c r="L536" s="1889"/>
      <c r="M536" s="1889"/>
      <c r="N536" s="1889"/>
      <c r="O536" s="1891"/>
      <c r="P536" s="1888" t="s">
        <v>3</v>
      </c>
      <c r="Q536" s="1889"/>
      <c r="R536" s="1889"/>
      <c r="S536" s="1889"/>
      <c r="T536" s="1889"/>
      <c r="U536" s="1890"/>
      <c r="V536" s="1887" t="s">
        <v>4</v>
      </c>
      <c r="W536" s="1889"/>
      <c r="X536" s="1889"/>
      <c r="Y536" s="1889"/>
      <c r="Z536" s="1889"/>
      <c r="AA536" s="1891"/>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23"/>
      <c r="AY536" s="424"/>
    </row>
    <row r="537" spans="2:51" ht="18" customHeight="1">
      <c r="B537" s="1942"/>
      <c r="C537" s="1894" t="s">
        <v>5</v>
      </c>
      <c r="D537" s="1899" t="s">
        <v>318</v>
      </c>
      <c r="E537" s="1900"/>
      <c r="F537" s="1900" t="s">
        <v>319</v>
      </c>
      <c r="G537" s="1900"/>
      <c r="H537" s="1900" t="s">
        <v>320</v>
      </c>
      <c r="I537" s="1902"/>
      <c r="J537" s="1898" t="s">
        <v>318</v>
      </c>
      <c r="K537" s="1900"/>
      <c r="L537" s="1900" t="s">
        <v>319</v>
      </c>
      <c r="M537" s="1900"/>
      <c r="N537" s="1900" t="s">
        <v>320</v>
      </c>
      <c r="O537" s="1902"/>
      <c r="P537" s="1899" t="s">
        <v>318</v>
      </c>
      <c r="Q537" s="1900"/>
      <c r="R537" s="1900" t="s">
        <v>319</v>
      </c>
      <c r="S537" s="1900"/>
      <c r="T537" s="1900" t="s">
        <v>320</v>
      </c>
      <c r="U537" s="1901"/>
      <c r="V537" s="1898" t="s">
        <v>318</v>
      </c>
      <c r="W537" s="1900"/>
      <c r="X537" s="1900" t="s">
        <v>319</v>
      </c>
      <c r="Y537" s="1900"/>
      <c r="Z537" s="1900" t="s">
        <v>320</v>
      </c>
      <c r="AA537" s="1902"/>
      <c r="AB537" s="612" t="s">
        <v>5630</v>
      </c>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25"/>
      <c r="AY537" s="426"/>
    </row>
    <row r="538" spans="2:51" ht="18" customHeight="1">
      <c r="B538" s="1945" t="str">
        <f>+$B$6</f>
        <v>戸建形式住宅</v>
      </c>
      <c r="C538" s="588" t="s">
        <v>23</v>
      </c>
      <c r="D538" s="431" t="s">
        <v>857</v>
      </c>
      <c r="E538" s="432" t="s">
        <v>857</v>
      </c>
      <c r="F538" s="432" t="s">
        <v>857</v>
      </c>
      <c r="G538" s="432" t="s">
        <v>857</v>
      </c>
      <c r="H538" s="432" t="s">
        <v>857</v>
      </c>
      <c r="I538" s="433" t="s">
        <v>857</v>
      </c>
      <c r="J538" s="431" t="s">
        <v>857</v>
      </c>
      <c r="K538" s="432" t="s">
        <v>857</v>
      </c>
      <c r="L538" s="432" t="s">
        <v>857</v>
      </c>
      <c r="M538" s="432" t="s">
        <v>857</v>
      </c>
      <c r="N538" s="432" t="s">
        <v>857</v>
      </c>
      <c r="O538" s="433" t="s">
        <v>857</v>
      </c>
      <c r="P538" s="431" t="s">
        <v>857</v>
      </c>
      <c r="Q538" s="432" t="s">
        <v>857</v>
      </c>
      <c r="R538" s="432" t="s">
        <v>857</v>
      </c>
      <c r="S538" s="432" t="s">
        <v>857</v>
      </c>
      <c r="T538" s="432" t="s">
        <v>857</v>
      </c>
      <c r="U538" s="433" t="s">
        <v>857</v>
      </c>
      <c r="V538" s="431" t="s">
        <v>857</v>
      </c>
      <c r="W538" s="432" t="s">
        <v>857</v>
      </c>
      <c r="X538" s="432" t="s">
        <v>857</v>
      </c>
      <c r="Y538" s="432" t="s">
        <v>857</v>
      </c>
      <c r="Z538" s="432" t="s">
        <v>857</v>
      </c>
      <c r="AA538" s="433" t="s">
        <v>857</v>
      </c>
      <c r="AB538" s="425"/>
      <c r="AC538" s="425"/>
      <c r="AD538" s="425"/>
      <c r="AE538" s="425"/>
      <c r="AF538" s="425"/>
      <c r="AG538" s="425"/>
      <c r="AH538" s="425"/>
      <c r="AI538" s="425"/>
      <c r="AJ538" s="425"/>
      <c r="AK538" s="425"/>
      <c r="AL538" s="425"/>
      <c r="AM538" s="425"/>
      <c r="AN538" s="425"/>
      <c r="AO538" s="425"/>
      <c r="AP538" s="425"/>
      <c r="AQ538" s="425"/>
      <c r="AR538" s="425"/>
      <c r="AS538" s="425"/>
      <c r="AT538" s="425"/>
      <c r="AU538" s="425"/>
      <c r="AV538" s="425"/>
      <c r="AW538" s="425"/>
      <c r="AX538" s="425"/>
      <c r="AY538" s="426"/>
    </row>
    <row r="539" spans="2:51" ht="18" customHeight="1">
      <c r="B539" s="1946" t="str">
        <f>+$B$7</f>
        <v>集合形式住宅</v>
      </c>
      <c r="C539" s="1205">
        <f>C540</f>
        <v>3348990</v>
      </c>
      <c r="D539" s="1353">
        <f>D540</f>
        <v>100</v>
      </c>
      <c r="E539" s="1207">
        <f>E540</f>
        <v>1.4</v>
      </c>
      <c r="F539" s="1355">
        <f t="shared" ref="F539" si="162">F540</f>
        <v>50</v>
      </c>
      <c r="G539" s="1207">
        <f t="shared" ref="G539" si="163">G540</f>
        <v>1</v>
      </c>
      <c r="H539" s="1355">
        <f t="shared" ref="H539" si="164">H540</f>
        <v>30</v>
      </c>
      <c r="I539" s="1210">
        <f t="shared" ref="I539" si="165">I540</f>
        <v>0.8</v>
      </c>
      <c r="J539" s="1355" t="str">
        <f>J540</f>
        <v>迫出し式</v>
      </c>
      <c r="K539" s="1207">
        <f>K540</f>
        <v>1.1000000000000001</v>
      </c>
      <c r="L539" s="1355" t="str">
        <f t="shared" ref="L539" si="166">L540</f>
        <v>俯仰式</v>
      </c>
      <c r="M539" s="1207">
        <f t="shared" ref="M539" si="167">M540</f>
        <v>1</v>
      </c>
      <c r="N539" s="1355" t="str">
        <f t="shared" ref="N539" si="168">N540</f>
        <v>固定式</v>
      </c>
      <c r="O539" s="1243">
        <f t="shared" ref="O539:Q539" si="169">O540</f>
        <v>0.8</v>
      </c>
      <c r="P539" s="1353">
        <f t="shared" si="169"/>
        <v>4</v>
      </c>
      <c r="Q539" s="1207">
        <f t="shared" si="169"/>
        <v>1.3</v>
      </c>
      <c r="R539" s="1355">
        <f t="shared" ref="R539" si="170">R540</f>
        <v>2</v>
      </c>
      <c r="S539" s="1207">
        <f t="shared" ref="S539" si="171">S540</f>
        <v>1</v>
      </c>
      <c r="T539" s="1355" t="str">
        <f t="shared" ref="T539" si="172">T540</f>
        <v>-</v>
      </c>
      <c r="U539" s="1210" t="str">
        <f t="shared" ref="U539:W539" si="173">U540</f>
        <v>-</v>
      </c>
      <c r="V539" s="1353" t="str">
        <f t="shared" si="173"/>
        <v>-</v>
      </c>
      <c r="W539" s="1207" t="str">
        <f t="shared" si="173"/>
        <v>-</v>
      </c>
      <c r="X539" s="1355" t="str">
        <f t="shared" ref="X539" si="174">X540</f>
        <v>あり</v>
      </c>
      <c r="Y539" s="1207">
        <f t="shared" ref="Y539" si="175">Y540</f>
        <v>1</v>
      </c>
      <c r="Z539" s="1355" t="str">
        <f t="shared" ref="Z539" si="176">Z540</f>
        <v>なし</v>
      </c>
      <c r="AA539" s="1210">
        <f t="shared" ref="AA539" si="177">AA540</f>
        <v>0.7</v>
      </c>
      <c r="AB539" s="425"/>
      <c r="AC539" s="425"/>
      <c r="AD539" s="425"/>
      <c r="AE539" s="425"/>
      <c r="AF539" s="425"/>
      <c r="AG539" s="425"/>
      <c r="AH539" s="425"/>
      <c r="AI539" s="425"/>
      <c r="AJ539" s="425"/>
      <c r="AK539" s="425"/>
      <c r="AL539" s="425"/>
      <c r="AM539" s="425"/>
      <c r="AN539" s="425"/>
      <c r="AO539" s="425"/>
      <c r="AP539" s="425"/>
      <c r="AQ539" s="425"/>
      <c r="AR539" s="425"/>
      <c r="AS539" s="425"/>
      <c r="AT539" s="425"/>
      <c r="AU539" s="425"/>
      <c r="AV539" s="425"/>
      <c r="AW539" s="425"/>
      <c r="AX539" s="425"/>
      <c r="AY539" s="426"/>
    </row>
    <row r="540" spans="2:51" ht="18" customHeight="1">
      <c r="B540" s="1946" t="str">
        <f>+$B$8</f>
        <v>事務所・店舗</v>
      </c>
      <c r="C540" s="430">
        <v>3348990</v>
      </c>
      <c r="D540" s="1382">
        <v>100</v>
      </c>
      <c r="E540" s="428">
        <v>1.4</v>
      </c>
      <c r="F540" s="1239">
        <v>50</v>
      </c>
      <c r="G540" s="428">
        <v>1</v>
      </c>
      <c r="H540" s="1239">
        <v>30</v>
      </c>
      <c r="I540" s="429">
        <v>0.8</v>
      </c>
      <c r="J540" s="1204" t="s">
        <v>6</v>
      </c>
      <c r="K540" s="428">
        <v>1.1000000000000001</v>
      </c>
      <c r="L540" s="428" t="s">
        <v>7</v>
      </c>
      <c r="M540" s="428">
        <v>1</v>
      </c>
      <c r="N540" s="428" t="s">
        <v>8</v>
      </c>
      <c r="O540" s="429">
        <v>0.8</v>
      </c>
      <c r="P540" s="1382">
        <v>4</v>
      </c>
      <c r="Q540" s="428">
        <v>1.3</v>
      </c>
      <c r="R540" s="1239">
        <v>2</v>
      </c>
      <c r="S540" s="428">
        <v>1</v>
      </c>
      <c r="T540" s="1071" t="s">
        <v>37</v>
      </c>
      <c r="U540" s="1297" t="s">
        <v>1051</v>
      </c>
      <c r="V540" s="1204" t="s">
        <v>1051</v>
      </c>
      <c r="W540" s="428" t="s">
        <v>1051</v>
      </c>
      <c r="X540" s="428" t="s">
        <v>437</v>
      </c>
      <c r="Y540" s="428">
        <v>1</v>
      </c>
      <c r="Z540" s="428" t="s">
        <v>636</v>
      </c>
      <c r="AA540" s="429">
        <v>0.7</v>
      </c>
      <c r="AB540" s="425"/>
      <c r="AC540" s="425"/>
      <c r="AD540" s="425"/>
      <c r="AE540" s="425"/>
      <c r="AF540" s="425"/>
      <c r="AG540" s="425"/>
      <c r="AH540" s="425"/>
      <c r="AI540" s="425"/>
      <c r="AJ540" s="425"/>
      <c r="AK540" s="425"/>
      <c r="AL540" s="425"/>
      <c r="AM540" s="425"/>
      <c r="AN540" s="425"/>
      <c r="AO540" s="425"/>
      <c r="AP540" s="425"/>
      <c r="AQ540" s="425"/>
      <c r="AR540" s="425"/>
      <c r="AS540" s="425"/>
      <c r="AT540" s="425"/>
      <c r="AU540" s="425"/>
      <c r="AV540" s="425"/>
      <c r="AW540" s="425"/>
      <c r="AX540" s="425"/>
      <c r="AY540" s="426"/>
    </row>
    <row r="541" spans="2:51" ht="18" customHeight="1">
      <c r="B541" s="1946" t="str">
        <f>+$B$9</f>
        <v>病院・ホテル</v>
      </c>
      <c r="C541" s="1205">
        <f>C540</f>
        <v>3348990</v>
      </c>
      <c r="D541" s="1355">
        <f>D540</f>
        <v>100</v>
      </c>
      <c r="E541" s="1207">
        <f>E540</f>
        <v>1.4</v>
      </c>
      <c r="F541" s="1355">
        <f t="shared" ref="F541" si="178">F540</f>
        <v>50</v>
      </c>
      <c r="G541" s="1207">
        <f t="shared" ref="G541" si="179">G540</f>
        <v>1</v>
      </c>
      <c r="H541" s="1355">
        <f t="shared" ref="H541" si="180">H540</f>
        <v>30</v>
      </c>
      <c r="I541" s="1210">
        <f t="shared" ref="I541" si="181">I540</f>
        <v>0.8</v>
      </c>
      <c r="J541" s="1353" t="str">
        <f>J540</f>
        <v>迫出し式</v>
      </c>
      <c r="K541" s="1207">
        <f>K540</f>
        <v>1.1000000000000001</v>
      </c>
      <c r="L541" s="1355" t="str">
        <f t="shared" ref="L541" si="182">L540</f>
        <v>俯仰式</v>
      </c>
      <c r="M541" s="1207">
        <f t="shared" ref="M541" si="183">M540</f>
        <v>1</v>
      </c>
      <c r="N541" s="1355" t="str">
        <f t="shared" ref="N541" si="184">N540</f>
        <v>固定式</v>
      </c>
      <c r="O541" s="1210">
        <f t="shared" ref="O541" si="185">O540</f>
        <v>0.8</v>
      </c>
      <c r="P541" s="1325">
        <f>P540</f>
        <v>4</v>
      </c>
      <c r="Q541" s="1207">
        <f>Q540</f>
        <v>1.3</v>
      </c>
      <c r="R541" s="1208">
        <f t="shared" ref="R541" si="186">R540</f>
        <v>2</v>
      </c>
      <c r="S541" s="1207">
        <f t="shared" ref="S541" si="187">S540</f>
        <v>1</v>
      </c>
      <c r="T541" s="1207" t="str">
        <f t="shared" ref="T541" si="188">T540</f>
        <v>-</v>
      </c>
      <c r="U541" s="1210" t="str">
        <f t="shared" ref="U541" si="189">U540</f>
        <v>-</v>
      </c>
      <c r="V541" s="1353" t="str">
        <f>V540</f>
        <v>-</v>
      </c>
      <c r="W541" s="1207" t="str">
        <f>W540</f>
        <v>-</v>
      </c>
      <c r="X541" s="1355" t="str">
        <f t="shared" ref="X541" si="190">X540</f>
        <v>あり</v>
      </c>
      <c r="Y541" s="1207">
        <f t="shared" ref="Y541" si="191">Y540</f>
        <v>1</v>
      </c>
      <c r="Z541" s="1355" t="str">
        <f t="shared" ref="Z541" si="192">Z540</f>
        <v>なし</v>
      </c>
      <c r="AA541" s="1210">
        <f t="shared" ref="AA541" si="193">AA540</f>
        <v>0.7</v>
      </c>
      <c r="AB541" s="425"/>
      <c r="AC541" s="425"/>
      <c r="AD541" s="425"/>
      <c r="AE541" s="425"/>
      <c r="AF541" s="425"/>
      <c r="AG541" s="425"/>
      <c r="AH541" s="425"/>
      <c r="AI541" s="425"/>
      <c r="AJ541" s="425"/>
      <c r="AK541" s="425"/>
      <c r="AL541" s="425"/>
      <c r="AM541" s="425"/>
      <c r="AN541" s="425"/>
      <c r="AO541" s="425"/>
      <c r="AP541" s="425"/>
      <c r="AQ541" s="425"/>
      <c r="AR541" s="425"/>
      <c r="AS541" s="425"/>
      <c r="AT541" s="425"/>
      <c r="AU541" s="425"/>
      <c r="AV541" s="425"/>
      <c r="AW541" s="425"/>
      <c r="AX541" s="425"/>
      <c r="AY541" s="426"/>
    </row>
    <row r="542" spans="2:51" ht="18" customHeight="1">
      <c r="B542" s="1962" t="str">
        <f>+$B$10</f>
        <v>工場・倉庫</v>
      </c>
      <c r="C542" s="1211">
        <f>C540</f>
        <v>3348990</v>
      </c>
      <c r="D542" s="1381">
        <f>D540</f>
        <v>100</v>
      </c>
      <c r="E542" s="1215">
        <f>E540</f>
        <v>1.4</v>
      </c>
      <c r="F542" s="1381">
        <f t="shared" ref="F542:I542" si="194">F540</f>
        <v>50</v>
      </c>
      <c r="G542" s="1215">
        <f t="shared" si="194"/>
        <v>1</v>
      </c>
      <c r="H542" s="1381">
        <f t="shared" si="194"/>
        <v>30</v>
      </c>
      <c r="I542" s="1315">
        <f t="shared" si="194"/>
        <v>0.8</v>
      </c>
      <c r="J542" s="1338" t="str">
        <f>J540</f>
        <v>迫出し式</v>
      </c>
      <c r="K542" s="1215">
        <f>K540</f>
        <v>1.1000000000000001</v>
      </c>
      <c r="L542" s="1381" t="str">
        <f t="shared" ref="L542:O542" si="195">L540</f>
        <v>俯仰式</v>
      </c>
      <c r="M542" s="1215">
        <f t="shared" si="195"/>
        <v>1</v>
      </c>
      <c r="N542" s="1381" t="str">
        <f t="shared" si="195"/>
        <v>固定式</v>
      </c>
      <c r="O542" s="1315">
        <f t="shared" si="195"/>
        <v>0.8</v>
      </c>
      <c r="P542" s="1383">
        <f>P540</f>
        <v>4</v>
      </c>
      <c r="Q542" s="1215">
        <f>Q540</f>
        <v>1.3</v>
      </c>
      <c r="R542" s="1327">
        <f t="shared" ref="R542:U542" si="196">R540</f>
        <v>2</v>
      </c>
      <c r="S542" s="1215">
        <f t="shared" si="196"/>
        <v>1</v>
      </c>
      <c r="T542" s="1215" t="str">
        <f t="shared" si="196"/>
        <v>-</v>
      </c>
      <c r="U542" s="1315" t="str">
        <f t="shared" si="196"/>
        <v>-</v>
      </c>
      <c r="V542" s="1338" t="str">
        <f>V540</f>
        <v>-</v>
      </c>
      <c r="W542" s="1215" t="str">
        <f>W540</f>
        <v>-</v>
      </c>
      <c r="X542" s="1381" t="str">
        <f t="shared" ref="X542:AA542" si="197">X540</f>
        <v>あり</v>
      </c>
      <c r="Y542" s="1215">
        <f t="shared" si="197"/>
        <v>1</v>
      </c>
      <c r="Z542" s="1381" t="str">
        <f t="shared" si="197"/>
        <v>なし</v>
      </c>
      <c r="AA542" s="1315">
        <f t="shared" si="197"/>
        <v>0.7</v>
      </c>
      <c r="AB542" s="482"/>
      <c r="AC542" s="452"/>
      <c r="AD542" s="452"/>
      <c r="AE542" s="452"/>
      <c r="AF542" s="452"/>
      <c r="AG542" s="452"/>
      <c r="AH542" s="452"/>
      <c r="AI542" s="452"/>
      <c r="AJ542" s="452"/>
      <c r="AK542" s="452"/>
      <c r="AL542" s="452"/>
      <c r="AM542" s="452"/>
      <c r="AN542" s="452"/>
      <c r="AO542" s="452"/>
      <c r="AP542" s="452"/>
      <c r="AQ542" s="452"/>
      <c r="AR542" s="452"/>
      <c r="AS542" s="452"/>
      <c r="AT542" s="452"/>
      <c r="AU542" s="452"/>
      <c r="AV542" s="452"/>
      <c r="AW542" s="452"/>
      <c r="AX542" s="452"/>
      <c r="AY542" s="453"/>
    </row>
    <row r="544" spans="2:51" ht="18" customHeight="1">
      <c r="B544" s="303" t="s">
        <v>5427</v>
      </c>
      <c r="C544">
        <v>2</v>
      </c>
      <c r="D544">
        <v>3</v>
      </c>
      <c r="E544">
        <v>4</v>
      </c>
      <c r="F544">
        <v>5</v>
      </c>
      <c r="G544">
        <v>6</v>
      </c>
      <c r="H544">
        <v>7</v>
      </c>
      <c r="I544">
        <v>8</v>
      </c>
      <c r="J544">
        <v>9</v>
      </c>
      <c r="K544">
        <v>10</v>
      </c>
      <c r="L544">
        <v>11</v>
      </c>
      <c r="M544">
        <v>12</v>
      </c>
      <c r="N544">
        <v>13</v>
      </c>
      <c r="O544">
        <v>14</v>
      </c>
      <c r="P544">
        <v>15</v>
      </c>
      <c r="Q544">
        <v>16</v>
      </c>
      <c r="R544">
        <v>17</v>
      </c>
      <c r="S544">
        <v>18</v>
      </c>
      <c r="T544">
        <v>19</v>
      </c>
      <c r="U544">
        <v>20</v>
      </c>
      <c r="V544">
        <v>21</v>
      </c>
      <c r="W544">
        <v>22</v>
      </c>
      <c r="X544">
        <v>23</v>
      </c>
    </row>
    <row r="545" spans="2:78" ht="18" customHeight="1">
      <c r="B545" s="1965" t="s">
        <v>311</v>
      </c>
      <c r="C545" s="1963" t="s">
        <v>5428</v>
      </c>
      <c r="D545" s="1932" t="s">
        <v>689</v>
      </c>
      <c r="E545" s="1889"/>
      <c r="F545" s="1889"/>
      <c r="G545" s="1889"/>
      <c r="H545" s="1889"/>
      <c r="I545" s="1890"/>
      <c r="J545" s="1914" t="s">
        <v>5434</v>
      </c>
      <c r="K545" s="1889"/>
      <c r="L545" s="1889"/>
      <c r="M545" s="1889"/>
      <c r="N545" s="1889"/>
      <c r="O545" s="1891"/>
      <c r="P545" s="3638" t="s">
        <v>5435</v>
      </c>
      <c r="Q545" s="3641"/>
      <c r="R545" s="3641"/>
      <c r="S545" s="3641"/>
      <c r="T545" s="3641"/>
      <c r="U545" s="3641"/>
      <c r="V545" s="3641"/>
      <c r="W545" s="3641"/>
      <c r="X545" s="3642"/>
      <c r="Y545" s="837"/>
      <c r="Z545" s="837"/>
      <c r="AA545" s="821"/>
      <c r="AB545" s="423"/>
      <c r="AC545" s="423"/>
      <c r="AD545" s="423"/>
      <c r="AE545" s="423"/>
      <c r="AF545" s="423"/>
      <c r="AG545" s="423"/>
      <c r="AH545" s="423"/>
      <c r="AI545" s="423"/>
      <c r="AJ545" s="423"/>
      <c r="AK545" s="423"/>
      <c r="AL545" s="423"/>
      <c r="AM545" s="423"/>
      <c r="AN545" s="423"/>
      <c r="AO545" s="423"/>
      <c r="AP545" s="423"/>
      <c r="AQ545" s="423"/>
      <c r="AR545" s="423"/>
      <c r="AS545" s="423"/>
      <c r="AT545" s="423"/>
      <c r="AU545" s="423"/>
      <c r="AV545" s="423"/>
      <c r="AW545" s="423"/>
      <c r="AX545" s="423"/>
      <c r="AY545" s="424"/>
    </row>
    <row r="546" spans="2:78" ht="18" customHeight="1">
      <c r="B546" s="1966"/>
      <c r="C546" s="1894" t="s">
        <v>5429</v>
      </c>
      <c r="D546" s="1899" t="s">
        <v>318</v>
      </c>
      <c r="E546" s="1900"/>
      <c r="F546" s="1900" t="s">
        <v>319</v>
      </c>
      <c r="G546" s="1900"/>
      <c r="H546" s="1900" t="s">
        <v>320</v>
      </c>
      <c r="I546" s="1901"/>
      <c r="J546" s="1964" t="s">
        <v>122</v>
      </c>
      <c r="K546" s="1900"/>
      <c r="L546" s="1905" t="s">
        <v>5477</v>
      </c>
      <c r="M546" s="1900"/>
      <c r="N546" s="1905" t="s">
        <v>5478</v>
      </c>
      <c r="O546" s="1902"/>
      <c r="P546" s="1899" t="s">
        <v>318</v>
      </c>
      <c r="Q546" s="1900"/>
      <c r="R546" s="1900"/>
      <c r="S546" s="1905" t="s">
        <v>5436</v>
      </c>
      <c r="T546" s="1900"/>
      <c r="U546" s="1900"/>
      <c r="V546" s="3675" t="s">
        <v>5437</v>
      </c>
      <c r="W546" s="3676"/>
      <c r="X546" s="3640"/>
      <c r="Y546" s="473"/>
      <c r="Z546" s="473"/>
      <c r="AA546" s="822"/>
      <c r="AB546" s="612"/>
      <c r="AC546" s="425"/>
      <c r="AD546" s="425"/>
      <c r="AE546" s="425"/>
      <c r="AF546" s="425"/>
      <c r="AG546" s="425"/>
      <c r="AH546" s="425"/>
      <c r="AI546" s="425"/>
      <c r="AJ546" s="425"/>
      <c r="AK546" s="425"/>
      <c r="AL546" s="425"/>
      <c r="AM546" s="425"/>
      <c r="AN546" s="425"/>
      <c r="AO546" s="425"/>
      <c r="AP546" s="425"/>
      <c r="AQ546" s="425"/>
      <c r="AR546" s="425"/>
      <c r="AS546" s="425"/>
      <c r="AT546" s="425"/>
      <c r="AU546" s="425"/>
      <c r="AV546" s="425"/>
      <c r="AW546" s="425"/>
      <c r="AX546" s="425"/>
      <c r="AY546" s="426"/>
    </row>
    <row r="547" spans="2:78" ht="18" customHeight="1">
      <c r="B547" s="1967" t="s">
        <v>5650</v>
      </c>
      <c r="C547" s="1384">
        <v>23550</v>
      </c>
      <c r="D547" s="1382" t="s">
        <v>5431</v>
      </c>
      <c r="E547" s="428">
        <v>1.2</v>
      </c>
      <c r="F547" s="1239" t="s">
        <v>5432</v>
      </c>
      <c r="G547" s="428">
        <v>1</v>
      </c>
      <c r="H547" s="1239" t="s">
        <v>5433</v>
      </c>
      <c r="I547" s="1297">
        <v>0.9</v>
      </c>
      <c r="J547" s="606" t="s">
        <v>23</v>
      </c>
      <c r="K547" s="1071" t="s">
        <v>5652</v>
      </c>
      <c r="L547" s="1071" t="s">
        <v>5652</v>
      </c>
      <c r="M547" s="1071" t="s">
        <v>5652</v>
      </c>
      <c r="N547" s="1071" t="s">
        <v>5652</v>
      </c>
      <c r="O547" s="1072" t="s">
        <v>5652</v>
      </c>
      <c r="P547" s="1382" t="s">
        <v>5438</v>
      </c>
      <c r="Q547" s="432">
        <f>ROUNDDOWN(T547*R547,2)</f>
        <v>0.79</v>
      </c>
      <c r="R547" s="428">
        <v>1.3</v>
      </c>
      <c r="S547" s="428" t="s">
        <v>5440</v>
      </c>
      <c r="T547" s="428">
        <v>0.61</v>
      </c>
      <c r="U547" s="428">
        <v>1</v>
      </c>
      <c r="V547" s="427" t="s">
        <v>5439</v>
      </c>
      <c r="W547" s="432">
        <f t="shared" ref="W547:W548" si="198">ROUNDDOWN(T547*X547,2)</f>
        <v>0.48</v>
      </c>
      <c r="X547" s="429">
        <v>0.8</v>
      </c>
      <c r="Y547" s="451"/>
      <c r="Z547" s="451"/>
      <c r="AA547" s="815"/>
      <c r="AB547" s="425"/>
      <c r="AC547" s="425"/>
      <c r="AD547" s="425"/>
      <c r="AE547" s="425"/>
      <c r="AF547" s="425"/>
      <c r="AG547" s="425"/>
      <c r="AH547" s="425"/>
      <c r="AI547" s="425"/>
      <c r="AJ547" s="425"/>
      <c r="AK547" s="425"/>
      <c r="AL547" s="425"/>
      <c r="AM547" s="425"/>
      <c r="AN547" s="425"/>
      <c r="AO547" s="425"/>
      <c r="AP547" s="425"/>
      <c r="AQ547" s="425"/>
      <c r="AR547" s="425"/>
      <c r="AS547" s="425"/>
      <c r="AT547" s="425"/>
      <c r="AU547" s="425"/>
      <c r="AV547" s="425"/>
      <c r="AW547" s="425"/>
      <c r="AX547" s="425"/>
      <c r="AY547" s="426"/>
    </row>
    <row r="548" spans="2:78" ht="18" customHeight="1">
      <c r="B548" s="1968" t="s">
        <v>5651</v>
      </c>
      <c r="C548" s="430">
        <v>16940</v>
      </c>
      <c r="D548" s="1197" t="s">
        <v>5431</v>
      </c>
      <c r="E548" s="432">
        <v>1.2</v>
      </c>
      <c r="F548" s="435" t="s">
        <v>5432</v>
      </c>
      <c r="G548" s="432">
        <v>1</v>
      </c>
      <c r="H548" s="435" t="s">
        <v>5433</v>
      </c>
      <c r="I548" s="436">
        <v>0.9</v>
      </c>
      <c r="J548" s="1050" t="s">
        <v>5652</v>
      </c>
      <c r="K548" s="559" t="s">
        <v>5652</v>
      </c>
      <c r="L548" s="559" t="s">
        <v>5652</v>
      </c>
      <c r="M548" s="559" t="s">
        <v>5652</v>
      </c>
      <c r="N548" s="559" t="s">
        <v>5652</v>
      </c>
      <c r="O548" s="1053" t="s">
        <v>5652</v>
      </c>
      <c r="P548" s="1197" t="s">
        <v>5438</v>
      </c>
      <c r="Q548" s="432">
        <f t="shared" ref="Q548" si="199">ROUNDDOWN(T548*R548,2)</f>
        <v>0.79</v>
      </c>
      <c r="R548" s="432">
        <v>1.3</v>
      </c>
      <c r="S548" s="432" t="s">
        <v>5440</v>
      </c>
      <c r="T548" s="432">
        <v>0.61</v>
      </c>
      <c r="U548" s="432">
        <v>1</v>
      </c>
      <c r="V548" s="431" t="s">
        <v>5439</v>
      </c>
      <c r="W548" s="432">
        <f t="shared" si="198"/>
        <v>0.48</v>
      </c>
      <c r="X548" s="433">
        <v>0.8</v>
      </c>
      <c r="Y548" s="451"/>
      <c r="Z548" s="451"/>
      <c r="AA548" s="815"/>
      <c r="AB548" s="425"/>
      <c r="AC548" s="425"/>
      <c r="AD548" s="425"/>
      <c r="AE548" s="425"/>
      <c r="AF548" s="425"/>
      <c r="AG548" s="425"/>
      <c r="AH548" s="425"/>
      <c r="AI548" s="425"/>
      <c r="AJ548" s="425"/>
      <c r="AK548" s="425"/>
      <c r="AL548" s="425"/>
      <c r="AM548" s="425"/>
      <c r="AN548" s="425"/>
      <c r="AO548" s="425"/>
      <c r="AP548" s="425"/>
      <c r="AQ548" s="425"/>
      <c r="AR548" s="425"/>
      <c r="AS548" s="425"/>
      <c r="AT548" s="425"/>
      <c r="AU548" s="425"/>
      <c r="AV548" s="425"/>
      <c r="AW548" s="425"/>
      <c r="AX548" s="425"/>
      <c r="AY548" s="426"/>
    </row>
    <row r="549" spans="2:78" ht="18" customHeight="1">
      <c r="B549" s="1969" t="s">
        <v>5430</v>
      </c>
      <c r="C549" s="1060">
        <v>15970</v>
      </c>
      <c r="D549" s="1285" t="s">
        <v>5431</v>
      </c>
      <c r="E549" s="446">
        <v>1.2</v>
      </c>
      <c r="F549" s="1196" t="s">
        <v>5432</v>
      </c>
      <c r="G549" s="446">
        <v>1</v>
      </c>
      <c r="H549" s="1196" t="s">
        <v>5433</v>
      </c>
      <c r="I549" s="479">
        <v>0.9</v>
      </c>
      <c r="J549" s="445">
        <v>70</v>
      </c>
      <c r="K549" s="446">
        <v>1</v>
      </c>
      <c r="L549" s="446">
        <v>110</v>
      </c>
      <c r="M549" s="446">
        <v>0.78</v>
      </c>
      <c r="N549" s="446">
        <v>30</v>
      </c>
      <c r="O549" s="447">
        <v>0.78</v>
      </c>
      <c r="P549" s="1285" t="s">
        <v>5438</v>
      </c>
      <c r="Q549" s="446">
        <f>ROUNDDOWN(T549*R549,2)</f>
        <v>0.96</v>
      </c>
      <c r="R549" s="446">
        <v>1.3</v>
      </c>
      <c r="S549" s="446" t="s">
        <v>5440</v>
      </c>
      <c r="T549" s="446">
        <v>0.74</v>
      </c>
      <c r="U549" s="446">
        <v>1</v>
      </c>
      <c r="V549" s="823" t="s">
        <v>5439</v>
      </c>
      <c r="W549" s="446">
        <f>ROUNDDOWN(T549*X549,2)</f>
        <v>0.59</v>
      </c>
      <c r="X549" s="447">
        <v>0.8</v>
      </c>
      <c r="Y549" s="866"/>
      <c r="Z549" s="866"/>
      <c r="AA549" s="867"/>
      <c r="AB549" s="425"/>
      <c r="AC549" s="425"/>
      <c r="AD549" s="425"/>
      <c r="AE549" s="425"/>
      <c r="AF549" s="425"/>
      <c r="AG549" s="425"/>
      <c r="AH549" s="425"/>
      <c r="AI549" s="425"/>
      <c r="AJ549" s="425"/>
      <c r="AK549" s="425"/>
      <c r="AL549" s="425"/>
      <c r="AM549" s="425"/>
      <c r="AN549" s="425"/>
      <c r="AO549" s="425"/>
      <c r="AP549" s="425"/>
      <c r="AQ549" s="425"/>
      <c r="AR549" s="425"/>
      <c r="AS549" s="425"/>
      <c r="AT549" s="425"/>
      <c r="AU549" s="425"/>
      <c r="AV549" s="425"/>
      <c r="AW549" s="425"/>
      <c r="AX549" s="425"/>
      <c r="AY549" s="426"/>
    </row>
    <row r="552" spans="2:78" ht="18" customHeight="1">
      <c r="B552" s="303" t="s">
        <v>9</v>
      </c>
      <c r="C552">
        <v>1</v>
      </c>
      <c r="D552">
        <v>2</v>
      </c>
      <c r="E552">
        <v>3</v>
      </c>
      <c r="F552">
        <v>4</v>
      </c>
      <c r="G552">
        <v>5</v>
      </c>
      <c r="H552">
        <v>6</v>
      </c>
      <c r="I552">
        <v>7</v>
      </c>
      <c r="J552">
        <v>8</v>
      </c>
      <c r="K552">
        <v>9</v>
      </c>
      <c r="L552">
        <v>10</v>
      </c>
      <c r="M552">
        <v>11</v>
      </c>
      <c r="N552">
        <v>12</v>
      </c>
      <c r="O552">
        <v>13</v>
      </c>
      <c r="P552">
        <v>14</v>
      </c>
      <c r="Q552">
        <v>15</v>
      </c>
      <c r="R552">
        <v>16</v>
      </c>
      <c r="S552">
        <v>17</v>
      </c>
      <c r="T552">
        <v>18</v>
      </c>
      <c r="U552">
        <v>19</v>
      </c>
      <c r="V552">
        <v>20</v>
      </c>
      <c r="W552">
        <v>21</v>
      </c>
      <c r="X552">
        <v>22</v>
      </c>
      <c r="Y552">
        <v>23</v>
      </c>
      <c r="Z552">
        <v>24</v>
      </c>
      <c r="AA552">
        <v>25</v>
      </c>
      <c r="AB552">
        <v>26</v>
      </c>
      <c r="AC552">
        <v>27</v>
      </c>
      <c r="AD552">
        <v>28</v>
      </c>
      <c r="AE552">
        <v>29</v>
      </c>
      <c r="AF552">
        <v>30</v>
      </c>
      <c r="AG552">
        <v>31</v>
      </c>
      <c r="AH552">
        <v>32</v>
      </c>
      <c r="AI552">
        <v>33</v>
      </c>
      <c r="AJ552">
        <v>34</v>
      </c>
      <c r="AK552">
        <v>35</v>
      </c>
      <c r="AL552">
        <v>36</v>
      </c>
      <c r="AM552">
        <v>37</v>
      </c>
      <c r="AN552">
        <v>38</v>
      </c>
      <c r="AO552">
        <v>39</v>
      </c>
      <c r="AP552">
        <v>40</v>
      </c>
      <c r="AQ552">
        <v>41</v>
      </c>
      <c r="AR552">
        <v>42</v>
      </c>
      <c r="AS552">
        <v>43</v>
      </c>
      <c r="AT552">
        <v>44</v>
      </c>
      <c r="AU552">
        <v>45</v>
      </c>
      <c r="AV552">
        <v>46</v>
      </c>
      <c r="AW552">
        <v>47</v>
      </c>
      <c r="AX552">
        <v>48</v>
      </c>
      <c r="AY552">
        <v>49</v>
      </c>
      <c r="AZ552">
        <v>50</v>
      </c>
      <c r="BA552">
        <v>51</v>
      </c>
      <c r="BB552">
        <v>52</v>
      </c>
      <c r="BC552">
        <v>53</v>
      </c>
      <c r="BD552">
        <v>54</v>
      </c>
      <c r="BE552">
        <v>55</v>
      </c>
      <c r="BF552">
        <v>56</v>
      </c>
      <c r="BG552">
        <v>57</v>
      </c>
      <c r="BH552">
        <v>58</v>
      </c>
      <c r="BI552">
        <v>59</v>
      </c>
      <c r="BJ552">
        <v>60</v>
      </c>
      <c r="BK552">
        <v>61</v>
      </c>
      <c r="BL552">
        <v>62</v>
      </c>
      <c r="BM552">
        <v>63</v>
      </c>
      <c r="BN552">
        <v>64</v>
      </c>
      <c r="BO552">
        <v>65</v>
      </c>
      <c r="BP552">
        <v>66</v>
      </c>
      <c r="BQ552">
        <v>67</v>
      </c>
      <c r="BR552">
        <v>68</v>
      </c>
      <c r="BS552">
        <v>69</v>
      </c>
      <c r="BT552">
        <v>70</v>
      </c>
      <c r="BU552">
        <v>71</v>
      </c>
      <c r="BV552">
        <v>72</v>
      </c>
      <c r="BW552">
        <v>73</v>
      </c>
      <c r="BX552">
        <v>74</v>
      </c>
      <c r="BY552">
        <v>75</v>
      </c>
      <c r="BZ552">
        <v>76</v>
      </c>
    </row>
    <row r="553" spans="2:78" ht="18" customHeight="1">
      <c r="B553" s="3624" t="s">
        <v>10</v>
      </c>
      <c r="C553" s="3648"/>
      <c r="D553" s="1547" t="s">
        <v>702</v>
      </c>
      <c r="E553" s="1547"/>
      <c r="F553" s="1547"/>
      <c r="G553" s="1547"/>
      <c r="H553" s="1547"/>
      <c r="I553" s="1548"/>
      <c r="J553" s="1549" t="s">
        <v>11</v>
      </c>
      <c r="K553" s="1547"/>
      <c r="L553" s="1547"/>
      <c r="M553" s="1547"/>
      <c r="N553" s="1547"/>
      <c r="O553" s="1548"/>
      <c r="P553" s="1549" t="s">
        <v>12</v>
      </c>
      <c r="Q553" s="1547"/>
      <c r="R553" s="1547"/>
      <c r="S553" s="1547"/>
      <c r="T553" s="1547"/>
      <c r="U553" s="1548"/>
      <c r="V553" s="3243" t="s">
        <v>13</v>
      </c>
      <c r="W553" s="3653"/>
      <c r="X553" s="3653"/>
      <c r="Y553" s="3653"/>
      <c r="Z553" s="3653"/>
      <c r="AA553" s="3653"/>
      <c r="AB553" s="3653"/>
      <c r="AC553" s="3653"/>
      <c r="AD553" s="3653"/>
      <c r="AE553" s="3244"/>
      <c r="AF553" s="1549" t="s">
        <v>5658</v>
      </c>
      <c r="AG553" s="1548"/>
      <c r="AH553" s="1549" t="s">
        <v>668</v>
      </c>
      <c r="AI553" s="1547"/>
      <c r="AJ553" s="1547"/>
      <c r="AK553" s="1547"/>
      <c r="AL553" s="1547"/>
      <c r="AM553" s="1548"/>
      <c r="AN553" s="1549" t="s">
        <v>706</v>
      </c>
      <c r="AO553" s="1547"/>
      <c r="AP553" s="1547"/>
      <c r="AQ553" s="1547"/>
      <c r="AR553" s="1547"/>
      <c r="AS553" s="1548"/>
      <c r="AT553" s="1549" t="s">
        <v>5632</v>
      </c>
      <c r="AU553" s="1547"/>
      <c r="AV553" s="1547"/>
      <c r="AW553" s="1547"/>
      <c r="AX553" s="1547"/>
      <c r="AY553" s="1548"/>
      <c r="AZ553" s="1549"/>
      <c r="BA553" s="1547"/>
      <c r="BB553" s="1547"/>
      <c r="BC553" s="1547"/>
      <c r="BD553" s="1547"/>
      <c r="BE553" s="1548"/>
      <c r="BF553" s="1549" t="s">
        <v>5635</v>
      </c>
      <c r="BG553" s="1547"/>
      <c r="BH553" s="1547"/>
      <c r="BI553" s="1547"/>
      <c r="BJ553" s="1547"/>
      <c r="BK553" s="1548"/>
      <c r="BL553" s="1549" t="s">
        <v>689</v>
      </c>
      <c r="BM553" s="1547"/>
      <c r="BN553" s="1547"/>
      <c r="BO553" s="1548"/>
      <c r="BP553" s="3243" t="s">
        <v>14</v>
      </c>
      <c r="BQ553" s="3651"/>
      <c r="BR553" s="3651"/>
      <c r="BS553" s="3651"/>
      <c r="BT553" s="3651"/>
      <c r="BU553" s="3651"/>
      <c r="BV553" s="3651"/>
      <c r="BW553" s="3651"/>
      <c r="BX553" s="3651"/>
      <c r="BY553" s="3651"/>
      <c r="BZ553" s="3652"/>
    </row>
    <row r="554" spans="2:78" ht="18" customHeight="1">
      <c r="B554" s="3649"/>
      <c r="C554" s="3650"/>
      <c r="D554" s="1582" t="s">
        <v>15</v>
      </c>
      <c r="E554" s="1583"/>
      <c r="F554" s="1581" t="s">
        <v>16</v>
      </c>
      <c r="G554" s="1583"/>
      <c r="H554" s="1581" t="s">
        <v>17</v>
      </c>
      <c r="I554" s="1583"/>
      <c r="J554" s="1581" t="s">
        <v>15</v>
      </c>
      <c r="K554" s="1583"/>
      <c r="L554" s="1581" t="s">
        <v>16</v>
      </c>
      <c r="M554" s="1583"/>
      <c r="N554" s="1581" t="s">
        <v>17</v>
      </c>
      <c r="O554" s="1583"/>
      <c r="P554" s="1581" t="s">
        <v>15</v>
      </c>
      <c r="Q554" s="1583"/>
      <c r="R554" s="1581" t="s">
        <v>16</v>
      </c>
      <c r="S554" s="1583"/>
      <c r="T554" s="1581" t="s">
        <v>17</v>
      </c>
      <c r="U554" s="1583"/>
      <c r="V554" s="1549" t="s">
        <v>15</v>
      </c>
      <c r="W554" s="1548"/>
      <c r="X554" s="1549" t="s">
        <v>15</v>
      </c>
      <c r="Y554" s="1548"/>
      <c r="Z554" s="1549" t="s">
        <v>15</v>
      </c>
      <c r="AA554" s="1548"/>
      <c r="AB554" s="1549"/>
      <c r="AC554" s="1548"/>
      <c r="AD554" s="1549" t="s">
        <v>16</v>
      </c>
      <c r="AE554" s="1548"/>
      <c r="AF554" s="1549" t="s">
        <v>5658</v>
      </c>
      <c r="AG554" s="1548"/>
      <c r="AH554" s="1581" t="s">
        <v>15</v>
      </c>
      <c r="AI554" s="1583"/>
      <c r="AJ554" s="1581" t="s">
        <v>16</v>
      </c>
      <c r="AK554" s="1583"/>
      <c r="AL554" s="1581" t="s">
        <v>17</v>
      </c>
      <c r="AM554" s="1583"/>
      <c r="AN554" s="1581" t="s">
        <v>15</v>
      </c>
      <c r="AO554" s="1583"/>
      <c r="AP554" s="1581" t="s">
        <v>16</v>
      </c>
      <c r="AQ554" s="1583"/>
      <c r="AR554" s="1581" t="s">
        <v>17</v>
      </c>
      <c r="AS554" s="1583"/>
      <c r="AT554" s="1581" t="s">
        <v>15</v>
      </c>
      <c r="AU554" s="1583"/>
      <c r="AV554" s="1581"/>
      <c r="AW554" s="1583"/>
      <c r="AX554" s="1581"/>
      <c r="AY554" s="1583"/>
      <c r="AZ554" s="1581"/>
      <c r="BA554" s="1583"/>
      <c r="BB554" s="1581" t="s">
        <v>16</v>
      </c>
      <c r="BC554" s="1583"/>
      <c r="BD554" s="1581" t="s">
        <v>17</v>
      </c>
      <c r="BE554" s="1583"/>
      <c r="BF554" s="1581" t="s">
        <v>15</v>
      </c>
      <c r="BG554" s="1583"/>
      <c r="BH554" s="1581" t="s">
        <v>16</v>
      </c>
      <c r="BI554" s="1583"/>
      <c r="BJ554" s="1581" t="s">
        <v>17</v>
      </c>
      <c r="BK554" s="1583"/>
      <c r="BL554" s="1581" t="s">
        <v>16</v>
      </c>
      <c r="BM554" s="1583"/>
      <c r="BN554" s="1581" t="s">
        <v>17</v>
      </c>
      <c r="BO554" s="1583"/>
      <c r="BP554" s="1582" t="s">
        <v>15</v>
      </c>
      <c r="BQ554" s="1583"/>
      <c r="BR554" s="1581" t="s">
        <v>16</v>
      </c>
      <c r="BS554" s="1583"/>
      <c r="BT554" s="1581" t="s">
        <v>17</v>
      </c>
      <c r="BU554" s="1583"/>
      <c r="BV554" s="2498" t="s">
        <v>18</v>
      </c>
      <c r="BW554" s="2499"/>
      <c r="BX554" s="2498" t="s">
        <v>19</v>
      </c>
      <c r="BY554" s="2499"/>
      <c r="BZ554" s="1556" t="s">
        <v>736</v>
      </c>
    </row>
    <row r="555" spans="2:78" ht="18" customHeight="1">
      <c r="B555" s="3646" t="s">
        <v>633</v>
      </c>
      <c r="C555" s="1970" t="s">
        <v>5638</v>
      </c>
      <c r="D555" s="1385">
        <v>3</v>
      </c>
      <c r="E555" s="1044">
        <v>1.05</v>
      </c>
      <c r="F555" s="1385">
        <v>2</v>
      </c>
      <c r="G555" s="1044">
        <v>1</v>
      </c>
      <c r="H555" s="1385">
        <v>1</v>
      </c>
      <c r="I555" s="1044">
        <v>0.95</v>
      </c>
      <c r="J555" s="1073">
        <v>3.7</v>
      </c>
      <c r="K555" s="1044">
        <v>1.05</v>
      </c>
      <c r="L555" s="1073">
        <v>2.7</v>
      </c>
      <c r="M555" s="1044">
        <v>1</v>
      </c>
      <c r="N555" s="1073">
        <v>2.2000000000000002</v>
      </c>
      <c r="O555" s="1044">
        <v>0.95</v>
      </c>
      <c r="P555" s="1073" t="s">
        <v>857</v>
      </c>
      <c r="Q555" s="1044" t="s">
        <v>857</v>
      </c>
      <c r="R555" s="1073" t="s">
        <v>5652</v>
      </c>
      <c r="S555" s="1044" t="s">
        <v>857</v>
      </c>
      <c r="T555" s="1073" t="s">
        <v>857</v>
      </c>
      <c r="U555" s="1044" t="s">
        <v>857</v>
      </c>
      <c r="V555" s="1073" t="s">
        <v>857</v>
      </c>
      <c r="W555" s="1044" t="s">
        <v>857</v>
      </c>
      <c r="X555" s="1073" t="s">
        <v>857</v>
      </c>
      <c r="Y555" s="1044" t="s">
        <v>857</v>
      </c>
      <c r="Z555" s="1073" t="s">
        <v>857</v>
      </c>
      <c r="AA555" s="1044" t="s">
        <v>857</v>
      </c>
      <c r="AB555" s="1073" t="s">
        <v>857</v>
      </c>
      <c r="AC555" s="1044" t="s">
        <v>857</v>
      </c>
      <c r="AD555" s="1073" t="s">
        <v>857</v>
      </c>
      <c r="AE555" s="1044" t="s">
        <v>857</v>
      </c>
      <c r="AF555" s="1073" t="s">
        <v>857</v>
      </c>
      <c r="AG555" s="1044" t="s">
        <v>857</v>
      </c>
      <c r="AH555" s="1073" t="s">
        <v>676</v>
      </c>
      <c r="AI555" s="1044">
        <v>1.05</v>
      </c>
      <c r="AJ555" s="1073" t="s">
        <v>712</v>
      </c>
      <c r="AK555" s="1044">
        <v>1</v>
      </c>
      <c r="AL555" s="1073" t="s">
        <v>1500</v>
      </c>
      <c r="AM555" s="1044">
        <v>0.95</v>
      </c>
      <c r="AN555" s="1073" t="s">
        <v>857</v>
      </c>
      <c r="AO555" s="1044" t="s">
        <v>857</v>
      </c>
      <c r="AP555" s="1073" t="s">
        <v>857</v>
      </c>
      <c r="AQ555" s="1044" t="s">
        <v>857</v>
      </c>
      <c r="AR555" s="1073" t="s">
        <v>857</v>
      </c>
      <c r="AS555" s="1044" t="s">
        <v>857</v>
      </c>
      <c r="AT555" s="1073" t="s">
        <v>857</v>
      </c>
      <c r="AU555" s="1044" t="s">
        <v>857</v>
      </c>
      <c r="AV555" s="1073" t="s">
        <v>857</v>
      </c>
      <c r="AW555" s="1044" t="s">
        <v>857</v>
      </c>
      <c r="AX555" s="1073" t="s">
        <v>857</v>
      </c>
      <c r="AY555" s="1044" t="s">
        <v>857</v>
      </c>
      <c r="AZ555" s="1073" t="s">
        <v>857</v>
      </c>
      <c r="BA555" s="1044" t="s">
        <v>857</v>
      </c>
      <c r="BB555" s="1073" t="s">
        <v>857</v>
      </c>
      <c r="BC555" s="1044" t="s">
        <v>857</v>
      </c>
      <c r="BD555" s="1073" t="s">
        <v>857</v>
      </c>
      <c r="BE555" s="1044" t="s">
        <v>857</v>
      </c>
      <c r="BF555" s="1073" t="s">
        <v>857</v>
      </c>
      <c r="BG555" s="1044" t="s">
        <v>857</v>
      </c>
      <c r="BH555" s="1073" t="s">
        <v>857</v>
      </c>
      <c r="BI555" s="1044" t="s">
        <v>857</v>
      </c>
      <c r="BJ555" s="1073" t="s">
        <v>857</v>
      </c>
      <c r="BK555" s="1044" t="s">
        <v>857</v>
      </c>
      <c r="BL555" s="1278" t="s">
        <v>324</v>
      </c>
      <c r="BM555" s="1044">
        <v>1</v>
      </c>
      <c r="BN555" s="1278" t="s">
        <v>21</v>
      </c>
      <c r="BO555" s="1044">
        <v>0.7</v>
      </c>
      <c r="BP555" s="1073" t="s">
        <v>857</v>
      </c>
      <c r="BQ555" s="1044" t="s">
        <v>857</v>
      </c>
      <c r="BR555" s="1073" t="s">
        <v>857</v>
      </c>
      <c r="BS555" s="1044" t="s">
        <v>857</v>
      </c>
      <c r="BT555" s="1073" t="s">
        <v>857</v>
      </c>
      <c r="BU555" s="1044" t="s">
        <v>857</v>
      </c>
      <c r="BV555" s="1073" t="s">
        <v>857</v>
      </c>
      <c r="BW555" s="1044" t="s">
        <v>857</v>
      </c>
      <c r="BX555" s="1073" t="s">
        <v>857</v>
      </c>
      <c r="BY555" s="1044" t="s">
        <v>857</v>
      </c>
      <c r="BZ555" s="1074" t="s">
        <v>23</v>
      </c>
    </row>
    <row r="556" spans="2:78" ht="18" customHeight="1">
      <c r="B556" s="3647"/>
      <c r="C556" s="1971" t="s">
        <v>5639</v>
      </c>
      <c r="D556" s="1273">
        <v>5</v>
      </c>
      <c r="E556" s="1043">
        <v>1.05</v>
      </c>
      <c r="F556" s="1273">
        <v>3</v>
      </c>
      <c r="G556" s="1043">
        <v>1</v>
      </c>
      <c r="H556" s="1273">
        <v>2</v>
      </c>
      <c r="I556" s="1043">
        <v>0.95</v>
      </c>
      <c r="J556" s="1075">
        <v>4.5</v>
      </c>
      <c r="K556" s="1043">
        <v>1.05</v>
      </c>
      <c r="L556" s="1075">
        <v>3.5</v>
      </c>
      <c r="M556" s="1043">
        <v>1</v>
      </c>
      <c r="N556" s="1075">
        <v>3</v>
      </c>
      <c r="O556" s="1043">
        <v>0.95</v>
      </c>
      <c r="P556" s="1075" t="s">
        <v>857</v>
      </c>
      <c r="Q556" s="1043" t="s">
        <v>857</v>
      </c>
      <c r="R556" s="1075" t="s">
        <v>857</v>
      </c>
      <c r="S556" s="1043" t="s">
        <v>857</v>
      </c>
      <c r="T556" s="1075" t="s">
        <v>857</v>
      </c>
      <c r="U556" s="1043" t="s">
        <v>857</v>
      </c>
      <c r="V556" s="1075" t="s">
        <v>857</v>
      </c>
      <c r="W556" s="1043" t="s">
        <v>857</v>
      </c>
      <c r="X556" s="1075" t="s">
        <v>857</v>
      </c>
      <c r="Y556" s="1043" t="s">
        <v>857</v>
      </c>
      <c r="Z556" s="1075" t="s">
        <v>857</v>
      </c>
      <c r="AA556" s="1043" t="s">
        <v>857</v>
      </c>
      <c r="AB556" s="1075" t="s">
        <v>857</v>
      </c>
      <c r="AC556" s="1043" t="s">
        <v>857</v>
      </c>
      <c r="AD556" s="1075" t="s">
        <v>857</v>
      </c>
      <c r="AE556" s="1043" t="s">
        <v>857</v>
      </c>
      <c r="AF556" s="1075" t="s">
        <v>857</v>
      </c>
      <c r="AG556" s="1043" t="s">
        <v>857</v>
      </c>
      <c r="AH556" s="1075" t="s">
        <v>676</v>
      </c>
      <c r="AI556" s="1043">
        <v>1.05</v>
      </c>
      <c r="AJ556" s="1075" t="s">
        <v>712</v>
      </c>
      <c r="AK556" s="1043">
        <v>1</v>
      </c>
      <c r="AL556" s="1075" t="s">
        <v>1500</v>
      </c>
      <c r="AM556" s="1043">
        <v>0.95</v>
      </c>
      <c r="AN556" s="1075" t="s">
        <v>857</v>
      </c>
      <c r="AO556" s="1043" t="s">
        <v>857</v>
      </c>
      <c r="AP556" s="1075" t="s">
        <v>857</v>
      </c>
      <c r="AQ556" s="1043" t="s">
        <v>857</v>
      </c>
      <c r="AR556" s="1075" t="s">
        <v>857</v>
      </c>
      <c r="AS556" s="1043" t="s">
        <v>857</v>
      </c>
      <c r="AT556" s="1075" t="s">
        <v>857</v>
      </c>
      <c r="AU556" s="1043" t="s">
        <v>857</v>
      </c>
      <c r="AV556" s="1075" t="s">
        <v>857</v>
      </c>
      <c r="AW556" s="1043" t="s">
        <v>857</v>
      </c>
      <c r="AX556" s="1075" t="s">
        <v>857</v>
      </c>
      <c r="AY556" s="1043" t="s">
        <v>857</v>
      </c>
      <c r="AZ556" s="1075" t="s">
        <v>857</v>
      </c>
      <c r="BA556" s="1043" t="s">
        <v>857</v>
      </c>
      <c r="BB556" s="1075" t="s">
        <v>857</v>
      </c>
      <c r="BC556" s="1043" t="s">
        <v>857</v>
      </c>
      <c r="BD556" s="1075" t="s">
        <v>857</v>
      </c>
      <c r="BE556" s="1043" t="s">
        <v>857</v>
      </c>
      <c r="BF556" s="1075" t="s">
        <v>857</v>
      </c>
      <c r="BG556" s="1043" t="s">
        <v>857</v>
      </c>
      <c r="BH556" s="1075" t="s">
        <v>857</v>
      </c>
      <c r="BI556" s="1043" t="s">
        <v>857</v>
      </c>
      <c r="BJ556" s="1075" t="s">
        <v>857</v>
      </c>
      <c r="BK556" s="1043" t="s">
        <v>857</v>
      </c>
      <c r="BL556" s="1280" t="s">
        <v>324</v>
      </c>
      <c r="BM556" s="1043">
        <v>1</v>
      </c>
      <c r="BN556" s="1280" t="s">
        <v>21</v>
      </c>
      <c r="BO556" s="1043">
        <v>0.7</v>
      </c>
      <c r="BP556" s="1270">
        <v>360</v>
      </c>
      <c r="BQ556" s="1105">
        <v>1.06</v>
      </c>
      <c r="BR556" s="1271">
        <v>1800</v>
      </c>
      <c r="BS556" s="1043">
        <v>1</v>
      </c>
      <c r="BT556" s="1271">
        <v>3600</v>
      </c>
      <c r="BU556" s="1106">
        <v>0.94</v>
      </c>
      <c r="BV556" s="1268">
        <v>300</v>
      </c>
      <c r="BW556" s="1269">
        <v>1.08</v>
      </c>
      <c r="BX556" s="1277">
        <v>7200</v>
      </c>
      <c r="BY556" s="1043">
        <v>0.91</v>
      </c>
      <c r="BZ556" s="1386" t="s">
        <v>736</v>
      </c>
    </row>
    <row r="557" spans="2:78" ht="18" customHeight="1">
      <c r="B557" s="3647"/>
      <c r="C557" s="1971" t="s">
        <v>5640</v>
      </c>
      <c r="D557" s="1080">
        <v>5</v>
      </c>
      <c r="E557" s="768">
        <v>1.05</v>
      </c>
      <c r="F557" s="1080">
        <v>3</v>
      </c>
      <c r="G557" s="768">
        <v>1</v>
      </c>
      <c r="H557" s="1080">
        <v>2</v>
      </c>
      <c r="I557" s="768">
        <v>0.97</v>
      </c>
      <c r="J557" s="767">
        <v>5.5</v>
      </c>
      <c r="K557" s="768">
        <v>1.1000000000000001</v>
      </c>
      <c r="L557" s="767">
        <v>3.5</v>
      </c>
      <c r="M557" s="768">
        <v>1</v>
      </c>
      <c r="N557" s="767">
        <v>3</v>
      </c>
      <c r="O557" s="768">
        <v>0.97</v>
      </c>
      <c r="P557" s="1193">
        <v>8</v>
      </c>
      <c r="Q557" s="1194">
        <v>1.2</v>
      </c>
      <c r="R557" s="1193">
        <v>5</v>
      </c>
      <c r="S557" s="1194">
        <v>1</v>
      </c>
      <c r="T557" s="1193" t="s">
        <v>20</v>
      </c>
      <c r="U557" s="1194" t="s">
        <v>5656</v>
      </c>
      <c r="V557" s="767" t="s">
        <v>857</v>
      </c>
      <c r="W557" s="768" t="s">
        <v>857</v>
      </c>
      <c r="X557" s="767" t="s">
        <v>857</v>
      </c>
      <c r="Y557" s="768" t="s">
        <v>857</v>
      </c>
      <c r="Z557" s="767" t="s">
        <v>857</v>
      </c>
      <c r="AA557" s="768" t="s">
        <v>857</v>
      </c>
      <c r="AB557" s="767" t="s">
        <v>857</v>
      </c>
      <c r="AC557" s="768" t="s">
        <v>857</v>
      </c>
      <c r="AD557" s="767" t="s">
        <v>857</v>
      </c>
      <c r="AE557" s="768" t="s">
        <v>857</v>
      </c>
      <c r="AF557" s="767" t="s">
        <v>857</v>
      </c>
      <c r="AG557" s="768" t="s">
        <v>857</v>
      </c>
      <c r="AH557" s="767" t="s">
        <v>676</v>
      </c>
      <c r="AI557" s="768">
        <v>1.1000000000000001</v>
      </c>
      <c r="AJ557" s="767" t="s">
        <v>712</v>
      </c>
      <c r="AK557" s="768">
        <v>1</v>
      </c>
      <c r="AL557" s="767" t="s">
        <v>1500</v>
      </c>
      <c r="AM557" s="768">
        <v>0.8</v>
      </c>
      <c r="AN557" s="767" t="s">
        <v>857</v>
      </c>
      <c r="AO557" s="768" t="s">
        <v>857</v>
      </c>
      <c r="AP557" s="767" t="s">
        <v>857</v>
      </c>
      <c r="AQ557" s="768" t="s">
        <v>857</v>
      </c>
      <c r="AR557" s="767" t="s">
        <v>857</v>
      </c>
      <c r="AS557" s="768" t="s">
        <v>857</v>
      </c>
      <c r="AT557" s="767" t="s">
        <v>857</v>
      </c>
      <c r="AU557" s="768" t="s">
        <v>857</v>
      </c>
      <c r="AV557" s="767" t="s">
        <v>857</v>
      </c>
      <c r="AW557" s="768" t="s">
        <v>857</v>
      </c>
      <c r="AX557" s="767" t="s">
        <v>857</v>
      </c>
      <c r="AY557" s="768" t="s">
        <v>857</v>
      </c>
      <c r="AZ557" s="767" t="s">
        <v>857</v>
      </c>
      <c r="BA557" s="768" t="s">
        <v>857</v>
      </c>
      <c r="BB557" s="767" t="s">
        <v>857</v>
      </c>
      <c r="BC557" s="768" t="s">
        <v>857</v>
      </c>
      <c r="BD557" s="767" t="s">
        <v>857</v>
      </c>
      <c r="BE557" s="768" t="s">
        <v>857</v>
      </c>
      <c r="BF557" s="767" t="s">
        <v>857</v>
      </c>
      <c r="BG557" s="768" t="s">
        <v>857</v>
      </c>
      <c r="BH557" s="767" t="s">
        <v>857</v>
      </c>
      <c r="BI557" s="768" t="s">
        <v>857</v>
      </c>
      <c r="BJ557" s="767" t="s">
        <v>857</v>
      </c>
      <c r="BK557" s="768" t="s">
        <v>857</v>
      </c>
      <c r="BL557" s="1387" t="s">
        <v>324</v>
      </c>
      <c r="BM557" s="768">
        <v>1</v>
      </c>
      <c r="BN557" s="767" t="s">
        <v>21</v>
      </c>
      <c r="BO557" s="768">
        <v>0.7</v>
      </c>
      <c r="BP557" s="1270">
        <v>1000</v>
      </c>
      <c r="BQ557" s="1105">
        <v>1.06</v>
      </c>
      <c r="BR557" s="1271">
        <v>3000</v>
      </c>
      <c r="BS557" s="1043">
        <v>1</v>
      </c>
      <c r="BT557" s="1271">
        <v>10000</v>
      </c>
      <c r="BU557" s="1106">
        <v>0.93</v>
      </c>
      <c r="BV557" s="1268">
        <v>300</v>
      </c>
      <c r="BW557" s="1269">
        <v>1.1200000000000001</v>
      </c>
      <c r="BX557" s="1277">
        <v>20000</v>
      </c>
      <c r="BY557" s="1043">
        <v>0.91</v>
      </c>
      <c r="BZ557" s="1386" t="s">
        <v>736</v>
      </c>
    </row>
    <row r="558" spans="2:78" ht="18" customHeight="1">
      <c r="B558" s="3647"/>
      <c r="C558" s="1971" t="s">
        <v>5687</v>
      </c>
      <c r="D558" s="1080">
        <v>5</v>
      </c>
      <c r="E558" s="768">
        <v>1.05</v>
      </c>
      <c r="F558" s="1080">
        <v>3</v>
      </c>
      <c r="G558" s="768">
        <v>1</v>
      </c>
      <c r="H558" s="1080">
        <v>2</v>
      </c>
      <c r="I558" s="768">
        <v>0.95</v>
      </c>
      <c r="J558" s="767">
        <v>4.5</v>
      </c>
      <c r="K558" s="768">
        <v>1.1000000000000001</v>
      </c>
      <c r="L558" s="767">
        <v>3.5</v>
      </c>
      <c r="M558" s="768">
        <v>1</v>
      </c>
      <c r="N558" s="767">
        <v>3</v>
      </c>
      <c r="O558" s="768">
        <v>0.95</v>
      </c>
      <c r="P558" s="1075" t="s">
        <v>857</v>
      </c>
      <c r="Q558" s="1043" t="s">
        <v>857</v>
      </c>
      <c r="R558" s="1075" t="s">
        <v>857</v>
      </c>
      <c r="S558" s="1043" t="s">
        <v>857</v>
      </c>
      <c r="T558" s="1075" t="s">
        <v>857</v>
      </c>
      <c r="U558" s="1043" t="s">
        <v>857</v>
      </c>
      <c r="V558" s="767" t="s">
        <v>857</v>
      </c>
      <c r="W558" s="768" t="s">
        <v>857</v>
      </c>
      <c r="X558" s="767" t="s">
        <v>857</v>
      </c>
      <c r="Y558" s="768" t="s">
        <v>857</v>
      </c>
      <c r="Z558" s="767" t="s">
        <v>857</v>
      </c>
      <c r="AA558" s="768" t="s">
        <v>857</v>
      </c>
      <c r="AB558" s="767" t="s">
        <v>857</v>
      </c>
      <c r="AC558" s="768" t="s">
        <v>857</v>
      </c>
      <c r="AD558" s="767" t="s">
        <v>857</v>
      </c>
      <c r="AE558" s="768" t="s">
        <v>857</v>
      </c>
      <c r="AF558" s="767" t="s">
        <v>857</v>
      </c>
      <c r="AG558" s="768" t="s">
        <v>857</v>
      </c>
      <c r="AH558" s="767" t="s">
        <v>676</v>
      </c>
      <c r="AI558" s="768">
        <v>1.05</v>
      </c>
      <c r="AJ558" s="767" t="s">
        <v>712</v>
      </c>
      <c r="AK558" s="768">
        <v>1</v>
      </c>
      <c r="AL558" s="767" t="s">
        <v>1500</v>
      </c>
      <c r="AM558" s="768">
        <v>0.95</v>
      </c>
      <c r="AN558" s="767" t="s">
        <v>857</v>
      </c>
      <c r="AO558" s="768" t="s">
        <v>857</v>
      </c>
      <c r="AP558" s="767" t="s">
        <v>857</v>
      </c>
      <c r="AQ558" s="768" t="s">
        <v>857</v>
      </c>
      <c r="AR558" s="767" t="s">
        <v>857</v>
      </c>
      <c r="AS558" s="768" t="s">
        <v>857</v>
      </c>
      <c r="AT558" s="767" t="s">
        <v>857</v>
      </c>
      <c r="AU558" s="768" t="s">
        <v>857</v>
      </c>
      <c r="AV558" s="767" t="s">
        <v>857</v>
      </c>
      <c r="AW558" s="768" t="s">
        <v>857</v>
      </c>
      <c r="AX558" s="767" t="s">
        <v>857</v>
      </c>
      <c r="AY558" s="768" t="s">
        <v>857</v>
      </c>
      <c r="AZ558" s="767" t="s">
        <v>857</v>
      </c>
      <c r="BA558" s="768" t="s">
        <v>857</v>
      </c>
      <c r="BB558" s="767" t="s">
        <v>857</v>
      </c>
      <c r="BC558" s="768" t="s">
        <v>857</v>
      </c>
      <c r="BD558" s="767" t="s">
        <v>857</v>
      </c>
      <c r="BE558" s="768" t="s">
        <v>857</v>
      </c>
      <c r="BF558" s="767" t="s">
        <v>857</v>
      </c>
      <c r="BG558" s="768" t="s">
        <v>857</v>
      </c>
      <c r="BH558" s="767" t="s">
        <v>857</v>
      </c>
      <c r="BI558" s="768" t="s">
        <v>857</v>
      </c>
      <c r="BJ558" s="767" t="s">
        <v>857</v>
      </c>
      <c r="BK558" s="768" t="s">
        <v>857</v>
      </c>
      <c r="BL558" s="1387" t="s">
        <v>324</v>
      </c>
      <c r="BM558" s="768">
        <v>1</v>
      </c>
      <c r="BN558" s="767" t="s">
        <v>21</v>
      </c>
      <c r="BO558" s="768">
        <v>0.7</v>
      </c>
      <c r="BP558" s="1270">
        <v>1000</v>
      </c>
      <c r="BQ558" s="1105">
        <v>1.06</v>
      </c>
      <c r="BR558" s="1271">
        <v>3000</v>
      </c>
      <c r="BS558" s="1043">
        <v>1</v>
      </c>
      <c r="BT558" s="1271">
        <v>10000</v>
      </c>
      <c r="BU558" s="1106">
        <v>0.93</v>
      </c>
      <c r="BV558" s="1268">
        <v>300</v>
      </c>
      <c r="BW558" s="1269">
        <v>1.1200000000000001</v>
      </c>
      <c r="BX558" s="1277">
        <v>20000</v>
      </c>
      <c r="BY558" s="1043">
        <v>0.91</v>
      </c>
      <c r="BZ558" s="1386" t="s">
        <v>736</v>
      </c>
    </row>
    <row r="559" spans="2:78" ht="18" customHeight="1">
      <c r="B559" s="3647"/>
      <c r="C559" s="1971" t="s">
        <v>5641</v>
      </c>
      <c r="D559" s="1076" t="s">
        <v>1502</v>
      </c>
      <c r="E559" s="1077" t="s">
        <v>1502</v>
      </c>
      <c r="F559" s="1076" t="s">
        <v>1502</v>
      </c>
      <c r="G559" s="1077" t="s">
        <v>1502</v>
      </c>
      <c r="H559" s="1076" t="s">
        <v>1502</v>
      </c>
      <c r="I559" s="1077" t="s">
        <v>1502</v>
      </c>
      <c r="J559" s="1078">
        <v>9</v>
      </c>
      <c r="K559" s="1077">
        <v>1.4</v>
      </c>
      <c r="L559" s="1078">
        <v>3.5</v>
      </c>
      <c r="M559" s="1077">
        <v>1</v>
      </c>
      <c r="N559" s="1078">
        <v>3</v>
      </c>
      <c r="O559" s="1077">
        <v>0.95</v>
      </c>
      <c r="P559" s="1078">
        <v>20</v>
      </c>
      <c r="Q559" s="1077">
        <v>1.4</v>
      </c>
      <c r="R559" s="1078">
        <v>12</v>
      </c>
      <c r="S559" s="1077">
        <v>1</v>
      </c>
      <c r="T559" s="1078">
        <v>6</v>
      </c>
      <c r="U559" s="1077">
        <v>0.9</v>
      </c>
      <c r="V559" s="767">
        <v>200</v>
      </c>
      <c r="W559" s="768">
        <v>3</v>
      </c>
      <c r="X559" s="767">
        <v>20</v>
      </c>
      <c r="Y559" s="768">
        <v>1.5</v>
      </c>
      <c r="Z559" s="767">
        <v>10</v>
      </c>
      <c r="AA559" s="768">
        <v>1.2</v>
      </c>
      <c r="AB559" s="1078">
        <v>5</v>
      </c>
      <c r="AC559" s="1077">
        <v>1.1000000000000001</v>
      </c>
      <c r="AD559" s="767" t="s">
        <v>729</v>
      </c>
      <c r="AE559" s="1077">
        <v>1</v>
      </c>
      <c r="AF559" s="1078" t="s">
        <v>857</v>
      </c>
      <c r="AG559" s="1077" t="s">
        <v>857</v>
      </c>
      <c r="AH559" s="1078" t="s">
        <v>676</v>
      </c>
      <c r="AI559" s="1077">
        <v>1.1000000000000001</v>
      </c>
      <c r="AJ559" s="1078" t="s">
        <v>712</v>
      </c>
      <c r="AK559" s="1077">
        <v>1</v>
      </c>
      <c r="AL559" s="1078" t="s">
        <v>1500</v>
      </c>
      <c r="AM559" s="1077">
        <v>0.8</v>
      </c>
      <c r="AN559" s="1078" t="s">
        <v>857</v>
      </c>
      <c r="AO559" s="1077" t="s">
        <v>857</v>
      </c>
      <c r="AP559" s="1078" t="s">
        <v>857</v>
      </c>
      <c r="AQ559" s="1077" t="s">
        <v>857</v>
      </c>
      <c r="AR559" s="1078" t="s">
        <v>857</v>
      </c>
      <c r="AS559" s="1077" t="s">
        <v>857</v>
      </c>
      <c r="AT559" s="1078" t="s">
        <v>857</v>
      </c>
      <c r="AU559" s="1077" t="s">
        <v>857</v>
      </c>
      <c r="AV559" s="1078" t="s">
        <v>857</v>
      </c>
      <c r="AW559" s="1077" t="s">
        <v>857</v>
      </c>
      <c r="AX559" s="1078" t="s">
        <v>857</v>
      </c>
      <c r="AY559" s="1077" t="s">
        <v>857</v>
      </c>
      <c r="AZ559" s="1078" t="s">
        <v>857</v>
      </c>
      <c r="BA559" s="1077" t="s">
        <v>857</v>
      </c>
      <c r="BB559" s="1078" t="s">
        <v>857</v>
      </c>
      <c r="BC559" s="1077" t="s">
        <v>857</v>
      </c>
      <c r="BD559" s="1078" t="s">
        <v>857</v>
      </c>
      <c r="BE559" s="1077" t="s">
        <v>857</v>
      </c>
      <c r="BF559" s="1078" t="s">
        <v>857</v>
      </c>
      <c r="BG559" s="1077" t="s">
        <v>857</v>
      </c>
      <c r="BH559" s="1078" t="s">
        <v>857</v>
      </c>
      <c r="BI559" s="1077" t="s">
        <v>857</v>
      </c>
      <c r="BJ559" s="1078" t="s">
        <v>857</v>
      </c>
      <c r="BK559" s="1077" t="s">
        <v>857</v>
      </c>
      <c r="BL559" s="1388" t="s">
        <v>324</v>
      </c>
      <c r="BM559" s="1077">
        <v>1</v>
      </c>
      <c r="BN559" s="1078" t="s">
        <v>21</v>
      </c>
      <c r="BO559" s="1077">
        <v>0.7</v>
      </c>
      <c r="BP559" s="1270">
        <v>1000</v>
      </c>
      <c r="BQ559" s="1105">
        <v>1.06</v>
      </c>
      <c r="BR559" s="1271">
        <v>3000</v>
      </c>
      <c r="BS559" s="1043">
        <v>1</v>
      </c>
      <c r="BT559" s="1271">
        <v>10000</v>
      </c>
      <c r="BU559" s="1106">
        <v>0.93</v>
      </c>
      <c r="BV559" s="1268">
        <v>300</v>
      </c>
      <c r="BW559" s="1269">
        <v>1.1200000000000001</v>
      </c>
      <c r="BX559" s="1277">
        <v>20000</v>
      </c>
      <c r="BY559" s="1043">
        <v>0.91</v>
      </c>
      <c r="BZ559" s="1389" t="s">
        <v>736</v>
      </c>
    </row>
    <row r="560" spans="2:78" ht="18" customHeight="1">
      <c r="B560" s="3654" t="s">
        <v>22</v>
      </c>
      <c r="C560" s="1970" t="s">
        <v>5642</v>
      </c>
      <c r="D560" s="1385">
        <v>3</v>
      </c>
      <c r="E560" s="1044">
        <v>1.05</v>
      </c>
      <c r="F560" s="1385">
        <v>2</v>
      </c>
      <c r="G560" s="1044">
        <v>1</v>
      </c>
      <c r="H560" s="1385">
        <v>1</v>
      </c>
      <c r="I560" s="1044">
        <v>0.95</v>
      </c>
      <c r="J560" s="1073">
        <v>3.7</v>
      </c>
      <c r="K560" s="1044">
        <v>1.05</v>
      </c>
      <c r="L560" s="1073">
        <v>2.7</v>
      </c>
      <c r="M560" s="1044">
        <v>1</v>
      </c>
      <c r="N560" s="1073">
        <v>2.2000000000000002</v>
      </c>
      <c r="O560" s="1044">
        <v>0.95</v>
      </c>
      <c r="P560" s="1073" t="s">
        <v>857</v>
      </c>
      <c r="Q560" s="1044" t="s">
        <v>857</v>
      </c>
      <c r="R560" s="1073" t="s">
        <v>857</v>
      </c>
      <c r="S560" s="1044" t="s">
        <v>857</v>
      </c>
      <c r="T560" s="1073" t="s">
        <v>857</v>
      </c>
      <c r="U560" s="1044" t="s">
        <v>857</v>
      </c>
      <c r="V560" s="1073" t="s">
        <v>857</v>
      </c>
      <c r="W560" s="1044" t="s">
        <v>857</v>
      </c>
      <c r="X560" s="1073" t="s">
        <v>857</v>
      </c>
      <c r="Y560" s="1044" t="s">
        <v>857</v>
      </c>
      <c r="Z560" s="1073" t="s">
        <v>857</v>
      </c>
      <c r="AA560" s="1044" t="s">
        <v>1531</v>
      </c>
      <c r="AB560" s="1073" t="s">
        <v>857</v>
      </c>
      <c r="AC560" s="1044" t="s">
        <v>857</v>
      </c>
      <c r="AD560" s="1073" t="s">
        <v>857</v>
      </c>
      <c r="AE560" s="1044" t="s">
        <v>857</v>
      </c>
      <c r="AF560" s="1073" t="s">
        <v>857</v>
      </c>
      <c r="AG560" s="1044" t="s">
        <v>857</v>
      </c>
      <c r="AH560" s="1073" t="s">
        <v>676</v>
      </c>
      <c r="AI560" s="1044">
        <v>1.05</v>
      </c>
      <c r="AJ560" s="1073" t="s">
        <v>712</v>
      </c>
      <c r="AK560" s="1044">
        <v>1</v>
      </c>
      <c r="AL560" s="1073" t="s">
        <v>1498</v>
      </c>
      <c r="AM560" s="1044" t="s">
        <v>37</v>
      </c>
      <c r="AN560" s="1073">
        <v>1.92</v>
      </c>
      <c r="AO560" s="1044">
        <v>1.1000000000000001</v>
      </c>
      <c r="AP560" s="1073">
        <v>0.96</v>
      </c>
      <c r="AQ560" s="1044">
        <v>1</v>
      </c>
      <c r="AR560" s="1073">
        <v>0.54</v>
      </c>
      <c r="AS560" s="1044">
        <v>0.95</v>
      </c>
      <c r="AT560" s="1075" t="s">
        <v>5677</v>
      </c>
      <c r="AU560" s="1043" t="s">
        <v>5677</v>
      </c>
      <c r="AV560" s="1075" t="s">
        <v>5677</v>
      </c>
      <c r="AW560" s="1043" t="s">
        <v>5677</v>
      </c>
      <c r="AX560" s="1073" t="s">
        <v>5677</v>
      </c>
      <c r="AY560" s="1044" t="s">
        <v>5677</v>
      </c>
      <c r="AZ560" s="1075" t="s">
        <v>437</v>
      </c>
      <c r="BA560" s="1043">
        <v>1.05</v>
      </c>
      <c r="BB560" s="1075" t="s">
        <v>636</v>
      </c>
      <c r="BC560" s="1043">
        <v>1</v>
      </c>
      <c r="BD560" s="1073" t="s">
        <v>37</v>
      </c>
      <c r="BE560" s="1044" t="s">
        <v>37</v>
      </c>
      <c r="BF560" s="1073" t="s">
        <v>857</v>
      </c>
      <c r="BG560" s="1044" t="s">
        <v>857</v>
      </c>
      <c r="BH560" s="1073" t="s">
        <v>857</v>
      </c>
      <c r="BI560" s="1044" t="s">
        <v>857</v>
      </c>
      <c r="BJ560" s="1073" t="s">
        <v>857</v>
      </c>
      <c r="BK560" s="1044" t="s">
        <v>857</v>
      </c>
      <c r="BL560" s="1278" t="s">
        <v>324</v>
      </c>
      <c r="BM560" s="1044">
        <v>1</v>
      </c>
      <c r="BN560" s="1073" t="s">
        <v>21</v>
      </c>
      <c r="BO560" s="1044">
        <v>0.7</v>
      </c>
      <c r="BP560" s="1073" t="s">
        <v>857</v>
      </c>
      <c r="BQ560" s="1044" t="s">
        <v>857</v>
      </c>
      <c r="BR560" s="1073" t="s">
        <v>857</v>
      </c>
      <c r="BS560" s="1044" t="s">
        <v>857</v>
      </c>
      <c r="BT560" s="1073" t="s">
        <v>857</v>
      </c>
      <c r="BU560" s="1044" t="s">
        <v>857</v>
      </c>
      <c r="BV560" s="1073" t="s">
        <v>857</v>
      </c>
      <c r="BW560" s="1044" t="s">
        <v>857</v>
      </c>
      <c r="BX560" s="1073" t="s">
        <v>857</v>
      </c>
      <c r="BY560" s="1044" t="s">
        <v>857</v>
      </c>
      <c r="BZ560" s="1074" t="s">
        <v>23</v>
      </c>
    </row>
    <row r="561" spans="2:78" ht="18" customHeight="1">
      <c r="B561" s="3647"/>
      <c r="C561" s="1971" t="s">
        <v>5643</v>
      </c>
      <c r="D561" s="1273">
        <v>5</v>
      </c>
      <c r="E561" s="1043">
        <v>1.05</v>
      </c>
      <c r="F561" s="1273">
        <v>3</v>
      </c>
      <c r="G561" s="1043">
        <v>1</v>
      </c>
      <c r="H561" s="1273">
        <v>2</v>
      </c>
      <c r="I561" s="1043">
        <v>0.95</v>
      </c>
      <c r="J561" s="1075">
        <v>4.5</v>
      </c>
      <c r="K561" s="1043">
        <v>1.05</v>
      </c>
      <c r="L561" s="1075">
        <v>3.5</v>
      </c>
      <c r="M561" s="1043">
        <v>1</v>
      </c>
      <c r="N561" s="1075">
        <v>3</v>
      </c>
      <c r="O561" s="1043">
        <v>0.95</v>
      </c>
      <c r="P561" s="1075" t="s">
        <v>857</v>
      </c>
      <c r="Q561" s="1043" t="s">
        <v>857</v>
      </c>
      <c r="R561" s="1075" t="s">
        <v>857</v>
      </c>
      <c r="S561" s="1043" t="s">
        <v>857</v>
      </c>
      <c r="T561" s="1075" t="s">
        <v>857</v>
      </c>
      <c r="U561" s="1043" t="s">
        <v>857</v>
      </c>
      <c r="V561" s="1075" t="s">
        <v>857</v>
      </c>
      <c r="W561" s="1043" t="s">
        <v>857</v>
      </c>
      <c r="X561" s="1075" t="s">
        <v>857</v>
      </c>
      <c r="Y561" s="1043" t="s">
        <v>857</v>
      </c>
      <c r="Z561" s="1075" t="s">
        <v>857</v>
      </c>
      <c r="AA561" s="1043" t="s">
        <v>857</v>
      </c>
      <c r="AB561" s="1075" t="s">
        <v>857</v>
      </c>
      <c r="AC561" s="1043" t="s">
        <v>857</v>
      </c>
      <c r="AD561" s="1075" t="s">
        <v>857</v>
      </c>
      <c r="AE561" s="1043" t="s">
        <v>857</v>
      </c>
      <c r="AF561" s="1075" t="s">
        <v>857</v>
      </c>
      <c r="AG561" s="1043" t="s">
        <v>857</v>
      </c>
      <c r="AH561" s="1075" t="s">
        <v>676</v>
      </c>
      <c r="AI561" s="1043">
        <v>1.05</v>
      </c>
      <c r="AJ561" s="1075" t="s">
        <v>712</v>
      </c>
      <c r="AK561" s="1043">
        <v>1</v>
      </c>
      <c r="AL561" s="1075" t="s">
        <v>1498</v>
      </c>
      <c r="AM561" s="1043" t="s">
        <v>37</v>
      </c>
      <c r="AN561" s="1075">
        <v>1.92</v>
      </c>
      <c r="AO561" s="1043">
        <v>1.1000000000000001</v>
      </c>
      <c r="AP561" s="1075">
        <v>0.96</v>
      </c>
      <c r="AQ561" s="1043">
        <v>1</v>
      </c>
      <c r="AR561" s="1075">
        <v>0.54</v>
      </c>
      <c r="AS561" s="1043">
        <v>0.95</v>
      </c>
      <c r="AT561" s="1075" t="s">
        <v>5677</v>
      </c>
      <c r="AU561" s="1043" t="s">
        <v>5677</v>
      </c>
      <c r="AV561" s="1075" t="s">
        <v>5677</v>
      </c>
      <c r="AW561" s="1043" t="s">
        <v>5677</v>
      </c>
      <c r="AX561" s="1075" t="s">
        <v>5677</v>
      </c>
      <c r="AY561" s="1043" t="s">
        <v>5677</v>
      </c>
      <c r="AZ561" s="1075" t="s">
        <v>437</v>
      </c>
      <c r="BA561" s="1043">
        <v>1.05</v>
      </c>
      <c r="BB561" s="1075" t="s">
        <v>636</v>
      </c>
      <c r="BC561" s="1043">
        <v>1</v>
      </c>
      <c r="BD561" s="1075" t="s">
        <v>37</v>
      </c>
      <c r="BE561" s="1043" t="s">
        <v>37</v>
      </c>
      <c r="BF561" s="1075" t="s">
        <v>857</v>
      </c>
      <c r="BG561" s="1043" t="s">
        <v>857</v>
      </c>
      <c r="BH561" s="1075" t="s">
        <v>857</v>
      </c>
      <c r="BI561" s="1043" t="s">
        <v>857</v>
      </c>
      <c r="BJ561" s="1075" t="s">
        <v>857</v>
      </c>
      <c r="BK561" s="1043" t="s">
        <v>857</v>
      </c>
      <c r="BL561" s="1280" t="s">
        <v>324</v>
      </c>
      <c r="BM561" s="1043">
        <v>1</v>
      </c>
      <c r="BN561" s="1075" t="s">
        <v>21</v>
      </c>
      <c r="BO561" s="1043">
        <v>0.7</v>
      </c>
      <c r="BP561" s="1075" t="s">
        <v>857</v>
      </c>
      <c r="BQ561" s="1043" t="s">
        <v>857</v>
      </c>
      <c r="BR561" s="1075" t="s">
        <v>857</v>
      </c>
      <c r="BS561" s="1043" t="s">
        <v>857</v>
      </c>
      <c r="BT561" s="1075" t="s">
        <v>857</v>
      </c>
      <c r="BU561" s="1043" t="s">
        <v>857</v>
      </c>
      <c r="BV561" s="1075" t="s">
        <v>857</v>
      </c>
      <c r="BW561" s="1043" t="s">
        <v>857</v>
      </c>
      <c r="BX561" s="1075" t="s">
        <v>857</v>
      </c>
      <c r="BY561" s="1043" t="s">
        <v>857</v>
      </c>
      <c r="BZ561" s="1079" t="s">
        <v>23</v>
      </c>
    </row>
    <row r="562" spans="2:78" ht="18" customHeight="1">
      <c r="B562" s="3647"/>
      <c r="C562" s="1971" t="s">
        <v>5644</v>
      </c>
      <c r="D562" s="1080">
        <v>5</v>
      </c>
      <c r="E562" s="768">
        <v>1.05</v>
      </c>
      <c r="F562" s="1080">
        <v>3</v>
      </c>
      <c r="G562" s="768">
        <v>1</v>
      </c>
      <c r="H562" s="1080">
        <v>2</v>
      </c>
      <c r="I562" s="768">
        <v>0.97</v>
      </c>
      <c r="J562" s="767">
        <v>5.5</v>
      </c>
      <c r="K562" s="768">
        <v>1.1000000000000001</v>
      </c>
      <c r="L562" s="767">
        <v>3.5</v>
      </c>
      <c r="M562" s="768">
        <v>1</v>
      </c>
      <c r="N562" s="767">
        <v>3</v>
      </c>
      <c r="O562" s="768">
        <v>0.97</v>
      </c>
      <c r="P562" s="1075">
        <v>8</v>
      </c>
      <c r="Q562" s="1043">
        <v>1.2</v>
      </c>
      <c r="R562" s="1075">
        <v>5</v>
      </c>
      <c r="S562" s="1043">
        <v>1</v>
      </c>
      <c r="T562" s="1193" t="s">
        <v>20</v>
      </c>
      <c r="U562" s="1043" t="s">
        <v>5656</v>
      </c>
      <c r="V562" s="1075" t="s">
        <v>857</v>
      </c>
      <c r="W562" s="1043" t="s">
        <v>857</v>
      </c>
      <c r="X562" s="1075" t="s">
        <v>857</v>
      </c>
      <c r="Y562" s="1043" t="s">
        <v>857</v>
      </c>
      <c r="Z562" s="1075" t="s">
        <v>857</v>
      </c>
      <c r="AA562" s="1043" t="s">
        <v>857</v>
      </c>
      <c r="AB562" s="1075" t="s">
        <v>857</v>
      </c>
      <c r="AC562" s="1043" t="s">
        <v>857</v>
      </c>
      <c r="AD562" s="1075" t="s">
        <v>857</v>
      </c>
      <c r="AE562" s="1043" t="s">
        <v>857</v>
      </c>
      <c r="AF562" s="1075" t="s">
        <v>857</v>
      </c>
      <c r="AG562" s="1043" t="s">
        <v>857</v>
      </c>
      <c r="AH562" s="1075" t="s">
        <v>676</v>
      </c>
      <c r="AI562" s="1043">
        <v>1.05</v>
      </c>
      <c r="AJ562" s="1075" t="s">
        <v>712</v>
      </c>
      <c r="AK562" s="1043">
        <v>1</v>
      </c>
      <c r="AL562" s="1075" t="s">
        <v>1498</v>
      </c>
      <c r="AM562" s="1043" t="s">
        <v>37</v>
      </c>
      <c r="AN562" s="767">
        <v>1.6</v>
      </c>
      <c r="AO562" s="768">
        <v>1.1000000000000001</v>
      </c>
      <c r="AP562" s="767">
        <v>0.8</v>
      </c>
      <c r="AQ562" s="768">
        <v>1</v>
      </c>
      <c r="AR562" s="767">
        <v>0.45</v>
      </c>
      <c r="AS562" s="768">
        <v>0.95</v>
      </c>
      <c r="AT562" s="767" t="s">
        <v>5674</v>
      </c>
      <c r="AU562" s="768">
        <v>1.35</v>
      </c>
      <c r="AV562" s="767" t="s">
        <v>5675</v>
      </c>
      <c r="AW562" s="1043">
        <v>1.25</v>
      </c>
      <c r="AX562" s="767" t="s">
        <v>5676</v>
      </c>
      <c r="AY562" s="1043">
        <v>1.1499999999999999</v>
      </c>
      <c r="AZ562" s="767" t="s">
        <v>730</v>
      </c>
      <c r="BA562" s="768">
        <v>1.05</v>
      </c>
      <c r="BB562" s="1075" t="s">
        <v>636</v>
      </c>
      <c r="BC562" s="1043">
        <v>1</v>
      </c>
      <c r="BD562" s="1075" t="s">
        <v>37</v>
      </c>
      <c r="BE562" s="1043" t="s">
        <v>37</v>
      </c>
      <c r="BF562" s="1075" t="s">
        <v>857</v>
      </c>
      <c r="BG562" s="1043" t="s">
        <v>857</v>
      </c>
      <c r="BH562" s="1075" t="s">
        <v>857</v>
      </c>
      <c r="BI562" s="1043" t="s">
        <v>857</v>
      </c>
      <c r="BJ562" s="1075" t="s">
        <v>857</v>
      </c>
      <c r="BK562" s="1043" t="s">
        <v>857</v>
      </c>
      <c r="BL562" s="1280" t="s">
        <v>324</v>
      </c>
      <c r="BM562" s="1043">
        <v>1</v>
      </c>
      <c r="BN562" s="1075" t="s">
        <v>21</v>
      </c>
      <c r="BO562" s="1043">
        <v>0.7</v>
      </c>
      <c r="BP562" s="1075" t="s">
        <v>857</v>
      </c>
      <c r="BQ562" s="1043" t="s">
        <v>857</v>
      </c>
      <c r="BR562" s="1075" t="s">
        <v>857</v>
      </c>
      <c r="BS562" s="1043" t="s">
        <v>857</v>
      </c>
      <c r="BT562" s="1075" t="s">
        <v>857</v>
      </c>
      <c r="BU562" s="1043" t="s">
        <v>857</v>
      </c>
      <c r="BV562" s="1075" t="s">
        <v>857</v>
      </c>
      <c r="BW562" s="1043" t="s">
        <v>857</v>
      </c>
      <c r="BX562" s="1075" t="s">
        <v>857</v>
      </c>
      <c r="BY562" s="1043" t="s">
        <v>857</v>
      </c>
      <c r="BZ562" s="1079" t="s">
        <v>23</v>
      </c>
    </row>
    <row r="563" spans="2:78" ht="18" customHeight="1">
      <c r="B563" s="3647"/>
      <c r="C563" s="1971" t="s">
        <v>5688</v>
      </c>
      <c r="D563" s="1080">
        <v>5</v>
      </c>
      <c r="E563" s="768">
        <v>1.05</v>
      </c>
      <c r="F563" s="1081">
        <v>3</v>
      </c>
      <c r="G563" s="768">
        <v>1</v>
      </c>
      <c r="H563" s="1080">
        <v>2</v>
      </c>
      <c r="I563" s="768">
        <v>0.95</v>
      </c>
      <c r="J563" s="767">
        <v>4.5</v>
      </c>
      <c r="K563" s="768">
        <v>1.05</v>
      </c>
      <c r="L563" s="767">
        <v>3.5</v>
      </c>
      <c r="M563" s="768">
        <v>1</v>
      </c>
      <c r="N563" s="767">
        <v>3</v>
      </c>
      <c r="O563" s="768">
        <v>0.95</v>
      </c>
      <c r="P563" s="767" t="s">
        <v>857</v>
      </c>
      <c r="Q563" s="768" t="s">
        <v>857</v>
      </c>
      <c r="R563" s="767" t="s">
        <v>857</v>
      </c>
      <c r="S563" s="768" t="s">
        <v>857</v>
      </c>
      <c r="T563" s="767" t="s">
        <v>857</v>
      </c>
      <c r="U563" s="768" t="s">
        <v>857</v>
      </c>
      <c r="V563" s="767" t="s">
        <v>857</v>
      </c>
      <c r="W563" s="768" t="s">
        <v>857</v>
      </c>
      <c r="X563" s="767" t="s">
        <v>857</v>
      </c>
      <c r="Y563" s="768" t="s">
        <v>857</v>
      </c>
      <c r="Z563" s="767" t="s">
        <v>857</v>
      </c>
      <c r="AA563" s="768" t="s">
        <v>857</v>
      </c>
      <c r="AB563" s="767" t="s">
        <v>857</v>
      </c>
      <c r="AC563" s="768" t="s">
        <v>857</v>
      </c>
      <c r="AD563" s="767" t="s">
        <v>857</v>
      </c>
      <c r="AE563" s="768" t="s">
        <v>857</v>
      </c>
      <c r="AF563" s="767" t="s">
        <v>857</v>
      </c>
      <c r="AG563" s="768" t="s">
        <v>857</v>
      </c>
      <c r="AH563" s="767" t="s">
        <v>676</v>
      </c>
      <c r="AI563" s="768">
        <v>1.05</v>
      </c>
      <c r="AJ563" s="767" t="s">
        <v>712</v>
      </c>
      <c r="AK563" s="768">
        <v>1</v>
      </c>
      <c r="AL563" s="767" t="s">
        <v>1498</v>
      </c>
      <c r="AM563" s="1043" t="s">
        <v>37</v>
      </c>
      <c r="AN563" s="767">
        <v>2.1</v>
      </c>
      <c r="AO563" s="768">
        <v>1.1000000000000001</v>
      </c>
      <c r="AP563" s="767">
        <v>1.05</v>
      </c>
      <c r="AQ563" s="768">
        <v>1</v>
      </c>
      <c r="AR563" s="767">
        <v>0.59</v>
      </c>
      <c r="AS563" s="768">
        <v>0.95</v>
      </c>
      <c r="AT563" s="1075" t="s">
        <v>857</v>
      </c>
      <c r="AU563" s="1043" t="s">
        <v>857</v>
      </c>
      <c r="AV563" s="1075" t="s">
        <v>857</v>
      </c>
      <c r="AW563" s="1043" t="s">
        <v>857</v>
      </c>
      <c r="AX563" s="1075" t="s">
        <v>857</v>
      </c>
      <c r="AY563" s="1043" t="s">
        <v>857</v>
      </c>
      <c r="AZ563" s="767" t="s">
        <v>730</v>
      </c>
      <c r="BA563" s="768">
        <v>1.05</v>
      </c>
      <c r="BB563" s="1075" t="s">
        <v>636</v>
      </c>
      <c r="BC563" s="1043">
        <v>1</v>
      </c>
      <c r="BD563" s="1075" t="s">
        <v>37</v>
      </c>
      <c r="BE563" s="1043" t="s">
        <v>37</v>
      </c>
      <c r="BF563" s="767" t="s">
        <v>857</v>
      </c>
      <c r="BG563" s="768" t="s">
        <v>857</v>
      </c>
      <c r="BH563" s="767" t="s">
        <v>857</v>
      </c>
      <c r="BI563" s="768" t="s">
        <v>857</v>
      </c>
      <c r="BJ563" s="767" t="s">
        <v>857</v>
      </c>
      <c r="BK563" s="768" t="s">
        <v>857</v>
      </c>
      <c r="BL563" s="1387" t="s">
        <v>712</v>
      </c>
      <c r="BM563" s="768">
        <v>1</v>
      </c>
      <c r="BN563" s="767" t="s">
        <v>1011</v>
      </c>
      <c r="BO563" s="768">
        <v>0.7</v>
      </c>
      <c r="BP563" s="767" t="s">
        <v>857</v>
      </c>
      <c r="BQ563" s="768" t="s">
        <v>857</v>
      </c>
      <c r="BR563" s="767" t="s">
        <v>857</v>
      </c>
      <c r="BS563" s="768" t="s">
        <v>857</v>
      </c>
      <c r="BT563" s="767" t="s">
        <v>857</v>
      </c>
      <c r="BU563" s="768" t="s">
        <v>857</v>
      </c>
      <c r="BV563" s="767" t="s">
        <v>857</v>
      </c>
      <c r="BW563" s="768" t="s">
        <v>857</v>
      </c>
      <c r="BX563" s="767" t="s">
        <v>857</v>
      </c>
      <c r="BY563" s="768" t="s">
        <v>857</v>
      </c>
      <c r="BZ563" s="1079" t="s">
        <v>882</v>
      </c>
    </row>
    <row r="564" spans="2:78" ht="18" customHeight="1">
      <c r="B564" s="3647"/>
      <c r="C564" s="1971" t="s">
        <v>5645</v>
      </c>
      <c r="D564" s="1080" t="s">
        <v>857</v>
      </c>
      <c r="E564" s="768" t="s">
        <v>857</v>
      </c>
      <c r="F564" s="1081" t="s">
        <v>23</v>
      </c>
      <c r="G564" s="768" t="s">
        <v>857</v>
      </c>
      <c r="H564" s="1080" t="s">
        <v>857</v>
      </c>
      <c r="I564" s="768" t="s">
        <v>857</v>
      </c>
      <c r="J564" s="767">
        <v>5.5</v>
      </c>
      <c r="K564" s="768">
        <v>1.1000000000000001</v>
      </c>
      <c r="L564" s="767">
        <v>3.5</v>
      </c>
      <c r="M564" s="768">
        <v>1</v>
      </c>
      <c r="N564" s="767">
        <v>3</v>
      </c>
      <c r="O564" s="768">
        <v>0.97</v>
      </c>
      <c r="P564" s="767">
        <v>7</v>
      </c>
      <c r="Q564" s="768">
        <v>1.1000000000000001</v>
      </c>
      <c r="R564" s="767">
        <v>5</v>
      </c>
      <c r="S564" s="768">
        <v>1</v>
      </c>
      <c r="T564" s="767">
        <v>4</v>
      </c>
      <c r="U564" s="768">
        <v>0.95</v>
      </c>
      <c r="V564" s="767">
        <v>200</v>
      </c>
      <c r="W564" s="768">
        <v>2.2000000000000002</v>
      </c>
      <c r="X564" s="767">
        <v>30</v>
      </c>
      <c r="Y564" s="768">
        <v>1.1499999999999999</v>
      </c>
      <c r="Z564" s="767">
        <v>20</v>
      </c>
      <c r="AA564" s="768">
        <v>1.1000000000000001</v>
      </c>
      <c r="AB564" s="1078">
        <v>10</v>
      </c>
      <c r="AC564" s="1077">
        <v>1.05</v>
      </c>
      <c r="AD564" s="767" t="s">
        <v>729</v>
      </c>
      <c r="AE564" s="1043">
        <v>1</v>
      </c>
      <c r="AF564" s="767" t="s">
        <v>857</v>
      </c>
      <c r="AG564" s="768" t="s">
        <v>857</v>
      </c>
      <c r="AH564" s="767" t="s">
        <v>676</v>
      </c>
      <c r="AI564" s="768">
        <v>1.05</v>
      </c>
      <c r="AJ564" s="767" t="s">
        <v>712</v>
      </c>
      <c r="AK564" s="768">
        <v>1</v>
      </c>
      <c r="AL564" s="767" t="s">
        <v>1498</v>
      </c>
      <c r="AM564" s="1043" t="s">
        <v>37</v>
      </c>
      <c r="AN564" s="767">
        <v>1.6</v>
      </c>
      <c r="AO564" s="768">
        <v>1.1000000000000001</v>
      </c>
      <c r="AP564" s="767">
        <v>1.2</v>
      </c>
      <c r="AQ564" s="768">
        <v>1</v>
      </c>
      <c r="AR564" s="767">
        <v>0.64</v>
      </c>
      <c r="AS564" s="768">
        <v>0.95</v>
      </c>
      <c r="AT564" s="1078" t="s">
        <v>857</v>
      </c>
      <c r="AU564" s="1077" t="s">
        <v>857</v>
      </c>
      <c r="AV564" s="1078" t="s">
        <v>857</v>
      </c>
      <c r="AW564" s="1077" t="s">
        <v>857</v>
      </c>
      <c r="AX564" s="1078" t="s">
        <v>857</v>
      </c>
      <c r="AY564" s="1077" t="s">
        <v>857</v>
      </c>
      <c r="AZ564" s="767" t="s">
        <v>730</v>
      </c>
      <c r="BA564" s="768">
        <v>1.05</v>
      </c>
      <c r="BB564" s="1075" t="s">
        <v>636</v>
      </c>
      <c r="BC564" s="1043">
        <v>1</v>
      </c>
      <c r="BD564" s="1075" t="s">
        <v>37</v>
      </c>
      <c r="BE564" s="1043" t="s">
        <v>37</v>
      </c>
      <c r="BF564" s="1075" t="s">
        <v>857</v>
      </c>
      <c r="BG564" s="1043" t="s">
        <v>857</v>
      </c>
      <c r="BH564" s="1075" t="s">
        <v>857</v>
      </c>
      <c r="BI564" s="1043" t="s">
        <v>857</v>
      </c>
      <c r="BJ564" s="1075" t="s">
        <v>857</v>
      </c>
      <c r="BK564" s="1043" t="s">
        <v>857</v>
      </c>
      <c r="BL564" s="1387" t="s">
        <v>324</v>
      </c>
      <c r="BM564" s="768">
        <v>1</v>
      </c>
      <c r="BN564" s="767" t="s">
        <v>21</v>
      </c>
      <c r="BO564" s="768">
        <v>0.7</v>
      </c>
      <c r="BP564" s="767" t="s">
        <v>857</v>
      </c>
      <c r="BQ564" s="768" t="s">
        <v>857</v>
      </c>
      <c r="BR564" s="767" t="s">
        <v>857</v>
      </c>
      <c r="BS564" s="768" t="s">
        <v>857</v>
      </c>
      <c r="BT564" s="767" t="s">
        <v>857</v>
      </c>
      <c r="BU564" s="768" t="s">
        <v>857</v>
      </c>
      <c r="BV564" s="767" t="s">
        <v>857</v>
      </c>
      <c r="BW564" s="768" t="s">
        <v>857</v>
      </c>
      <c r="BX564" s="767" t="s">
        <v>857</v>
      </c>
      <c r="BY564" s="768" t="s">
        <v>857</v>
      </c>
      <c r="BZ564" s="1079" t="s">
        <v>23</v>
      </c>
    </row>
    <row r="565" spans="2:78" ht="18" customHeight="1">
      <c r="B565" s="3654" t="s">
        <v>24</v>
      </c>
      <c r="C565" s="1970" t="s">
        <v>5659</v>
      </c>
      <c r="D565" s="1385" t="s">
        <v>5663</v>
      </c>
      <c r="E565" s="1101" t="s">
        <v>5664</v>
      </c>
      <c r="F565" s="1385" t="s">
        <v>5664</v>
      </c>
      <c r="G565" s="1044" t="s">
        <v>5664</v>
      </c>
      <c r="H565" s="1100" t="s">
        <v>5664</v>
      </c>
      <c r="I565" s="1044" t="s">
        <v>5664</v>
      </c>
      <c r="J565" s="1385" t="s">
        <v>5663</v>
      </c>
      <c r="K565" s="1101" t="s">
        <v>5664</v>
      </c>
      <c r="L565" s="1385" t="s">
        <v>5664</v>
      </c>
      <c r="M565" s="1044" t="s">
        <v>5664</v>
      </c>
      <c r="N565" s="1100" t="s">
        <v>5664</v>
      </c>
      <c r="O565" s="1044" t="s">
        <v>5664</v>
      </c>
      <c r="P565" s="1073" t="s">
        <v>857</v>
      </c>
      <c r="Q565" s="1044" t="s">
        <v>857</v>
      </c>
      <c r="R565" s="1073" t="s">
        <v>857</v>
      </c>
      <c r="S565" s="1044" t="s">
        <v>857</v>
      </c>
      <c r="T565" s="1073" t="s">
        <v>857</v>
      </c>
      <c r="U565" s="1044" t="s">
        <v>857</v>
      </c>
      <c r="V565" s="1073" t="s">
        <v>857</v>
      </c>
      <c r="W565" s="1044" t="s">
        <v>857</v>
      </c>
      <c r="X565" s="1073" t="s">
        <v>857</v>
      </c>
      <c r="Y565" s="1044" t="s">
        <v>857</v>
      </c>
      <c r="Z565" s="1073" t="s">
        <v>857</v>
      </c>
      <c r="AA565" s="1044" t="s">
        <v>857</v>
      </c>
      <c r="AB565" s="1073" t="s">
        <v>857</v>
      </c>
      <c r="AC565" s="1044" t="s">
        <v>857</v>
      </c>
      <c r="AD565" s="1073" t="s">
        <v>857</v>
      </c>
      <c r="AE565" s="1044" t="s">
        <v>857</v>
      </c>
      <c r="AF565" s="1073" t="s">
        <v>857</v>
      </c>
      <c r="AG565" s="1044" t="s">
        <v>857</v>
      </c>
      <c r="AH565" s="1073" t="s">
        <v>857</v>
      </c>
      <c r="AI565" s="1044" t="s">
        <v>857</v>
      </c>
      <c r="AJ565" s="1073" t="s">
        <v>857</v>
      </c>
      <c r="AK565" s="1044" t="s">
        <v>857</v>
      </c>
      <c r="AL565" s="1073" t="s">
        <v>857</v>
      </c>
      <c r="AM565" s="1044" t="s">
        <v>857</v>
      </c>
      <c r="AN565" s="1073" t="s">
        <v>857</v>
      </c>
      <c r="AO565" s="1044" t="s">
        <v>857</v>
      </c>
      <c r="AP565" s="1073" t="s">
        <v>857</v>
      </c>
      <c r="AQ565" s="1044" t="s">
        <v>857</v>
      </c>
      <c r="AR565" s="1073" t="s">
        <v>857</v>
      </c>
      <c r="AS565" s="1044" t="s">
        <v>857</v>
      </c>
      <c r="AT565" s="1073" t="s">
        <v>857</v>
      </c>
      <c r="AU565" s="1044" t="s">
        <v>857</v>
      </c>
      <c r="AV565" s="1073" t="s">
        <v>857</v>
      </c>
      <c r="AW565" s="1044" t="s">
        <v>857</v>
      </c>
      <c r="AX565" s="1073" t="s">
        <v>857</v>
      </c>
      <c r="AY565" s="1044" t="s">
        <v>857</v>
      </c>
      <c r="AZ565" s="1073" t="s">
        <v>857</v>
      </c>
      <c r="BA565" s="1044" t="s">
        <v>857</v>
      </c>
      <c r="BB565" s="1073" t="s">
        <v>857</v>
      </c>
      <c r="BC565" s="1044" t="s">
        <v>857</v>
      </c>
      <c r="BD565" s="1073" t="s">
        <v>857</v>
      </c>
      <c r="BE565" s="1044" t="s">
        <v>857</v>
      </c>
      <c r="BF565" s="1385" t="s">
        <v>5663</v>
      </c>
      <c r="BG565" s="1101" t="s">
        <v>5664</v>
      </c>
      <c r="BH565" s="1385" t="s">
        <v>5664</v>
      </c>
      <c r="BI565" s="1044" t="s">
        <v>5664</v>
      </c>
      <c r="BJ565" s="1100" t="s">
        <v>5664</v>
      </c>
      <c r="BK565" s="1044" t="s">
        <v>5664</v>
      </c>
      <c r="BL565" s="1385" t="s">
        <v>5664</v>
      </c>
      <c r="BM565" s="1044" t="s">
        <v>5664</v>
      </c>
      <c r="BN565" s="1100" t="s">
        <v>5664</v>
      </c>
      <c r="BO565" s="1044" t="s">
        <v>5664</v>
      </c>
      <c r="BP565" s="1278" t="s">
        <v>23</v>
      </c>
      <c r="BQ565" s="1082" t="s">
        <v>23</v>
      </c>
      <c r="BR565" s="1278" t="s">
        <v>23</v>
      </c>
      <c r="BS565" s="1082" t="s">
        <v>23</v>
      </c>
      <c r="BT565" s="1278" t="s">
        <v>23</v>
      </c>
      <c r="BU565" s="1082" t="s">
        <v>23</v>
      </c>
      <c r="BV565" s="1278" t="s">
        <v>23</v>
      </c>
      <c r="BW565" s="1082" t="s">
        <v>23</v>
      </c>
      <c r="BX565" s="1278" t="s">
        <v>23</v>
      </c>
      <c r="BY565" s="1082" t="s">
        <v>23</v>
      </c>
      <c r="BZ565" s="1074" t="s">
        <v>23</v>
      </c>
    </row>
    <row r="566" spans="2:78" ht="18" customHeight="1">
      <c r="B566" s="3647"/>
      <c r="C566" s="1971" t="s">
        <v>5660</v>
      </c>
      <c r="D566" s="1273" t="s">
        <v>5663</v>
      </c>
      <c r="E566" s="1105" t="s">
        <v>5664</v>
      </c>
      <c r="F566" s="1273" t="s">
        <v>5664</v>
      </c>
      <c r="G566" s="1043" t="s">
        <v>5664</v>
      </c>
      <c r="H566" s="1104" t="s">
        <v>5664</v>
      </c>
      <c r="I566" s="1043" t="s">
        <v>5664</v>
      </c>
      <c r="J566" s="1273" t="s">
        <v>5663</v>
      </c>
      <c r="K566" s="1105" t="s">
        <v>5664</v>
      </c>
      <c r="L566" s="1273" t="s">
        <v>5664</v>
      </c>
      <c r="M566" s="1043" t="s">
        <v>5664</v>
      </c>
      <c r="N566" s="1104" t="s">
        <v>5664</v>
      </c>
      <c r="O566" s="1043" t="s">
        <v>5664</v>
      </c>
      <c r="P566" s="1080" t="s">
        <v>857</v>
      </c>
      <c r="Q566" s="768" t="s">
        <v>857</v>
      </c>
      <c r="R566" s="1080" t="s">
        <v>857</v>
      </c>
      <c r="S566" s="768" t="s">
        <v>857</v>
      </c>
      <c r="T566" s="1080" t="s">
        <v>857</v>
      </c>
      <c r="U566" s="768" t="s">
        <v>857</v>
      </c>
      <c r="V566" s="1080" t="s">
        <v>857</v>
      </c>
      <c r="W566" s="768" t="s">
        <v>857</v>
      </c>
      <c r="X566" s="1080" t="s">
        <v>857</v>
      </c>
      <c r="Y566" s="768" t="s">
        <v>857</v>
      </c>
      <c r="Z566" s="1080" t="s">
        <v>857</v>
      </c>
      <c r="AA566" s="768" t="s">
        <v>857</v>
      </c>
      <c r="AB566" s="1080" t="s">
        <v>857</v>
      </c>
      <c r="AC566" s="768" t="s">
        <v>857</v>
      </c>
      <c r="AD566" s="1080" t="s">
        <v>857</v>
      </c>
      <c r="AE566" s="768" t="s">
        <v>857</v>
      </c>
      <c r="AF566" s="1075" t="s">
        <v>857</v>
      </c>
      <c r="AG566" s="1043" t="s">
        <v>857</v>
      </c>
      <c r="AH566" s="1075" t="s">
        <v>857</v>
      </c>
      <c r="AI566" s="1043" t="s">
        <v>857</v>
      </c>
      <c r="AJ566" s="1075" t="s">
        <v>857</v>
      </c>
      <c r="AK566" s="1043" t="s">
        <v>857</v>
      </c>
      <c r="AL566" s="1075" t="s">
        <v>857</v>
      </c>
      <c r="AM566" s="1043" t="s">
        <v>857</v>
      </c>
      <c r="AN566" s="1075" t="s">
        <v>857</v>
      </c>
      <c r="AO566" s="1043" t="s">
        <v>857</v>
      </c>
      <c r="AP566" s="1075" t="s">
        <v>857</v>
      </c>
      <c r="AQ566" s="1043" t="s">
        <v>857</v>
      </c>
      <c r="AR566" s="1075" t="s">
        <v>857</v>
      </c>
      <c r="AS566" s="1043" t="s">
        <v>857</v>
      </c>
      <c r="AT566" s="1075" t="s">
        <v>857</v>
      </c>
      <c r="AU566" s="1043" t="s">
        <v>857</v>
      </c>
      <c r="AV566" s="1075" t="s">
        <v>857</v>
      </c>
      <c r="AW566" s="1043" t="s">
        <v>857</v>
      </c>
      <c r="AX566" s="1075" t="s">
        <v>857</v>
      </c>
      <c r="AY566" s="1043" t="s">
        <v>857</v>
      </c>
      <c r="AZ566" s="1075" t="s">
        <v>857</v>
      </c>
      <c r="BA566" s="1043" t="s">
        <v>857</v>
      </c>
      <c r="BB566" s="1075" t="s">
        <v>857</v>
      </c>
      <c r="BC566" s="1043" t="s">
        <v>857</v>
      </c>
      <c r="BD566" s="1075" t="s">
        <v>857</v>
      </c>
      <c r="BE566" s="1043" t="s">
        <v>857</v>
      </c>
      <c r="BF566" s="1273" t="s">
        <v>5663</v>
      </c>
      <c r="BG566" s="1105" t="s">
        <v>5664</v>
      </c>
      <c r="BH566" s="1273" t="s">
        <v>5664</v>
      </c>
      <c r="BI566" s="1043" t="s">
        <v>5664</v>
      </c>
      <c r="BJ566" s="1104" t="s">
        <v>5664</v>
      </c>
      <c r="BK566" s="1043" t="s">
        <v>5664</v>
      </c>
      <c r="BL566" s="1273" t="s">
        <v>5664</v>
      </c>
      <c r="BM566" s="1043" t="s">
        <v>5664</v>
      </c>
      <c r="BN566" s="1104" t="s">
        <v>5664</v>
      </c>
      <c r="BO566" s="1043" t="s">
        <v>5664</v>
      </c>
      <c r="BP566" s="1075" t="s">
        <v>857</v>
      </c>
      <c r="BQ566" s="1043" t="s">
        <v>857</v>
      </c>
      <c r="BR566" s="1075" t="s">
        <v>857</v>
      </c>
      <c r="BS566" s="1043" t="s">
        <v>857</v>
      </c>
      <c r="BT566" s="1075" t="s">
        <v>857</v>
      </c>
      <c r="BU566" s="1043" t="s">
        <v>857</v>
      </c>
      <c r="BV566" s="1075" t="s">
        <v>857</v>
      </c>
      <c r="BW566" s="1043" t="s">
        <v>857</v>
      </c>
      <c r="BX566" s="1075" t="s">
        <v>857</v>
      </c>
      <c r="BY566" s="1043" t="s">
        <v>857</v>
      </c>
      <c r="BZ566" s="1079" t="s">
        <v>882</v>
      </c>
    </row>
    <row r="567" spans="2:78" ht="18" customHeight="1">
      <c r="B567" s="3647"/>
      <c r="C567" s="1971" t="s">
        <v>5661</v>
      </c>
      <c r="D567" s="1080" t="s">
        <v>857</v>
      </c>
      <c r="E567" s="768" t="s">
        <v>857</v>
      </c>
      <c r="F567" s="1080" t="s">
        <v>857</v>
      </c>
      <c r="G567" s="768" t="s">
        <v>857</v>
      </c>
      <c r="H567" s="1080" t="s">
        <v>857</v>
      </c>
      <c r="I567" s="768" t="s">
        <v>857</v>
      </c>
      <c r="J567" s="1080" t="s">
        <v>857</v>
      </c>
      <c r="K567" s="768" t="s">
        <v>857</v>
      </c>
      <c r="L567" s="1080" t="s">
        <v>857</v>
      </c>
      <c r="M567" s="768" t="s">
        <v>857</v>
      </c>
      <c r="N567" s="1080" t="s">
        <v>857</v>
      </c>
      <c r="O567" s="768" t="s">
        <v>857</v>
      </c>
      <c r="P567" s="1080" t="s">
        <v>857</v>
      </c>
      <c r="Q567" s="768" t="s">
        <v>857</v>
      </c>
      <c r="R567" s="1080" t="s">
        <v>857</v>
      </c>
      <c r="S567" s="768" t="s">
        <v>857</v>
      </c>
      <c r="T567" s="1080" t="s">
        <v>857</v>
      </c>
      <c r="U567" s="768" t="s">
        <v>857</v>
      </c>
      <c r="V567" s="1080" t="s">
        <v>857</v>
      </c>
      <c r="W567" s="768" t="s">
        <v>857</v>
      </c>
      <c r="X567" s="1080" t="s">
        <v>857</v>
      </c>
      <c r="Y567" s="768" t="s">
        <v>857</v>
      </c>
      <c r="Z567" s="1080" t="s">
        <v>857</v>
      </c>
      <c r="AA567" s="768" t="s">
        <v>857</v>
      </c>
      <c r="AB567" s="1080" t="s">
        <v>857</v>
      </c>
      <c r="AC567" s="768" t="s">
        <v>857</v>
      </c>
      <c r="AD567" s="1080" t="s">
        <v>857</v>
      </c>
      <c r="AE567" s="768" t="s">
        <v>857</v>
      </c>
      <c r="AF567" s="1075" t="s">
        <v>857</v>
      </c>
      <c r="AG567" s="1043" t="s">
        <v>857</v>
      </c>
      <c r="AH567" s="1075" t="s">
        <v>676</v>
      </c>
      <c r="AI567" s="1043">
        <v>1.1000000000000001</v>
      </c>
      <c r="AJ567" s="1075" t="s">
        <v>712</v>
      </c>
      <c r="AK567" s="1043">
        <v>1</v>
      </c>
      <c r="AL567" s="1075" t="s">
        <v>1500</v>
      </c>
      <c r="AM567" s="1043">
        <v>0.8</v>
      </c>
      <c r="AN567" s="1075" t="s">
        <v>857</v>
      </c>
      <c r="AO567" s="1043" t="s">
        <v>857</v>
      </c>
      <c r="AP567" s="1075" t="s">
        <v>857</v>
      </c>
      <c r="AQ567" s="1043" t="s">
        <v>857</v>
      </c>
      <c r="AR567" s="1075" t="s">
        <v>857</v>
      </c>
      <c r="AS567" s="1043" t="s">
        <v>857</v>
      </c>
      <c r="AT567" s="1075" t="s">
        <v>857</v>
      </c>
      <c r="AU567" s="1043" t="s">
        <v>857</v>
      </c>
      <c r="AV567" s="1075" t="s">
        <v>857</v>
      </c>
      <c r="AW567" s="1043" t="s">
        <v>857</v>
      </c>
      <c r="AX567" s="1075" t="s">
        <v>857</v>
      </c>
      <c r="AY567" s="1043" t="s">
        <v>857</v>
      </c>
      <c r="AZ567" s="1075" t="s">
        <v>857</v>
      </c>
      <c r="BA567" s="1043" t="s">
        <v>857</v>
      </c>
      <c r="BB567" s="1075" t="s">
        <v>857</v>
      </c>
      <c r="BC567" s="1043" t="s">
        <v>857</v>
      </c>
      <c r="BD567" s="1075" t="s">
        <v>857</v>
      </c>
      <c r="BE567" s="1043" t="s">
        <v>857</v>
      </c>
      <c r="BF567" s="1075" t="s">
        <v>857</v>
      </c>
      <c r="BG567" s="1043" t="s">
        <v>857</v>
      </c>
      <c r="BH567" s="1075" t="s">
        <v>857</v>
      </c>
      <c r="BI567" s="1043" t="s">
        <v>857</v>
      </c>
      <c r="BJ567" s="1075" t="s">
        <v>857</v>
      </c>
      <c r="BK567" s="1043" t="s">
        <v>857</v>
      </c>
      <c r="BL567" s="767" t="s">
        <v>712</v>
      </c>
      <c r="BM567" s="768">
        <v>1</v>
      </c>
      <c r="BN567" s="767" t="s">
        <v>21</v>
      </c>
      <c r="BO567" s="768">
        <v>0.7</v>
      </c>
      <c r="BP567" s="1075" t="s">
        <v>857</v>
      </c>
      <c r="BQ567" s="1043" t="s">
        <v>857</v>
      </c>
      <c r="BR567" s="1075" t="s">
        <v>857</v>
      </c>
      <c r="BS567" s="1043" t="s">
        <v>857</v>
      </c>
      <c r="BT567" s="1075" t="s">
        <v>857</v>
      </c>
      <c r="BU567" s="1043" t="s">
        <v>857</v>
      </c>
      <c r="BV567" s="1075" t="s">
        <v>857</v>
      </c>
      <c r="BW567" s="1043" t="s">
        <v>857</v>
      </c>
      <c r="BX567" s="1075" t="s">
        <v>857</v>
      </c>
      <c r="BY567" s="1043" t="s">
        <v>857</v>
      </c>
      <c r="BZ567" s="1079" t="s">
        <v>882</v>
      </c>
    </row>
    <row r="568" spans="2:78" ht="18" customHeight="1">
      <c r="B568" s="3647"/>
      <c r="C568" s="1972" t="s">
        <v>5662</v>
      </c>
      <c r="D568" s="1076" t="s">
        <v>857</v>
      </c>
      <c r="E568" s="1077" t="s">
        <v>857</v>
      </c>
      <c r="F568" s="1076" t="s">
        <v>857</v>
      </c>
      <c r="G568" s="1077" t="s">
        <v>857</v>
      </c>
      <c r="H568" s="1076" t="s">
        <v>857</v>
      </c>
      <c r="I568" s="1077" t="s">
        <v>857</v>
      </c>
      <c r="J568" s="1076" t="s">
        <v>857</v>
      </c>
      <c r="K568" s="1077" t="s">
        <v>857</v>
      </c>
      <c r="L568" s="1076" t="s">
        <v>857</v>
      </c>
      <c r="M568" s="1077" t="s">
        <v>857</v>
      </c>
      <c r="N568" s="1076" t="s">
        <v>857</v>
      </c>
      <c r="O568" s="1077" t="s">
        <v>857</v>
      </c>
      <c r="P568" s="1076" t="s">
        <v>857</v>
      </c>
      <c r="Q568" s="1077" t="s">
        <v>857</v>
      </c>
      <c r="R568" s="1076" t="s">
        <v>857</v>
      </c>
      <c r="S568" s="1077" t="s">
        <v>857</v>
      </c>
      <c r="T568" s="1076" t="s">
        <v>857</v>
      </c>
      <c r="U568" s="1077" t="s">
        <v>857</v>
      </c>
      <c r="V568" s="1076" t="s">
        <v>857</v>
      </c>
      <c r="W568" s="1077" t="s">
        <v>857</v>
      </c>
      <c r="X568" s="1076" t="s">
        <v>857</v>
      </c>
      <c r="Y568" s="1077" t="s">
        <v>857</v>
      </c>
      <c r="Z568" s="1076" t="s">
        <v>857</v>
      </c>
      <c r="AA568" s="1077" t="s">
        <v>857</v>
      </c>
      <c r="AB568" s="1076" t="s">
        <v>857</v>
      </c>
      <c r="AC568" s="1077" t="s">
        <v>857</v>
      </c>
      <c r="AD568" s="1076" t="s">
        <v>857</v>
      </c>
      <c r="AE568" s="1077" t="s">
        <v>857</v>
      </c>
      <c r="AF568" s="1078" t="s">
        <v>857</v>
      </c>
      <c r="AG568" s="1077" t="s">
        <v>857</v>
      </c>
      <c r="AH568" s="1078" t="s">
        <v>676</v>
      </c>
      <c r="AI568" s="1077">
        <v>1.1000000000000001</v>
      </c>
      <c r="AJ568" s="1078" t="s">
        <v>712</v>
      </c>
      <c r="AK568" s="1077">
        <v>1</v>
      </c>
      <c r="AL568" s="1078" t="s">
        <v>1500</v>
      </c>
      <c r="AM568" s="1077">
        <v>0.8</v>
      </c>
      <c r="AN568" s="1078" t="s">
        <v>857</v>
      </c>
      <c r="AO568" s="1077" t="s">
        <v>857</v>
      </c>
      <c r="AP568" s="1078" t="s">
        <v>857</v>
      </c>
      <c r="AQ568" s="1077" t="s">
        <v>857</v>
      </c>
      <c r="AR568" s="1078" t="s">
        <v>857</v>
      </c>
      <c r="AS568" s="1077" t="s">
        <v>857</v>
      </c>
      <c r="AT568" s="1078" t="s">
        <v>857</v>
      </c>
      <c r="AU568" s="1077" t="s">
        <v>857</v>
      </c>
      <c r="AV568" s="1078" t="s">
        <v>857</v>
      </c>
      <c r="AW568" s="1077" t="s">
        <v>857</v>
      </c>
      <c r="AX568" s="1078" t="s">
        <v>857</v>
      </c>
      <c r="AY568" s="1077" t="s">
        <v>857</v>
      </c>
      <c r="AZ568" s="1078" t="s">
        <v>857</v>
      </c>
      <c r="BA568" s="1077" t="s">
        <v>857</v>
      </c>
      <c r="BB568" s="1078" t="s">
        <v>857</v>
      </c>
      <c r="BC568" s="1077" t="s">
        <v>857</v>
      </c>
      <c r="BD568" s="1078" t="s">
        <v>857</v>
      </c>
      <c r="BE568" s="1077" t="s">
        <v>857</v>
      </c>
      <c r="BF568" s="1078" t="s">
        <v>857</v>
      </c>
      <c r="BG568" s="1077" t="s">
        <v>857</v>
      </c>
      <c r="BH568" s="1078" t="s">
        <v>857</v>
      </c>
      <c r="BI568" s="1077" t="s">
        <v>857</v>
      </c>
      <c r="BJ568" s="1078" t="s">
        <v>857</v>
      </c>
      <c r="BK568" s="1077" t="s">
        <v>857</v>
      </c>
      <c r="BL568" s="1078" t="s">
        <v>712</v>
      </c>
      <c r="BM568" s="1077">
        <v>1</v>
      </c>
      <c r="BN568" s="1078" t="s">
        <v>21</v>
      </c>
      <c r="BO568" s="1077">
        <v>0.7</v>
      </c>
      <c r="BP568" s="1078" t="s">
        <v>857</v>
      </c>
      <c r="BQ568" s="1077" t="s">
        <v>857</v>
      </c>
      <c r="BR568" s="1078" t="s">
        <v>857</v>
      </c>
      <c r="BS568" s="1077" t="s">
        <v>857</v>
      </c>
      <c r="BT568" s="1078" t="s">
        <v>857</v>
      </c>
      <c r="BU568" s="1077" t="s">
        <v>857</v>
      </c>
      <c r="BV568" s="1078" t="s">
        <v>857</v>
      </c>
      <c r="BW568" s="1077" t="s">
        <v>857</v>
      </c>
      <c r="BX568" s="1078" t="s">
        <v>857</v>
      </c>
      <c r="BY568" s="1077" t="s">
        <v>857</v>
      </c>
      <c r="BZ568" s="1083" t="s">
        <v>23</v>
      </c>
    </row>
    <row r="570" spans="2:78" ht="18" customHeight="1">
      <c r="B570" s="3659" t="s">
        <v>25</v>
      </c>
      <c r="C570" s="3660"/>
      <c r="D570" s="1593" t="s">
        <v>26</v>
      </c>
      <c r="E570" s="1593"/>
      <c r="F570" s="1593"/>
      <c r="G570" s="1593"/>
      <c r="H570" s="1593"/>
      <c r="I570" s="1593"/>
      <c r="J570" s="3662" t="s">
        <v>14</v>
      </c>
      <c r="K570" s="3667"/>
      <c r="L570" s="3667"/>
      <c r="M570" s="3667"/>
      <c r="N570" s="3667"/>
      <c r="O570" s="3667"/>
      <c r="P570" s="3667"/>
      <c r="Q570" s="3667"/>
      <c r="R570" s="3667"/>
      <c r="S570" s="3667"/>
      <c r="T570" s="3667"/>
      <c r="U570" s="3668"/>
      <c r="V570" s="3662" t="s">
        <v>27</v>
      </c>
      <c r="W570" s="3667"/>
      <c r="X570" s="3667"/>
      <c r="Y570" s="3667"/>
      <c r="Z570" s="3667"/>
      <c r="AA570" s="3668"/>
      <c r="AB570" s="1594" t="s">
        <v>28</v>
      </c>
      <c r="AC570" s="1593"/>
      <c r="AD570" s="1593"/>
      <c r="AE570" s="1593"/>
      <c r="AF570" s="1593"/>
      <c r="AG570" s="1595"/>
      <c r="AH570" s="1974"/>
      <c r="AI570" s="1975"/>
      <c r="AJ570" s="1974"/>
      <c r="AK570" s="1975"/>
      <c r="AL570" s="3662" t="s">
        <v>29</v>
      </c>
      <c r="AM570" s="3663"/>
      <c r="AN570" s="3663"/>
      <c r="AO570" s="3663"/>
      <c r="AP570" s="3663"/>
      <c r="AQ570" s="3664"/>
      <c r="AR570" s="3662" t="s">
        <v>1275</v>
      </c>
      <c r="AS570" s="3667"/>
      <c r="AT570" s="3667"/>
      <c r="AU570" s="3668"/>
    </row>
    <row r="571" spans="2:78" ht="18" customHeight="1">
      <c r="B571" s="3626"/>
      <c r="C571" s="3661"/>
      <c r="D571" s="1976" t="s">
        <v>15</v>
      </c>
      <c r="E571" s="1977"/>
      <c r="F571" s="1978" t="s">
        <v>16</v>
      </c>
      <c r="G571" s="1977"/>
      <c r="H571" s="1978" t="s">
        <v>17</v>
      </c>
      <c r="I571" s="1976"/>
      <c r="J571" s="1978" t="s">
        <v>1008</v>
      </c>
      <c r="K571" s="1977"/>
      <c r="L571" s="1976" t="s">
        <v>15</v>
      </c>
      <c r="M571" s="1977"/>
      <c r="N571" s="1978" t="s">
        <v>16</v>
      </c>
      <c r="O571" s="1977"/>
      <c r="P571" s="1978" t="s">
        <v>17</v>
      </c>
      <c r="Q571" s="1977"/>
      <c r="R571" s="1978" t="s">
        <v>1009</v>
      </c>
      <c r="S571" s="1977"/>
      <c r="T571" s="1978" t="s">
        <v>37</v>
      </c>
      <c r="U571" s="1977"/>
      <c r="V571" s="1976" t="s">
        <v>15</v>
      </c>
      <c r="W571" s="1977"/>
      <c r="X571" s="1978" t="s">
        <v>16</v>
      </c>
      <c r="Y571" s="1977"/>
      <c r="Z571" s="1978" t="s">
        <v>17</v>
      </c>
      <c r="AA571" s="1977"/>
      <c r="AB571" s="1976" t="s">
        <v>15</v>
      </c>
      <c r="AC571" s="1977"/>
      <c r="AD571" s="1978" t="s">
        <v>16</v>
      </c>
      <c r="AE571" s="1977"/>
      <c r="AF571" s="1978" t="s">
        <v>17</v>
      </c>
      <c r="AG571" s="1977"/>
      <c r="AH571" s="3665" t="s">
        <v>30</v>
      </c>
      <c r="AI571" s="3666"/>
      <c r="AJ571" s="3665" t="s">
        <v>31</v>
      </c>
      <c r="AK571" s="3666"/>
      <c r="AL571" s="1976" t="s">
        <v>15</v>
      </c>
      <c r="AM571" s="1977"/>
      <c r="AN571" s="1978" t="s">
        <v>16</v>
      </c>
      <c r="AO571" s="1977"/>
      <c r="AP571" s="1978" t="s">
        <v>17</v>
      </c>
      <c r="AQ571" s="1977"/>
      <c r="AR571" s="1976" t="s">
        <v>15</v>
      </c>
      <c r="AS571" s="1977"/>
      <c r="AT571" s="1978" t="s">
        <v>16</v>
      </c>
      <c r="AU571" s="1977"/>
    </row>
    <row r="572" spans="2:78" ht="18" customHeight="1">
      <c r="B572" s="3657" t="s">
        <v>32</v>
      </c>
      <c r="C572" s="1970" t="s">
        <v>5594</v>
      </c>
      <c r="D572" s="1073" t="s">
        <v>857</v>
      </c>
      <c r="E572" s="1044" t="s">
        <v>857</v>
      </c>
      <c r="F572" s="1073" t="s">
        <v>857</v>
      </c>
      <c r="G572" s="1044" t="s">
        <v>857</v>
      </c>
      <c r="H572" s="1073" t="s">
        <v>857</v>
      </c>
      <c r="I572" s="1044" t="s">
        <v>857</v>
      </c>
      <c r="J572" s="1073" t="s">
        <v>857</v>
      </c>
      <c r="K572" s="1044" t="s">
        <v>857</v>
      </c>
      <c r="L572" s="1073" t="s">
        <v>857</v>
      </c>
      <c r="M572" s="1044" t="s">
        <v>857</v>
      </c>
      <c r="N572" s="1073" t="s">
        <v>857</v>
      </c>
      <c r="O572" s="1044" t="s">
        <v>857</v>
      </c>
      <c r="P572" s="1073" t="s">
        <v>857</v>
      </c>
      <c r="Q572" s="1044" t="s">
        <v>857</v>
      </c>
      <c r="R572" s="1073" t="s">
        <v>857</v>
      </c>
      <c r="S572" s="1044" t="s">
        <v>857</v>
      </c>
      <c r="T572" s="1073" t="s">
        <v>857</v>
      </c>
      <c r="U572" s="1044" t="s">
        <v>857</v>
      </c>
      <c r="V572" s="1099" t="s">
        <v>33</v>
      </c>
      <c r="W572" s="1101">
        <v>1.05</v>
      </c>
      <c r="X572" s="1073" t="s">
        <v>34</v>
      </c>
      <c r="Y572" s="1102">
        <v>1</v>
      </c>
      <c r="Z572" s="1266" t="s">
        <v>1501</v>
      </c>
      <c r="AA572" s="1044">
        <v>0.95</v>
      </c>
      <c r="AB572" s="1073" t="s">
        <v>33</v>
      </c>
      <c r="AC572" s="1266">
        <v>1.05</v>
      </c>
      <c r="AD572" s="1099" t="s">
        <v>34</v>
      </c>
      <c r="AE572" s="1044">
        <v>1</v>
      </c>
      <c r="AF572" s="1100" t="s">
        <v>1499</v>
      </c>
      <c r="AG572" s="1102" t="s">
        <v>37</v>
      </c>
      <c r="AH572" s="3655" t="s">
        <v>37</v>
      </c>
      <c r="AI572" s="3656"/>
      <c r="AJ572" s="3655" t="s">
        <v>5608</v>
      </c>
      <c r="AK572" s="3656"/>
      <c r="AL572" s="1385" t="s">
        <v>5663</v>
      </c>
      <c r="AM572" s="1101" t="s">
        <v>5664</v>
      </c>
      <c r="AN572" s="1385" t="s">
        <v>5664</v>
      </c>
      <c r="AO572" s="1044" t="s">
        <v>5664</v>
      </c>
      <c r="AP572" s="1100" t="s">
        <v>5664</v>
      </c>
      <c r="AQ572" s="1044" t="s">
        <v>5664</v>
      </c>
      <c r="AR572" s="1394">
        <v>20</v>
      </c>
      <c r="AS572" s="1101">
        <v>1.2</v>
      </c>
      <c r="AT572" s="1385">
        <v>15</v>
      </c>
      <c r="AU572" s="1102">
        <v>1</v>
      </c>
    </row>
    <row r="573" spans="2:78" ht="18" customHeight="1">
      <c r="B573" s="3629"/>
      <c r="C573" s="1971" t="s">
        <v>5595</v>
      </c>
      <c r="D573" s="1103" t="s">
        <v>33</v>
      </c>
      <c r="E573" s="1105">
        <v>1.05</v>
      </c>
      <c r="F573" s="1075" t="s">
        <v>34</v>
      </c>
      <c r="G573" s="1106">
        <v>1</v>
      </c>
      <c r="H573" s="1269" t="s">
        <v>1499</v>
      </c>
      <c r="I573" s="1105" t="s">
        <v>37</v>
      </c>
      <c r="J573" s="1390">
        <v>300</v>
      </c>
      <c r="K573" s="1269">
        <v>1.08</v>
      </c>
      <c r="L573" s="1270">
        <v>360</v>
      </c>
      <c r="M573" s="1105">
        <v>1.06</v>
      </c>
      <c r="N573" s="1271">
        <v>1800</v>
      </c>
      <c r="O573" s="1043">
        <v>1</v>
      </c>
      <c r="P573" s="1271">
        <v>3600</v>
      </c>
      <c r="Q573" s="1106">
        <v>0.94</v>
      </c>
      <c r="R573" s="1277">
        <v>7200</v>
      </c>
      <c r="S573" s="1043">
        <v>0.91</v>
      </c>
      <c r="T573" s="1080" t="s">
        <v>5658</v>
      </c>
      <c r="U573" s="768" t="s">
        <v>5658</v>
      </c>
      <c r="V573" s="1103" t="s">
        <v>33</v>
      </c>
      <c r="W573" s="1105">
        <v>1.05</v>
      </c>
      <c r="X573" s="1075" t="s">
        <v>34</v>
      </c>
      <c r="Y573" s="1106">
        <v>1</v>
      </c>
      <c r="Z573" s="1269" t="s">
        <v>1501</v>
      </c>
      <c r="AA573" s="1043">
        <v>0.95</v>
      </c>
      <c r="AB573" s="1075" t="s">
        <v>33</v>
      </c>
      <c r="AC573" s="1269">
        <v>1.05</v>
      </c>
      <c r="AD573" s="1103" t="s">
        <v>34</v>
      </c>
      <c r="AE573" s="1043">
        <v>1</v>
      </c>
      <c r="AF573" s="1104" t="s">
        <v>1499</v>
      </c>
      <c r="AG573" s="1106" t="s">
        <v>37</v>
      </c>
      <c r="AH573" s="2490" t="s">
        <v>5673</v>
      </c>
      <c r="AI573" s="2492"/>
      <c r="AJ573" s="2642">
        <v>2820</v>
      </c>
      <c r="AK573" s="2644"/>
      <c r="AL573" s="1273" t="s">
        <v>5663</v>
      </c>
      <c r="AM573" s="1105" t="s">
        <v>5664</v>
      </c>
      <c r="AN573" s="1273" t="s">
        <v>5664</v>
      </c>
      <c r="AO573" s="1043" t="s">
        <v>5664</v>
      </c>
      <c r="AP573" s="1104" t="s">
        <v>5664</v>
      </c>
      <c r="AQ573" s="1043" t="s">
        <v>5664</v>
      </c>
      <c r="AR573" s="1273">
        <v>20</v>
      </c>
      <c r="AS573" s="1043">
        <v>1.2</v>
      </c>
      <c r="AT573" s="1273">
        <v>15</v>
      </c>
      <c r="AU573" s="1043">
        <v>1</v>
      </c>
    </row>
    <row r="574" spans="2:78" ht="18" customHeight="1">
      <c r="B574" s="3629"/>
      <c r="C574" s="1971" t="s">
        <v>5596</v>
      </c>
      <c r="D574" s="1103" t="s">
        <v>33</v>
      </c>
      <c r="E574" s="1105">
        <v>1.05</v>
      </c>
      <c r="F574" s="1075" t="s">
        <v>34</v>
      </c>
      <c r="G574" s="1106">
        <v>1</v>
      </c>
      <c r="H574" s="1269" t="s">
        <v>1499</v>
      </c>
      <c r="I574" s="1105" t="s">
        <v>37</v>
      </c>
      <c r="J574" s="1390">
        <v>300</v>
      </c>
      <c r="K574" s="1269">
        <v>1.1200000000000001</v>
      </c>
      <c r="L574" s="1391">
        <v>1000</v>
      </c>
      <c r="M574" s="1105">
        <v>1.06</v>
      </c>
      <c r="N574" s="1271">
        <v>3000</v>
      </c>
      <c r="O574" s="1043">
        <v>1</v>
      </c>
      <c r="P574" s="1271">
        <v>10000</v>
      </c>
      <c r="Q574" s="1106">
        <v>0.93</v>
      </c>
      <c r="R574" s="1277">
        <v>20000</v>
      </c>
      <c r="S574" s="1043">
        <v>0.91</v>
      </c>
      <c r="T574" s="1080" t="s">
        <v>5658</v>
      </c>
      <c r="U574" s="768" t="s">
        <v>5658</v>
      </c>
      <c r="V574" s="1103" t="s">
        <v>33</v>
      </c>
      <c r="W574" s="1105">
        <v>1.1000000000000001</v>
      </c>
      <c r="X574" s="1075" t="s">
        <v>34</v>
      </c>
      <c r="Y574" s="1106">
        <v>1</v>
      </c>
      <c r="Z574" s="1269" t="s">
        <v>1501</v>
      </c>
      <c r="AA574" s="1043">
        <v>0.8</v>
      </c>
      <c r="AB574" s="1075" t="s">
        <v>33</v>
      </c>
      <c r="AC574" s="1269">
        <v>1.05</v>
      </c>
      <c r="AD574" s="1103" t="s">
        <v>34</v>
      </c>
      <c r="AE574" s="1043">
        <v>1</v>
      </c>
      <c r="AF574" s="1104" t="s">
        <v>1499</v>
      </c>
      <c r="AG574" s="1106" t="s">
        <v>37</v>
      </c>
      <c r="AH574" s="2490" t="s">
        <v>5673</v>
      </c>
      <c r="AI574" s="2492"/>
      <c r="AJ574" s="2642">
        <v>2820</v>
      </c>
      <c r="AK574" s="2644"/>
      <c r="AL574" s="1103" t="s">
        <v>33</v>
      </c>
      <c r="AM574" s="1105">
        <v>1.1000000000000001</v>
      </c>
      <c r="AN574" s="1075" t="s">
        <v>34</v>
      </c>
      <c r="AO574" s="1106">
        <v>1</v>
      </c>
      <c r="AP574" s="1269" t="s">
        <v>1501</v>
      </c>
      <c r="AQ574" s="1043">
        <v>0.8</v>
      </c>
      <c r="AR574" s="1395">
        <v>20</v>
      </c>
      <c r="AS574" s="1105">
        <v>1.2</v>
      </c>
      <c r="AT574" s="1273">
        <v>15</v>
      </c>
      <c r="AU574" s="1106">
        <v>1</v>
      </c>
    </row>
    <row r="575" spans="2:78" ht="18" customHeight="1">
      <c r="B575" s="3629"/>
      <c r="C575" s="1971" t="s">
        <v>5689</v>
      </c>
      <c r="D575" s="1269" t="s">
        <v>33</v>
      </c>
      <c r="E575" s="1105">
        <v>1.05</v>
      </c>
      <c r="F575" s="1075" t="s">
        <v>34</v>
      </c>
      <c r="G575" s="1106">
        <v>1</v>
      </c>
      <c r="H575" s="1269" t="s">
        <v>1499</v>
      </c>
      <c r="I575" s="1105" t="s">
        <v>37</v>
      </c>
      <c r="J575" s="1390">
        <v>300</v>
      </c>
      <c r="K575" s="1269">
        <v>1.1200000000000001</v>
      </c>
      <c r="L575" s="1270">
        <v>1000</v>
      </c>
      <c r="M575" s="1105">
        <v>1.06</v>
      </c>
      <c r="N575" s="1271">
        <v>3000</v>
      </c>
      <c r="O575" s="1043">
        <v>1</v>
      </c>
      <c r="P575" s="1271">
        <v>10000</v>
      </c>
      <c r="Q575" s="1106">
        <v>0.93</v>
      </c>
      <c r="R575" s="1277">
        <v>20000</v>
      </c>
      <c r="S575" s="1043">
        <v>0.91</v>
      </c>
      <c r="T575" s="1080" t="s">
        <v>5658</v>
      </c>
      <c r="U575" s="768" t="s">
        <v>5658</v>
      </c>
      <c r="V575" s="1103" t="s">
        <v>33</v>
      </c>
      <c r="W575" s="1105">
        <v>1.05</v>
      </c>
      <c r="X575" s="1075" t="s">
        <v>34</v>
      </c>
      <c r="Y575" s="1106">
        <v>1</v>
      </c>
      <c r="Z575" s="1269" t="s">
        <v>1501</v>
      </c>
      <c r="AA575" s="1043">
        <v>0.95</v>
      </c>
      <c r="AB575" s="1075" t="s">
        <v>33</v>
      </c>
      <c r="AC575" s="1269">
        <v>1.05</v>
      </c>
      <c r="AD575" s="1103" t="s">
        <v>34</v>
      </c>
      <c r="AE575" s="1043">
        <v>1</v>
      </c>
      <c r="AF575" s="1104" t="s">
        <v>1499</v>
      </c>
      <c r="AG575" s="1106" t="s">
        <v>37</v>
      </c>
      <c r="AH575" s="2490" t="s">
        <v>5673</v>
      </c>
      <c r="AI575" s="2492"/>
      <c r="AJ575" s="2642">
        <v>2820</v>
      </c>
      <c r="AK575" s="2644"/>
      <c r="AL575" s="1273" t="s">
        <v>5663</v>
      </c>
      <c r="AM575" s="1105" t="s">
        <v>5664</v>
      </c>
      <c r="AN575" s="1273" t="s">
        <v>5664</v>
      </c>
      <c r="AO575" s="1043" t="s">
        <v>5664</v>
      </c>
      <c r="AP575" s="1104" t="s">
        <v>5664</v>
      </c>
      <c r="AQ575" s="1043" t="s">
        <v>5664</v>
      </c>
      <c r="AR575" s="1273">
        <v>20</v>
      </c>
      <c r="AS575" s="1043">
        <v>1.2</v>
      </c>
      <c r="AT575" s="1273">
        <v>15</v>
      </c>
      <c r="AU575" s="1043">
        <v>1</v>
      </c>
    </row>
    <row r="576" spans="2:78" ht="18" customHeight="1">
      <c r="B576" s="3658"/>
      <c r="C576" s="1972" t="s">
        <v>5597</v>
      </c>
      <c r="D576" s="1274" t="s">
        <v>33</v>
      </c>
      <c r="E576" s="1109">
        <v>1.05</v>
      </c>
      <c r="F576" s="1078" t="s">
        <v>34</v>
      </c>
      <c r="G576" s="1110">
        <v>1</v>
      </c>
      <c r="H576" s="1274" t="s">
        <v>1499</v>
      </c>
      <c r="I576" s="1109" t="s">
        <v>37</v>
      </c>
      <c r="J576" s="1392">
        <v>300</v>
      </c>
      <c r="K576" s="1274">
        <v>1.1200000000000001</v>
      </c>
      <c r="L576" s="1275">
        <v>1000</v>
      </c>
      <c r="M576" s="1109">
        <v>1.06</v>
      </c>
      <c r="N576" s="1276">
        <v>3000</v>
      </c>
      <c r="O576" s="1077">
        <v>1</v>
      </c>
      <c r="P576" s="1276">
        <v>10000</v>
      </c>
      <c r="Q576" s="1110">
        <v>0.93</v>
      </c>
      <c r="R576" s="1393">
        <v>20000</v>
      </c>
      <c r="S576" s="1077">
        <v>0.91</v>
      </c>
      <c r="T576" s="1076" t="s">
        <v>5658</v>
      </c>
      <c r="U576" s="1077" t="s">
        <v>5658</v>
      </c>
      <c r="V576" s="1107" t="s">
        <v>33</v>
      </c>
      <c r="W576" s="1109">
        <v>1.1000000000000001</v>
      </c>
      <c r="X576" s="1078" t="s">
        <v>34</v>
      </c>
      <c r="Y576" s="1110">
        <v>1</v>
      </c>
      <c r="Z576" s="1274" t="s">
        <v>1501</v>
      </c>
      <c r="AA576" s="1077">
        <v>0.8</v>
      </c>
      <c r="AB576" s="1078" t="s">
        <v>33</v>
      </c>
      <c r="AC576" s="1274">
        <v>1.05</v>
      </c>
      <c r="AD576" s="1107" t="s">
        <v>34</v>
      </c>
      <c r="AE576" s="1077">
        <v>1</v>
      </c>
      <c r="AF576" s="1108" t="s">
        <v>1499</v>
      </c>
      <c r="AG576" s="1110" t="s">
        <v>37</v>
      </c>
      <c r="AH576" s="2820" t="s">
        <v>5673</v>
      </c>
      <c r="AI576" s="2822"/>
      <c r="AJ576" s="2829">
        <v>1500</v>
      </c>
      <c r="AK576" s="2830"/>
      <c r="AL576" s="1107" t="s">
        <v>33</v>
      </c>
      <c r="AM576" s="1109">
        <v>1.1000000000000001</v>
      </c>
      <c r="AN576" s="1078" t="s">
        <v>34</v>
      </c>
      <c r="AO576" s="1110">
        <v>1</v>
      </c>
      <c r="AP576" s="1274" t="s">
        <v>1501</v>
      </c>
      <c r="AQ576" s="1077">
        <v>0.8</v>
      </c>
      <c r="AR576" s="1396">
        <v>20</v>
      </c>
      <c r="AS576" s="1109">
        <v>1.2</v>
      </c>
      <c r="AT576" s="1076">
        <v>15</v>
      </c>
      <c r="AU576" s="1110">
        <v>1</v>
      </c>
    </row>
    <row r="581" spans="2:22" ht="18" customHeight="1">
      <c r="C581">
        <v>1</v>
      </c>
      <c r="D581">
        <v>2</v>
      </c>
      <c r="E581">
        <v>3</v>
      </c>
      <c r="F581">
        <v>4</v>
      </c>
      <c r="G581">
        <v>5</v>
      </c>
      <c r="H581">
        <v>6</v>
      </c>
      <c r="I581">
        <v>7</v>
      </c>
      <c r="J581">
        <v>8</v>
      </c>
      <c r="K581">
        <v>9</v>
      </c>
      <c r="L581">
        <v>10</v>
      </c>
      <c r="M581">
        <v>11</v>
      </c>
      <c r="N581">
        <v>12</v>
      </c>
      <c r="O581">
        <v>13</v>
      </c>
      <c r="P581">
        <v>14</v>
      </c>
      <c r="Q581">
        <v>15</v>
      </c>
      <c r="R581">
        <v>16</v>
      </c>
    </row>
    <row r="582" spans="2:22" ht="18" customHeight="1">
      <c r="B582" s="1656" t="s">
        <v>1158</v>
      </c>
      <c r="C582" s="1979" t="s">
        <v>1161</v>
      </c>
      <c r="D582" s="2101" t="s">
        <v>1176</v>
      </c>
      <c r="E582" s="2102" t="s">
        <v>1177</v>
      </c>
      <c r="F582" s="2102" t="s">
        <v>1178</v>
      </c>
      <c r="G582" s="2102" t="s">
        <v>1179</v>
      </c>
      <c r="H582" s="2102" t="s">
        <v>1180</v>
      </c>
      <c r="I582" s="2102" t="s">
        <v>1181</v>
      </c>
      <c r="J582" s="2103" t="s">
        <v>1175</v>
      </c>
      <c r="K582" s="2102" t="s">
        <v>1182</v>
      </c>
      <c r="L582" s="2102" t="s">
        <v>1183</v>
      </c>
      <c r="M582" s="2102" t="s">
        <v>1184</v>
      </c>
      <c r="N582" s="2103" t="s">
        <v>1159</v>
      </c>
      <c r="O582" s="2103" t="s">
        <v>1160</v>
      </c>
      <c r="P582" s="2103" t="s">
        <v>1157</v>
      </c>
      <c r="Q582" s="2104" t="s">
        <v>1185</v>
      </c>
      <c r="R582" s="2099" t="s">
        <v>5736</v>
      </c>
    </row>
    <row r="583" spans="2:22" ht="18" customHeight="1">
      <c r="B583" s="1855"/>
      <c r="C583" s="1970" t="s">
        <v>5594</v>
      </c>
      <c r="D583" s="1279" t="s">
        <v>857</v>
      </c>
      <c r="E583" s="1279" t="s">
        <v>857</v>
      </c>
      <c r="F583" s="1279" t="s">
        <v>857</v>
      </c>
      <c r="G583" s="1397">
        <v>0.04</v>
      </c>
      <c r="H583" s="1398">
        <v>0.69</v>
      </c>
      <c r="I583" s="1397">
        <v>6.4000000000000001E-2</v>
      </c>
      <c r="J583" s="1399">
        <v>1.57</v>
      </c>
      <c r="K583" s="1399">
        <v>1.4</v>
      </c>
      <c r="L583" s="1399">
        <v>1.38</v>
      </c>
      <c r="M583" s="1399">
        <v>0.81</v>
      </c>
      <c r="N583" s="1399">
        <v>1.38</v>
      </c>
      <c r="O583" s="1399">
        <v>2.81</v>
      </c>
      <c r="P583" s="1400">
        <f>+N583+O583</f>
        <v>4.1899999999999995</v>
      </c>
      <c r="Q583" s="1399">
        <v>1.4</v>
      </c>
      <c r="R583" s="1401">
        <v>0.61</v>
      </c>
    </row>
    <row r="584" spans="2:22" ht="18" customHeight="1">
      <c r="B584" s="1980"/>
      <c r="C584" s="1971" t="s">
        <v>5595</v>
      </c>
      <c r="D584" s="1402">
        <v>3.9E-2</v>
      </c>
      <c r="E584" s="1402">
        <v>0.10299999999999999</v>
      </c>
      <c r="F584" s="1403">
        <v>0.66600000000000004</v>
      </c>
      <c r="G584" s="1402">
        <v>0.122</v>
      </c>
      <c r="H584" s="1403">
        <v>0.77100000000000002</v>
      </c>
      <c r="I584" s="1402">
        <v>9.6000000000000002E-2</v>
      </c>
      <c r="J584" s="1404">
        <v>1.57</v>
      </c>
      <c r="K584" s="1404">
        <v>1.3</v>
      </c>
      <c r="L584" s="1404">
        <v>0.89</v>
      </c>
      <c r="M584" s="1404">
        <v>1.25</v>
      </c>
      <c r="N584" s="1404">
        <v>0.88</v>
      </c>
      <c r="O584" s="1404">
        <v>2.65</v>
      </c>
      <c r="P584" s="1405">
        <f t="shared" ref="P584:P587" si="200">+N584+O584</f>
        <v>3.53</v>
      </c>
      <c r="Q584" s="1404">
        <v>1.3</v>
      </c>
      <c r="R584" s="1406">
        <v>0.42</v>
      </c>
      <c r="T584" s="714"/>
      <c r="U584" s="2100"/>
      <c r="V584" s="2100"/>
    </row>
    <row r="585" spans="2:22" ht="18" customHeight="1">
      <c r="B585" s="1980"/>
      <c r="C585" s="1971" t="s">
        <v>5596</v>
      </c>
      <c r="D585" s="1402">
        <v>7.8E-2</v>
      </c>
      <c r="E585" s="1402">
        <v>0.10100000000000001</v>
      </c>
      <c r="F585" s="1403">
        <v>0.66600000000000004</v>
      </c>
      <c r="G585" s="1402">
        <v>0.127</v>
      </c>
      <c r="H585" s="1403">
        <v>0.77500000000000002</v>
      </c>
      <c r="I585" s="1402">
        <v>8.8999999999999996E-2</v>
      </c>
      <c r="J585" s="1404">
        <v>1.21</v>
      </c>
      <c r="K585" s="1404">
        <v>1.3</v>
      </c>
      <c r="L585" s="1404">
        <v>0.42</v>
      </c>
      <c r="M585" s="1404">
        <v>0.44</v>
      </c>
      <c r="N585" s="1404">
        <v>0.48</v>
      </c>
      <c r="O585" s="1404">
        <v>0.95</v>
      </c>
      <c r="P585" s="1405">
        <f t="shared" si="200"/>
        <v>1.43</v>
      </c>
      <c r="Q585" s="1404">
        <v>1.3</v>
      </c>
      <c r="R585" s="1406">
        <v>0.19</v>
      </c>
      <c r="T585" s="714"/>
      <c r="U585" s="2100"/>
      <c r="V585" s="2100"/>
    </row>
    <row r="586" spans="2:22" ht="18" customHeight="1">
      <c r="B586" s="1980"/>
      <c r="C586" s="1971" t="s">
        <v>5689</v>
      </c>
      <c r="D586" s="1402">
        <v>5.5E-2</v>
      </c>
      <c r="E586" s="1402">
        <v>0.13900000000000001</v>
      </c>
      <c r="F586" s="1403">
        <v>0.76600000000000001</v>
      </c>
      <c r="G586" s="1402">
        <v>0.121</v>
      </c>
      <c r="H586" s="1403">
        <v>0.72899999999999998</v>
      </c>
      <c r="I586" s="1402">
        <v>0.11600000000000001</v>
      </c>
      <c r="J586" s="1404">
        <v>2.09</v>
      </c>
      <c r="K586" s="1404">
        <v>1.3</v>
      </c>
      <c r="L586" s="1404">
        <v>0.72</v>
      </c>
      <c r="M586" s="1404">
        <v>1.23</v>
      </c>
      <c r="N586" s="1404">
        <v>0.55000000000000004</v>
      </c>
      <c r="O586" s="1404">
        <v>2.0699999999999998</v>
      </c>
      <c r="P586" s="1405">
        <f t="shared" si="200"/>
        <v>2.62</v>
      </c>
      <c r="Q586" s="1404">
        <v>1.3</v>
      </c>
      <c r="R586" s="1406">
        <v>0.26</v>
      </c>
      <c r="T586" s="714"/>
      <c r="U586" s="2100"/>
      <c r="V586" s="2100"/>
    </row>
    <row r="587" spans="2:22" ht="18" customHeight="1">
      <c r="B587" s="1981"/>
      <c r="C587" s="1972" t="s">
        <v>5597</v>
      </c>
      <c r="D587" s="1407">
        <v>9.9000000000000005E-2</v>
      </c>
      <c r="E587" s="1407">
        <v>0.155</v>
      </c>
      <c r="F587" s="1408">
        <v>1.2290000000000001</v>
      </c>
      <c r="G587" s="1407">
        <v>0.14599999999999999</v>
      </c>
      <c r="H587" s="1408">
        <v>0.95899999999999996</v>
      </c>
      <c r="I587" s="1407">
        <v>0.09</v>
      </c>
      <c r="J587" s="1409">
        <v>1.06</v>
      </c>
      <c r="K587" s="1409">
        <v>1.3</v>
      </c>
      <c r="L587" s="1409">
        <v>0.38</v>
      </c>
      <c r="M587" s="1409">
        <v>0.24</v>
      </c>
      <c r="N587" s="1409">
        <v>0.55000000000000004</v>
      </c>
      <c r="O587" s="1409">
        <v>0.56999999999999995</v>
      </c>
      <c r="P587" s="1410">
        <f t="shared" si="200"/>
        <v>1.1200000000000001</v>
      </c>
      <c r="Q587" s="1409">
        <v>1.3</v>
      </c>
      <c r="R587" s="1411">
        <v>0.13</v>
      </c>
      <c r="T587" s="714"/>
      <c r="U587" s="2100"/>
      <c r="V587" s="2100"/>
    </row>
    <row r="591" spans="2:22" ht="18" customHeight="1">
      <c r="B591" s="1982" t="s">
        <v>1484</v>
      </c>
      <c r="C591" s="1983" t="s">
        <v>1485</v>
      </c>
    </row>
    <row r="592" spans="2:22" ht="18" customHeight="1">
      <c r="B592" s="1412" t="s">
        <v>1486</v>
      </c>
      <c r="C592" s="1412" t="s">
        <v>671</v>
      </c>
    </row>
    <row r="593" spans="2:15" ht="18" customHeight="1">
      <c r="B593" s="1412" t="s">
        <v>1487</v>
      </c>
      <c r="C593" s="1412" t="s">
        <v>1488</v>
      </c>
    </row>
    <row r="594" spans="2:15" ht="18" customHeight="1">
      <c r="B594" s="1412" t="s">
        <v>1489</v>
      </c>
      <c r="C594" s="1412" t="s">
        <v>1490</v>
      </c>
    </row>
    <row r="595" spans="2:15" ht="18" customHeight="1">
      <c r="B595" s="1412" t="s">
        <v>1491</v>
      </c>
      <c r="C595" s="1412" t="s">
        <v>675</v>
      </c>
    </row>
    <row r="596" spans="2:15" ht="18" customHeight="1">
      <c r="B596" s="1412" t="s">
        <v>1492</v>
      </c>
      <c r="C596" s="1412" t="s">
        <v>1493</v>
      </c>
    </row>
    <row r="597" spans="2:15" ht="18" customHeight="1">
      <c r="B597" s="1412" t="s">
        <v>1099</v>
      </c>
      <c r="C597" s="1412" t="s">
        <v>1099</v>
      </c>
    </row>
    <row r="600" spans="2:15" ht="18" customHeight="1">
      <c r="D600">
        <v>2</v>
      </c>
      <c r="E600">
        <v>3</v>
      </c>
      <c r="F600">
        <v>4</v>
      </c>
      <c r="G600">
        <v>5</v>
      </c>
      <c r="H600">
        <v>6</v>
      </c>
      <c r="I600">
        <v>7</v>
      </c>
      <c r="J600">
        <v>8</v>
      </c>
      <c r="K600">
        <v>9</v>
      </c>
      <c r="L600">
        <v>10</v>
      </c>
      <c r="M600">
        <v>11</v>
      </c>
      <c r="N600">
        <v>12</v>
      </c>
      <c r="O600">
        <v>13</v>
      </c>
    </row>
    <row r="601" spans="2:15" ht="18" customHeight="1">
      <c r="B601" s="3624" t="s">
        <v>5647</v>
      </c>
      <c r="C601" s="3625"/>
      <c r="D601" s="1857"/>
      <c r="E601" s="1984"/>
      <c r="F601" s="1594" t="s">
        <v>5646</v>
      </c>
      <c r="G601" s="1593"/>
      <c r="H601" s="1593"/>
      <c r="I601" s="1593"/>
      <c r="J601" s="1593"/>
      <c r="K601" s="1593"/>
      <c r="L601" s="1593"/>
      <c r="M601" s="1593"/>
      <c r="N601" s="1593"/>
      <c r="O601" s="1595"/>
    </row>
    <row r="602" spans="2:15" ht="18" customHeight="1">
      <c r="B602" s="3626"/>
      <c r="C602" s="3627"/>
      <c r="D602" s="3346" t="s">
        <v>30</v>
      </c>
      <c r="E602" s="3347"/>
      <c r="F602" s="2498" t="s">
        <v>18</v>
      </c>
      <c r="G602" s="2499"/>
      <c r="H602" s="1594" t="s">
        <v>15</v>
      </c>
      <c r="I602" s="1595"/>
      <c r="J602" s="1594" t="s">
        <v>16</v>
      </c>
      <c r="K602" s="1595"/>
      <c r="L602" s="1594" t="s">
        <v>17</v>
      </c>
      <c r="M602" s="1595"/>
      <c r="N602" s="2498" t="s">
        <v>19</v>
      </c>
      <c r="O602" s="2499"/>
    </row>
    <row r="603" spans="2:15" ht="18" customHeight="1">
      <c r="B603" s="3628" t="s">
        <v>32</v>
      </c>
      <c r="C603" s="1265" t="s">
        <v>5594</v>
      </c>
      <c r="D603" s="2817">
        <v>3800</v>
      </c>
      <c r="E603" s="2819"/>
      <c r="F603" s="1494">
        <v>330</v>
      </c>
      <c r="G603" s="1266">
        <v>1.18</v>
      </c>
      <c r="H603" s="1495">
        <v>220</v>
      </c>
      <c r="I603" s="1101">
        <v>1.0900000000000001</v>
      </c>
      <c r="J603" s="1496">
        <v>110</v>
      </c>
      <c r="K603" s="1044">
        <v>1</v>
      </c>
      <c r="L603" s="1496">
        <v>55</v>
      </c>
      <c r="M603" s="1102">
        <v>0.91</v>
      </c>
      <c r="N603" s="1497" t="s">
        <v>5709</v>
      </c>
      <c r="O603" s="1044" t="s">
        <v>5709</v>
      </c>
    </row>
    <row r="604" spans="2:15" ht="18" customHeight="1">
      <c r="B604" s="3629"/>
      <c r="C604" s="1267" t="s">
        <v>5595</v>
      </c>
      <c r="D604" s="2642">
        <v>4480</v>
      </c>
      <c r="E604" s="2644"/>
      <c r="F604" s="1268">
        <v>10000</v>
      </c>
      <c r="G604" s="1269">
        <v>1.23</v>
      </c>
      <c r="H604" s="1270">
        <v>3000</v>
      </c>
      <c r="I604" s="1105">
        <v>1.1100000000000001</v>
      </c>
      <c r="J604" s="1271">
        <v>1800</v>
      </c>
      <c r="K604" s="1043">
        <v>1</v>
      </c>
      <c r="L604" s="1271">
        <v>330</v>
      </c>
      <c r="M604" s="1106">
        <v>0.7</v>
      </c>
      <c r="N604" s="1277">
        <v>165</v>
      </c>
      <c r="O604" s="1043">
        <v>0.67</v>
      </c>
    </row>
    <row r="605" spans="2:15" ht="18" customHeight="1">
      <c r="B605" s="3629"/>
      <c r="C605" s="1267" t="s">
        <v>5596</v>
      </c>
      <c r="D605" s="2642">
        <v>3280</v>
      </c>
      <c r="E605" s="2644"/>
      <c r="F605" s="1268" t="s">
        <v>5709</v>
      </c>
      <c r="G605" s="1269" t="s">
        <v>5709</v>
      </c>
      <c r="H605" s="1270">
        <v>10000</v>
      </c>
      <c r="I605" s="1105">
        <v>1.08</v>
      </c>
      <c r="J605" s="1271">
        <v>3000</v>
      </c>
      <c r="K605" s="1043">
        <v>1</v>
      </c>
      <c r="L605" s="1271">
        <v>1000</v>
      </c>
      <c r="M605" s="1106">
        <v>0.76</v>
      </c>
      <c r="N605" s="1277">
        <v>165</v>
      </c>
      <c r="O605" s="1043">
        <v>0.67</v>
      </c>
    </row>
    <row r="606" spans="2:15" ht="18" customHeight="1">
      <c r="B606" s="3629"/>
      <c r="C606" s="1267" t="s">
        <v>5689</v>
      </c>
      <c r="D606" s="2642">
        <v>5010</v>
      </c>
      <c r="E606" s="2644"/>
      <c r="F606" s="1268" t="s">
        <v>5709</v>
      </c>
      <c r="G606" s="1269" t="s">
        <v>5709</v>
      </c>
      <c r="H606" s="1270">
        <v>10000</v>
      </c>
      <c r="I606" s="1105">
        <v>1.1000000000000001</v>
      </c>
      <c r="J606" s="1271">
        <v>3000</v>
      </c>
      <c r="K606" s="1043">
        <v>1</v>
      </c>
      <c r="L606" s="1271">
        <v>1000</v>
      </c>
      <c r="M606" s="1106">
        <v>0.71</v>
      </c>
      <c r="N606" s="1277">
        <v>165</v>
      </c>
      <c r="O606" s="1043">
        <v>0.6</v>
      </c>
    </row>
    <row r="607" spans="2:15" ht="18" customHeight="1">
      <c r="B607" s="3629"/>
      <c r="C607" s="1267" t="s">
        <v>5597</v>
      </c>
      <c r="D607" s="2642">
        <v>3290</v>
      </c>
      <c r="E607" s="2644"/>
      <c r="F607" s="1268" t="s">
        <v>5709</v>
      </c>
      <c r="G607" s="1269" t="s">
        <v>5709</v>
      </c>
      <c r="H607" s="1270">
        <v>10000</v>
      </c>
      <c r="I607" s="1105">
        <v>1.0900000000000001</v>
      </c>
      <c r="J607" s="1271">
        <v>3000</v>
      </c>
      <c r="K607" s="1043">
        <v>1</v>
      </c>
      <c r="L607" s="1271">
        <v>1000</v>
      </c>
      <c r="M607" s="1106">
        <v>0.74</v>
      </c>
      <c r="N607" s="1277">
        <v>165</v>
      </c>
      <c r="O607" s="1043">
        <v>0.64</v>
      </c>
    </row>
    <row r="608" spans="2:15" ht="18" customHeight="1">
      <c r="B608" s="3629"/>
      <c r="C608" s="1267" t="s">
        <v>5659</v>
      </c>
      <c r="D608" s="3631" t="s">
        <v>5663</v>
      </c>
      <c r="E608" s="3632"/>
      <c r="F608" s="1273" t="s">
        <v>5663</v>
      </c>
      <c r="G608" s="1105" t="s">
        <v>5664</v>
      </c>
      <c r="H608" s="1273" t="s">
        <v>5663</v>
      </c>
      <c r="I608" s="1105" t="s">
        <v>5664</v>
      </c>
      <c r="J608" s="1273" t="s">
        <v>5664</v>
      </c>
      <c r="K608" s="1043" t="s">
        <v>5664</v>
      </c>
      <c r="L608" s="1104" t="s">
        <v>5664</v>
      </c>
      <c r="M608" s="1043" t="s">
        <v>5664</v>
      </c>
      <c r="N608" s="1103" t="s">
        <v>5664</v>
      </c>
      <c r="O608" s="1043" t="s">
        <v>5664</v>
      </c>
    </row>
    <row r="609" spans="2:29" ht="18" customHeight="1">
      <c r="B609" s="3629"/>
      <c r="C609" s="1267" t="s">
        <v>5660</v>
      </c>
      <c r="D609" s="3631" t="s">
        <v>5663</v>
      </c>
      <c r="E609" s="3632"/>
      <c r="F609" s="1273" t="s">
        <v>5663</v>
      </c>
      <c r="G609" s="1105" t="s">
        <v>5664</v>
      </c>
      <c r="H609" s="1273" t="s">
        <v>5663</v>
      </c>
      <c r="I609" s="1105" t="s">
        <v>5664</v>
      </c>
      <c r="J609" s="1273" t="s">
        <v>5664</v>
      </c>
      <c r="K609" s="1043" t="s">
        <v>5664</v>
      </c>
      <c r="L609" s="1104" t="s">
        <v>5664</v>
      </c>
      <c r="M609" s="1043" t="s">
        <v>5664</v>
      </c>
      <c r="N609" s="1103" t="s">
        <v>5664</v>
      </c>
      <c r="O609" s="1043" t="s">
        <v>5664</v>
      </c>
    </row>
    <row r="610" spans="2:29" ht="18" customHeight="1">
      <c r="B610" s="3629"/>
      <c r="C610" s="1267" t="s">
        <v>5661</v>
      </c>
      <c r="D610" s="2642">
        <v>2210</v>
      </c>
      <c r="E610" s="2644"/>
      <c r="F610" s="1268">
        <v>3000</v>
      </c>
      <c r="G610" s="1269">
        <v>1.48</v>
      </c>
      <c r="H610" s="1270">
        <v>1000</v>
      </c>
      <c r="I610" s="1105">
        <v>1.1399999999999999</v>
      </c>
      <c r="J610" s="1271">
        <v>165</v>
      </c>
      <c r="K610" s="1043">
        <v>1</v>
      </c>
      <c r="L610" s="1271">
        <v>85</v>
      </c>
      <c r="M610" s="1106">
        <v>0.94</v>
      </c>
      <c r="N610" s="1277" t="s">
        <v>5709</v>
      </c>
      <c r="O610" s="1043" t="s">
        <v>5709</v>
      </c>
    </row>
    <row r="611" spans="2:29" ht="18" customHeight="1">
      <c r="B611" s="3630"/>
      <c r="C611" s="1272" t="s">
        <v>5662</v>
      </c>
      <c r="D611" s="2829">
        <v>2380</v>
      </c>
      <c r="E611" s="2830"/>
      <c r="F611" s="1498">
        <v>3000</v>
      </c>
      <c r="G611" s="1274">
        <v>1.37</v>
      </c>
      <c r="H611" s="1275">
        <v>1000</v>
      </c>
      <c r="I611" s="1109">
        <v>1.0900000000000001</v>
      </c>
      <c r="J611" s="1276">
        <v>330</v>
      </c>
      <c r="K611" s="1077">
        <v>1</v>
      </c>
      <c r="L611" s="1276">
        <v>85</v>
      </c>
      <c r="M611" s="1110">
        <v>0.82</v>
      </c>
      <c r="N611" s="1393" t="s">
        <v>5709</v>
      </c>
      <c r="O611" s="1077" t="s">
        <v>5709</v>
      </c>
    </row>
    <row r="614" spans="2:29" ht="18" customHeight="1">
      <c r="B614" s="303" t="s">
        <v>5712</v>
      </c>
      <c r="D614">
        <v>2</v>
      </c>
      <c r="E614">
        <v>3</v>
      </c>
      <c r="F614">
        <v>4</v>
      </c>
      <c r="G614">
        <v>5</v>
      </c>
      <c r="H614">
        <v>6</v>
      </c>
      <c r="I614">
        <v>7</v>
      </c>
      <c r="J614">
        <v>8</v>
      </c>
      <c r="K614">
        <v>9</v>
      </c>
      <c r="L614">
        <v>10</v>
      </c>
      <c r="M614">
        <v>11</v>
      </c>
      <c r="N614">
        <v>12</v>
      </c>
      <c r="O614">
        <v>13</v>
      </c>
      <c r="P614">
        <v>14</v>
      </c>
      <c r="Q614">
        <v>15</v>
      </c>
      <c r="R614">
        <v>16</v>
      </c>
      <c r="S614">
        <v>17</v>
      </c>
      <c r="T614">
        <v>18</v>
      </c>
      <c r="U614">
        <v>19</v>
      </c>
      <c r="V614">
        <v>20</v>
      </c>
      <c r="W614">
        <v>21</v>
      </c>
      <c r="X614">
        <v>22</v>
      </c>
      <c r="Y614">
        <v>23</v>
      </c>
      <c r="Z614">
        <v>24</v>
      </c>
      <c r="AA614">
        <v>25</v>
      </c>
      <c r="AB614">
        <v>26</v>
      </c>
      <c r="AC614">
        <v>27</v>
      </c>
    </row>
    <row r="615" spans="2:29" ht="18" customHeight="1">
      <c r="B615" s="3624" t="s">
        <v>5720</v>
      </c>
      <c r="C615" s="3625"/>
      <c r="D615" s="3662" t="s">
        <v>5721</v>
      </c>
      <c r="E615" s="3667"/>
      <c r="F615" s="3667"/>
      <c r="G615" s="3668"/>
      <c r="H615" s="3662" t="s">
        <v>5722</v>
      </c>
      <c r="I615" s="3667"/>
      <c r="J615" s="3667"/>
      <c r="K615" s="3668"/>
      <c r="L615" s="3662" t="s">
        <v>5717</v>
      </c>
      <c r="M615" s="3663"/>
      <c r="N615" s="3663"/>
      <c r="O615" s="3663"/>
      <c r="P615" s="3663"/>
      <c r="Q615" s="3664"/>
      <c r="R615" s="3662" t="s">
        <v>5719</v>
      </c>
      <c r="S615" s="3663"/>
      <c r="T615" s="3663"/>
      <c r="U615" s="3663"/>
      <c r="V615" s="3663"/>
      <c r="W615" s="3664"/>
      <c r="X615" s="1985" t="s">
        <v>790</v>
      </c>
      <c r="Y615" s="1986"/>
      <c r="Z615" s="1986"/>
      <c r="AA615" s="1986"/>
      <c r="AB615" s="1986"/>
      <c r="AC615" s="1987"/>
    </row>
    <row r="616" spans="2:29" ht="18" customHeight="1">
      <c r="B616" s="3626"/>
      <c r="C616" s="3627"/>
      <c r="D616" s="1973" t="s">
        <v>5713</v>
      </c>
      <c r="E616" s="1556" t="s">
        <v>5714</v>
      </c>
      <c r="F616" s="1556" t="s">
        <v>5715</v>
      </c>
      <c r="G616" s="1988" t="s">
        <v>5716</v>
      </c>
      <c r="H616" s="1985" t="s">
        <v>5723</v>
      </c>
      <c r="I616" s="1987"/>
      <c r="J616" s="1985" t="s">
        <v>5724</v>
      </c>
      <c r="K616" s="1987"/>
      <c r="L616" s="1989" t="s">
        <v>318</v>
      </c>
      <c r="M616" s="1987"/>
      <c r="N616" s="1989" t="s">
        <v>319</v>
      </c>
      <c r="O616" s="1987"/>
      <c r="P616" s="1989" t="s">
        <v>320</v>
      </c>
      <c r="Q616" s="1987"/>
      <c r="R616" s="1989" t="s">
        <v>318</v>
      </c>
      <c r="S616" s="1987"/>
      <c r="T616" s="1989" t="s">
        <v>319</v>
      </c>
      <c r="U616" s="1987"/>
      <c r="V616" s="1989" t="s">
        <v>320</v>
      </c>
      <c r="W616" s="1987"/>
      <c r="X616" s="1989" t="s">
        <v>318</v>
      </c>
      <c r="Y616" s="1987"/>
      <c r="Z616" s="1989" t="s">
        <v>319</v>
      </c>
      <c r="AA616" s="1987"/>
      <c r="AB616" s="1990" t="s">
        <v>320</v>
      </c>
      <c r="AC616" s="1987"/>
    </row>
    <row r="617" spans="2:29" ht="18" customHeight="1">
      <c r="B617" s="3628" t="s">
        <v>32</v>
      </c>
      <c r="C617" s="1265" t="s">
        <v>5594</v>
      </c>
      <c r="D617" s="1450">
        <f>ROUNDDOWN(6610*0.92+8550,-1)</f>
        <v>14630</v>
      </c>
      <c r="E617" s="1454">
        <f>ROUNDDOWN(5660*0.92+8550,-1)</f>
        <v>13750</v>
      </c>
      <c r="F617" s="1454">
        <f>ROUNDDOWN(ROUNDDOWN((5666-(6611-5666)*2),-1)*0.92+8550,-1)</f>
        <v>12010</v>
      </c>
      <c r="G617" s="1458">
        <f>ROUNDDOWN(ROUNDDOWN((5666-(6611-5666)*5),-1)*0.92+8550,-1)</f>
        <v>9410</v>
      </c>
      <c r="H617" s="2802">
        <v>6610</v>
      </c>
      <c r="I617" s="2804"/>
      <c r="J617" s="2802">
        <v>8550</v>
      </c>
      <c r="K617" s="2804"/>
      <c r="L617" s="1437" t="s">
        <v>742</v>
      </c>
      <c r="M617" s="1443">
        <v>1.25</v>
      </c>
      <c r="N617" s="1437" t="s">
        <v>5718</v>
      </c>
      <c r="O617" s="1449">
        <v>1</v>
      </c>
      <c r="P617" s="1446" t="s">
        <v>37</v>
      </c>
      <c r="Q617" s="1442" t="s">
        <v>37</v>
      </c>
      <c r="R617" s="1462">
        <v>1.1000000000000001</v>
      </c>
      <c r="S617" s="1449">
        <v>1.2</v>
      </c>
      <c r="T617" s="1462">
        <v>0.92</v>
      </c>
      <c r="U617" s="1449">
        <v>1</v>
      </c>
      <c r="V617" s="1462">
        <v>0.73</v>
      </c>
      <c r="W617" s="1463">
        <v>0.8</v>
      </c>
      <c r="X617" s="1471" t="s">
        <v>375</v>
      </c>
      <c r="Y617" s="1472">
        <v>1.2</v>
      </c>
      <c r="Z617" s="1471" t="s">
        <v>324</v>
      </c>
      <c r="AA617" s="1472">
        <v>1</v>
      </c>
      <c r="AB617" s="1473" t="s">
        <v>376</v>
      </c>
      <c r="AC617" s="1472">
        <v>0.8</v>
      </c>
    </row>
    <row r="618" spans="2:29" ht="18" customHeight="1">
      <c r="B618" s="3629"/>
      <c r="C618" s="1267" t="s">
        <v>5595</v>
      </c>
      <c r="D618" s="1451">
        <f>ROUNDDOWN(6611+8552,-1)</f>
        <v>15160</v>
      </c>
      <c r="E618" s="1455">
        <f>ROUNDDOWN(5666+8552,-1)</f>
        <v>14210</v>
      </c>
      <c r="F618" s="1455">
        <f>ROUNDDOWN(5666-(6611-5666)*2+8552,-1)</f>
        <v>12320</v>
      </c>
      <c r="G618" s="1459">
        <f>ROUNDDOWN(5666-(6611-5666)*5+8552,-1)</f>
        <v>9490</v>
      </c>
      <c r="H618" s="3682">
        <f>$H$617</f>
        <v>6610</v>
      </c>
      <c r="I618" s="3683"/>
      <c r="J618" s="3682">
        <f>$J$617</f>
        <v>8550</v>
      </c>
      <c r="K618" s="3683"/>
      <c r="L618" s="1438" t="str">
        <f t="shared" ref="L618:L623" si="201">$L$617</f>
        <v>3階</v>
      </c>
      <c r="M618" s="1444">
        <f t="shared" ref="M618:M623" si="202">$M$617</f>
        <v>1.25</v>
      </c>
      <c r="N618" s="1438" t="str">
        <f t="shared" ref="N618:N623" si="203">$N$617</f>
        <v>2階以下</v>
      </c>
      <c r="O618" s="1439">
        <f t="shared" ref="O618:O623" si="204">$O$617</f>
        <v>1</v>
      </c>
      <c r="P618" s="1447" t="str">
        <f t="shared" ref="P618:P623" si="205">$P$617</f>
        <v>-</v>
      </c>
      <c r="Q618" s="1439" t="str">
        <f t="shared" ref="Q618:Q623" si="206">$Q$617</f>
        <v>-</v>
      </c>
      <c r="R618" s="1464">
        <v>1.2</v>
      </c>
      <c r="S618" s="1465">
        <v>1.2</v>
      </c>
      <c r="T618" s="1464">
        <v>1</v>
      </c>
      <c r="U618" s="1465">
        <v>1</v>
      </c>
      <c r="V618" s="1464">
        <v>0.8</v>
      </c>
      <c r="W618" s="1468">
        <v>0.8</v>
      </c>
      <c r="X618" s="1466" t="str">
        <f t="shared" ref="X618:X623" si="207">$X$617</f>
        <v>良い</v>
      </c>
      <c r="Y618" s="1439">
        <f t="shared" ref="Y618:Y623" si="208">$Y$617</f>
        <v>1.2</v>
      </c>
      <c r="Z618" s="1466" t="str">
        <f t="shared" ref="Z618:Z623" si="209">$Z$617</f>
        <v>普通</v>
      </c>
      <c r="AA618" s="1439">
        <f t="shared" ref="AA618:AA623" si="210">$AA$617</f>
        <v>1</v>
      </c>
      <c r="AB618" s="1474" t="str">
        <f t="shared" ref="AB618:AB623" si="211">$AB$617</f>
        <v>悪い</v>
      </c>
      <c r="AC618" s="1469">
        <f t="shared" ref="AC618:AC623" si="212">$AC$617</f>
        <v>0.8</v>
      </c>
    </row>
    <row r="619" spans="2:29" ht="18" customHeight="1">
      <c r="B619" s="3629"/>
      <c r="C619" s="1267" t="s">
        <v>5596</v>
      </c>
      <c r="D619" s="1452">
        <f>$D$618</f>
        <v>15160</v>
      </c>
      <c r="E619" s="1456">
        <f>$E$618</f>
        <v>14210</v>
      </c>
      <c r="F619" s="1456">
        <f>$F$618</f>
        <v>12320</v>
      </c>
      <c r="G619" s="1460">
        <f>$G$618</f>
        <v>9490</v>
      </c>
      <c r="H619" s="3682">
        <f t="shared" ref="H619:H623" si="213">$H$617</f>
        <v>6610</v>
      </c>
      <c r="I619" s="3683"/>
      <c r="J619" s="3682">
        <f t="shared" ref="J619:J623" si="214">$J$617</f>
        <v>8550</v>
      </c>
      <c r="K619" s="3683"/>
      <c r="L619" s="1438" t="str">
        <f t="shared" si="201"/>
        <v>3階</v>
      </c>
      <c r="M619" s="1444">
        <f t="shared" si="202"/>
        <v>1.25</v>
      </c>
      <c r="N619" s="1438" t="str">
        <f t="shared" si="203"/>
        <v>2階以下</v>
      </c>
      <c r="O619" s="1439">
        <f t="shared" si="204"/>
        <v>1</v>
      </c>
      <c r="P619" s="1447" t="str">
        <f t="shared" si="205"/>
        <v>-</v>
      </c>
      <c r="Q619" s="1439" t="str">
        <f t="shared" si="206"/>
        <v>-</v>
      </c>
      <c r="R619" s="1466">
        <f>$R$618</f>
        <v>1.2</v>
      </c>
      <c r="S619" s="1439">
        <f>$S$618</f>
        <v>1.2</v>
      </c>
      <c r="T619" s="1466">
        <f>$T$618</f>
        <v>1</v>
      </c>
      <c r="U619" s="1439">
        <f>$U$618</f>
        <v>1</v>
      </c>
      <c r="V619" s="1466">
        <f>$V$618</f>
        <v>0.8</v>
      </c>
      <c r="W619" s="1469">
        <f>$W$618</f>
        <v>0.8</v>
      </c>
      <c r="X619" s="1466" t="str">
        <f t="shared" si="207"/>
        <v>良い</v>
      </c>
      <c r="Y619" s="1439">
        <f t="shared" si="208"/>
        <v>1.2</v>
      </c>
      <c r="Z619" s="1466" t="str">
        <f t="shared" si="209"/>
        <v>普通</v>
      </c>
      <c r="AA619" s="1439">
        <f t="shared" si="210"/>
        <v>1</v>
      </c>
      <c r="AB619" s="1474" t="str">
        <f t="shared" si="211"/>
        <v>悪い</v>
      </c>
      <c r="AC619" s="1469">
        <f t="shared" si="212"/>
        <v>0.8</v>
      </c>
    </row>
    <row r="620" spans="2:29" ht="18" customHeight="1">
      <c r="B620" s="3629"/>
      <c r="C620" s="1267" t="s">
        <v>5689</v>
      </c>
      <c r="D620" s="1452">
        <f t="shared" ref="D620:D623" si="215">$D$618</f>
        <v>15160</v>
      </c>
      <c r="E620" s="1456">
        <f t="shared" ref="E620:E623" si="216">$E$618</f>
        <v>14210</v>
      </c>
      <c r="F620" s="1456">
        <f t="shared" ref="F620:F623" si="217">$F$618</f>
        <v>12320</v>
      </c>
      <c r="G620" s="1460">
        <f t="shared" ref="G620:G623" si="218">$G$618</f>
        <v>9490</v>
      </c>
      <c r="H620" s="3682">
        <f t="shared" si="213"/>
        <v>6610</v>
      </c>
      <c r="I620" s="3683"/>
      <c r="J620" s="3682">
        <f t="shared" si="214"/>
        <v>8550</v>
      </c>
      <c r="K620" s="3683"/>
      <c r="L620" s="1438" t="str">
        <f t="shared" si="201"/>
        <v>3階</v>
      </c>
      <c r="M620" s="1444">
        <f t="shared" si="202"/>
        <v>1.25</v>
      </c>
      <c r="N620" s="1438" t="str">
        <f t="shared" si="203"/>
        <v>2階以下</v>
      </c>
      <c r="O620" s="1439">
        <f t="shared" si="204"/>
        <v>1</v>
      </c>
      <c r="P620" s="1447" t="str">
        <f t="shared" si="205"/>
        <v>-</v>
      </c>
      <c r="Q620" s="1439" t="str">
        <f t="shared" si="206"/>
        <v>-</v>
      </c>
      <c r="R620" s="1466">
        <f>$R$618</f>
        <v>1.2</v>
      </c>
      <c r="S620" s="1439">
        <f>$S$618</f>
        <v>1.2</v>
      </c>
      <c r="T620" s="1466">
        <f>$T$618</f>
        <v>1</v>
      </c>
      <c r="U620" s="1439">
        <f>$U$618</f>
        <v>1</v>
      </c>
      <c r="V620" s="1466">
        <f>$V$618</f>
        <v>0.8</v>
      </c>
      <c r="W620" s="1469">
        <f>$W$618</f>
        <v>0.8</v>
      </c>
      <c r="X620" s="1466" t="str">
        <f t="shared" si="207"/>
        <v>良い</v>
      </c>
      <c r="Y620" s="1439">
        <f t="shared" si="208"/>
        <v>1.2</v>
      </c>
      <c r="Z620" s="1466" t="str">
        <f t="shared" si="209"/>
        <v>普通</v>
      </c>
      <c r="AA620" s="1439">
        <f t="shared" si="210"/>
        <v>1</v>
      </c>
      <c r="AB620" s="1474" t="str">
        <f t="shared" si="211"/>
        <v>悪い</v>
      </c>
      <c r="AC620" s="1469">
        <f t="shared" si="212"/>
        <v>0.8</v>
      </c>
    </row>
    <row r="621" spans="2:29" ht="18" customHeight="1">
      <c r="B621" s="3629"/>
      <c r="C621" s="1267" t="s">
        <v>5597</v>
      </c>
      <c r="D621" s="1452">
        <f t="shared" si="215"/>
        <v>15160</v>
      </c>
      <c r="E621" s="1456">
        <f t="shared" si="216"/>
        <v>14210</v>
      </c>
      <c r="F621" s="1456">
        <f t="shared" si="217"/>
        <v>12320</v>
      </c>
      <c r="G621" s="1460">
        <f t="shared" si="218"/>
        <v>9490</v>
      </c>
      <c r="H621" s="3682">
        <f t="shared" si="213"/>
        <v>6610</v>
      </c>
      <c r="I621" s="3683"/>
      <c r="J621" s="3682">
        <f t="shared" si="214"/>
        <v>8550</v>
      </c>
      <c r="K621" s="3683"/>
      <c r="L621" s="1438" t="str">
        <f t="shared" si="201"/>
        <v>3階</v>
      </c>
      <c r="M621" s="1444">
        <f t="shared" si="202"/>
        <v>1.25</v>
      </c>
      <c r="N621" s="1438" t="str">
        <f t="shared" si="203"/>
        <v>2階以下</v>
      </c>
      <c r="O621" s="1439">
        <f t="shared" si="204"/>
        <v>1</v>
      </c>
      <c r="P621" s="1447" t="str">
        <f t="shared" si="205"/>
        <v>-</v>
      </c>
      <c r="Q621" s="1439" t="str">
        <f t="shared" si="206"/>
        <v>-</v>
      </c>
      <c r="R621" s="1466">
        <f>$R$618</f>
        <v>1.2</v>
      </c>
      <c r="S621" s="1439">
        <f>$S$618</f>
        <v>1.2</v>
      </c>
      <c r="T621" s="1466">
        <f>$T$618</f>
        <v>1</v>
      </c>
      <c r="U621" s="1439">
        <f>$U$618</f>
        <v>1</v>
      </c>
      <c r="V621" s="1466">
        <f>$V$618</f>
        <v>0.8</v>
      </c>
      <c r="W621" s="1469">
        <f>$W$618</f>
        <v>0.8</v>
      </c>
      <c r="X621" s="1466" t="str">
        <f t="shared" si="207"/>
        <v>良い</v>
      </c>
      <c r="Y621" s="1439">
        <f t="shared" si="208"/>
        <v>1.2</v>
      </c>
      <c r="Z621" s="1466" t="str">
        <f t="shared" si="209"/>
        <v>普通</v>
      </c>
      <c r="AA621" s="1439">
        <f t="shared" si="210"/>
        <v>1</v>
      </c>
      <c r="AB621" s="1474" t="str">
        <f t="shared" si="211"/>
        <v>悪い</v>
      </c>
      <c r="AC621" s="1469">
        <f t="shared" si="212"/>
        <v>0.8</v>
      </c>
    </row>
    <row r="622" spans="2:29" ht="18" customHeight="1">
      <c r="B622" s="3629"/>
      <c r="C622" s="1267" t="s">
        <v>5661</v>
      </c>
      <c r="D622" s="1452">
        <f t="shared" si="215"/>
        <v>15160</v>
      </c>
      <c r="E622" s="1456">
        <f t="shared" si="216"/>
        <v>14210</v>
      </c>
      <c r="F622" s="1456">
        <f t="shared" si="217"/>
        <v>12320</v>
      </c>
      <c r="G622" s="1460">
        <f t="shared" si="218"/>
        <v>9490</v>
      </c>
      <c r="H622" s="3682">
        <f t="shared" si="213"/>
        <v>6610</v>
      </c>
      <c r="I622" s="3683"/>
      <c r="J622" s="3682">
        <f t="shared" si="214"/>
        <v>8550</v>
      </c>
      <c r="K622" s="3683"/>
      <c r="L622" s="1438" t="str">
        <f t="shared" si="201"/>
        <v>3階</v>
      </c>
      <c r="M622" s="1444">
        <f t="shared" si="202"/>
        <v>1.25</v>
      </c>
      <c r="N622" s="1438" t="str">
        <f t="shared" si="203"/>
        <v>2階以下</v>
      </c>
      <c r="O622" s="1439">
        <f t="shared" si="204"/>
        <v>1</v>
      </c>
      <c r="P622" s="1447" t="str">
        <f t="shared" si="205"/>
        <v>-</v>
      </c>
      <c r="Q622" s="1439" t="str">
        <f t="shared" si="206"/>
        <v>-</v>
      </c>
      <c r="R622" s="1466">
        <f>$R$618</f>
        <v>1.2</v>
      </c>
      <c r="S622" s="1439">
        <f>$S$618</f>
        <v>1.2</v>
      </c>
      <c r="T622" s="1466">
        <f>$T$618</f>
        <v>1</v>
      </c>
      <c r="U622" s="1439">
        <f>$U$618</f>
        <v>1</v>
      </c>
      <c r="V622" s="1466">
        <f>$V$618</f>
        <v>0.8</v>
      </c>
      <c r="W622" s="1469">
        <f>$W$618</f>
        <v>0.8</v>
      </c>
      <c r="X622" s="1466" t="str">
        <f t="shared" si="207"/>
        <v>良い</v>
      </c>
      <c r="Y622" s="1439">
        <f t="shared" si="208"/>
        <v>1.2</v>
      </c>
      <c r="Z622" s="1466" t="str">
        <f t="shared" si="209"/>
        <v>普通</v>
      </c>
      <c r="AA622" s="1439">
        <f t="shared" si="210"/>
        <v>1</v>
      </c>
      <c r="AB622" s="1474" t="str">
        <f t="shared" si="211"/>
        <v>悪い</v>
      </c>
      <c r="AC622" s="1469">
        <f t="shared" si="212"/>
        <v>0.8</v>
      </c>
    </row>
    <row r="623" spans="2:29" ht="18" customHeight="1">
      <c r="B623" s="3630"/>
      <c r="C623" s="1272" t="s">
        <v>5662</v>
      </c>
      <c r="D623" s="1453">
        <f t="shared" si="215"/>
        <v>15160</v>
      </c>
      <c r="E623" s="1457">
        <f t="shared" si="216"/>
        <v>14210</v>
      </c>
      <c r="F623" s="1457">
        <f t="shared" si="217"/>
        <v>12320</v>
      </c>
      <c r="G623" s="1461">
        <f t="shared" si="218"/>
        <v>9490</v>
      </c>
      <c r="H623" s="3680">
        <f t="shared" si="213"/>
        <v>6610</v>
      </c>
      <c r="I623" s="3681"/>
      <c r="J623" s="3680">
        <f t="shared" si="214"/>
        <v>8550</v>
      </c>
      <c r="K623" s="3681"/>
      <c r="L623" s="1440" t="str">
        <f t="shared" si="201"/>
        <v>3階</v>
      </c>
      <c r="M623" s="1445">
        <f t="shared" si="202"/>
        <v>1.25</v>
      </c>
      <c r="N623" s="1440" t="str">
        <f t="shared" si="203"/>
        <v>2階以下</v>
      </c>
      <c r="O623" s="1441">
        <f t="shared" si="204"/>
        <v>1</v>
      </c>
      <c r="P623" s="1448" t="str">
        <f t="shared" si="205"/>
        <v>-</v>
      </c>
      <c r="Q623" s="1441" t="str">
        <f t="shared" si="206"/>
        <v>-</v>
      </c>
      <c r="R623" s="1467">
        <f>$R$618</f>
        <v>1.2</v>
      </c>
      <c r="S623" s="1441">
        <f>$S$618</f>
        <v>1.2</v>
      </c>
      <c r="T623" s="1467">
        <f>$T$618</f>
        <v>1</v>
      </c>
      <c r="U623" s="1441">
        <f>$U$618</f>
        <v>1</v>
      </c>
      <c r="V623" s="1467">
        <f>$V$618</f>
        <v>0.8</v>
      </c>
      <c r="W623" s="1470">
        <f>$W$618</f>
        <v>0.8</v>
      </c>
      <c r="X623" s="1467" t="str">
        <f t="shared" si="207"/>
        <v>良い</v>
      </c>
      <c r="Y623" s="1441">
        <f t="shared" si="208"/>
        <v>1.2</v>
      </c>
      <c r="Z623" s="1467" t="str">
        <f t="shared" si="209"/>
        <v>普通</v>
      </c>
      <c r="AA623" s="1441">
        <f t="shared" si="210"/>
        <v>1</v>
      </c>
      <c r="AB623" s="1475" t="str">
        <f t="shared" si="211"/>
        <v>悪い</v>
      </c>
      <c r="AC623" s="1470">
        <f t="shared" si="212"/>
        <v>0.8</v>
      </c>
    </row>
  </sheetData>
  <customSheetViews>
    <customSheetView guid="{6CFAA980-29D1-42A9-8342-BF14629EBE3B}" state="hidden">
      <pane xSplit="3" ySplit="1" topLeftCell="D2" activePane="bottomRight" state="frozen"/>
      <selection pane="bottomRight" activeCell="Q42" sqref="Q42"/>
      <rowBreaks count="1" manualBreakCount="1">
        <brk id="423" max="77" man="1"/>
      </rowBreaks>
      <pageMargins left="0.48" right="0.28000000000000003" top="0.36" bottom="0.37" header="0.2" footer="0.19"/>
      <pageSetup paperSize="8" scale="32" fitToHeight="5" orientation="landscape" r:id="rId1"/>
      <headerFooter alignWithMargins="0"/>
    </customSheetView>
  </customSheetViews>
  <mergeCells count="121">
    <mergeCell ref="H623:I623"/>
    <mergeCell ref="J623:K623"/>
    <mergeCell ref="H618:I618"/>
    <mergeCell ref="J618:K618"/>
    <mergeCell ref="H619:I619"/>
    <mergeCell ref="J619:K619"/>
    <mergeCell ref="H620:I620"/>
    <mergeCell ref="J620:K620"/>
    <mergeCell ref="H621:I621"/>
    <mergeCell ref="J621:K621"/>
    <mergeCell ref="H622:I622"/>
    <mergeCell ref="J622:K622"/>
    <mergeCell ref="B615:C616"/>
    <mergeCell ref="B617:B623"/>
    <mergeCell ref="D615:G615"/>
    <mergeCell ref="L615:Q615"/>
    <mergeCell ref="R615:W615"/>
    <mergeCell ref="H615:K615"/>
    <mergeCell ref="H617:I617"/>
    <mergeCell ref="J617:K617"/>
    <mergeCell ref="J102:O102"/>
    <mergeCell ref="H103:I103"/>
    <mergeCell ref="N103:O103"/>
    <mergeCell ref="V546:X546"/>
    <mergeCell ref="D151:I151"/>
    <mergeCell ref="N285:O285"/>
    <mergeCell ref="J284:O284"/>
    <mergeCell ref="H152:I152"/>
    <mergeCell ref="D158:I158"/>
    <mergeCell ref="H159:I159"/>
    <mergeCell ref="H166:I166"/>
    <mergeCell ref="J270:O270"/>
    <mergeCell ref="N271:O271"/>
    <mergeCell ref="D270:I270"/>
    <mergeCell ref="J166:K166"/>
    <mergeCell ref="D165:K165"/>
    <mergeCell ref="D11:I11"/>
    <mergeCell ref="D109:I109"/>
    <mergeCell ref="H110:I110"/>
    <mergeCell ref="D116:I116"/>
    <mergeCell ref="H117:I117"/>
    <mergeCell ref="H12:I12"/>
    <mergeCell ref="D81:I81"/>
    <mergeCell ref="H82:I82"/>
    <mergeCell ref="D88:I88"/>
    <mergeCell ref="H89:I89"/>
    <mergeCell ref="D95:I95"/>
    <mergeCell ref="H96:I96"/>
    <mergeCell ref="D102:I102"/>
    <mergeCell ref="X278:Y278"/>
    <mergeCell ref="Z278:AA278"/>
    <mergeCell ref="AD278:AE278"/>
    <mergeCell ref="AF278:AG278"/>
    <mergeCell ref="AB285:AC285"/>
    <mergeCell ref="T278:U278"/>
    <mergeCell ref="X285:Y285"/>
    <mergeCell ref="T285:U285"/>
    <mergeCell ref="P284:U284"/>
    <mergeCell ref="V284:AA284"/>
    <mergeCell ref="V285:W285"/>
    <mergeCell ref="Z285:AA285"/>
    <mergeCell ref="B555:B559"/>
    <mergeCell ref="B553:C554"/>
    <mergeCell ref="BP553:BZ553"/>
    <mergeCell ref="V553:AE553"/>
    <mergeCell ref="B560:B564"/>
    <mergeCell ref="B565:B568"/>
    <mergeCell ref="AJ575:AK575"/>
    <mergeCell ref="AH575:AI575"/>
    <mergeCell ref="AH572:AI572"/>
    <mergeCell ref="B572:B576"/>
    <mergeCell ref="B570:C571"/>
    <mergeCell ref="AL570:AQ570"/>
    <mergeCell ref="BX554:BY554"/>
    <mergeCell ref="AH571:AI571"/>
    <mergeCell ref="V570:AA570"/>
    <mergeCell ref="J570:U570"/>
    <mergeCell ref="AR570:AU570"/>
    <mergeCell ref="AJ571:AK571"/>
    <mergeCell ref="BV554:BW554"/>
    <mergeCell ref="AH576:AI576"/>
    <mergeCell ref="AH573:AI573"/>
    <mergeCell ref="AJ572:AK572"/>
    <mergeCell ref="AJ573:AK573"/>
    <mergeCell ref="AH574:AI574"/>
    <mergeCell ref="AJ574:AK574"/>
    <mergeCell ref="AJ576:AK576"/>
    <mergeCell ref="F602:G602"/>
    <mergeCell ref="N602:O602"/>
    <mergeCell ref="D123:I123"/>
    <mergeCell ref="H124:I124"/>
    <mergeCell ref="H138:I138"/>
    <mergeCell ref="D137:I137"/>
    <mergeCell ref="D144:I144"/>
    <mergeCell ref="H145:I145"/>
    <mergeCell ref="H439:I439"/>
    <mergeCell ref="P545:X545"/>
    <mergeCell ref="D438:I438"/>
    <mergeCell ref="J277:O277"/>
    <mergeCell ref="H271:I271"/>
    <mergeCell ref="N278:O278"/>
    <mergeCell ref="AB284:AG284"/>
    <mergeCell ref="AD285:AE285"/>
    <mergeCell ref="V278:W278"/>
    <mergeCell ref="AB278:AC278"/>
    <mergeCell ref="P277:U277"/>
    <mergeCell ref="AF285:AG285"/>
    <mergeCell ref="V277:AA277"/>
    <mergeCell ref="AB277:AG277"/>
    <mergeCell ref="B601:C602"/>
    <mergeCell ref="B603:B611"/>
    <mergeCell ref="D602:E602"/>
    <mergeCell ref="D603:E603"/>
    <mergeCell ref="D604:E604"/>
    <mergeCell ref="D605:E605"/>
    <mergeCell ref="D606:E606"/>
    <mergeCell ref="D607:E607"/>
    <mergeCell ref="D608:E608"/>
    <mergeCell ref="D610:E610"/>
    <mergeCell ref="D609:E609"/>
    <mergeCell ref="D611:E611"/>
  </mergeCells>
  <phoneticPr fontId="8"/>
  <pageMargins left="0.48" right="0.28000000000000003" top="0.36" bottom="0.37" header="0.2" footer="0.19"/>
  <pageSetup paperSize="8" scale="32" fitToHeight="5" orientation="landscape" r:id="rId2"/>
  <headerFooter alignWithMargins="0"/>
  <rowBreaks count="1" manualBreakCount="1">
    <brk id="423" max="77"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210</vt:i4>
      </vt:variant>
    </vt:vector>
  </HeadingPairs>
  <TitlesOfParts>
    <vt:vector size="222" baseType="lpstr">
      <vt:lpstr>コード表</vt:lpstr>
      <vt:lpstr>住所コードＤＢ</vt:lpstr>
      <vt:lpstr>調書</vt:lpstr>
      <vt:lpstr>見積拾</vt:lpstr>
      <vt:lpstr>基礎・屋根・外壁</vt:lpstr>
      <vt:lpstr>内壁・間仕切</vt:lpstr>
      <vt:lpstr>床・天井</vt:lpstr>
      <vt:lpstr>建具</vt:lpstr>
      <vt:lpstr>建具の明細</vt:lpstr>
      <vt:lpstr>設備</vt:lpstr>
      <vt:lpstr>設備(個別)</vt:lpstr>
      <vt:lpstr>DB</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①</vt:lpstr>
      <vt:lpstr>①建</vt:lpstr>
      <vt:lpstr>①見</vt:lpstr>
      <vt:lpstr>②</vt:lpstr>
      <vt:lpstr>②建</vt:lpstr>
      <vt:lpstr>②見</vt:lpstr>
      <vt:lpstr>③</vt:lpstr>
      <vt:lpstr>③建</vt:lpstr>
      <vt:lpstr>③見</vt:lpstr>
      <vt:lpstr>④</vt:lpstr>
      <vt:lpstr>④建</vt:lpstr>
      <vt:lpstr>④見</vt:lpstr>
      <vt:lpstr>⑤</vt:lpstr>
      <vt:lpstr>⑤建</vt:lpstr>
      <vt:lpstr>⑤見</vt:lpstr>
      <vt:lpstr>⑥</vt:lpstr>
      <vt:lpstr>⑥建</vt:lpstr>
      <vt:lpstr>⑥見</vt:lpstr>
      <vt:lpstr>⑦</vt:lpstr>
      <vt:lpstr>⑦建</vt:lpstr>
      <vt:lpstr>⑦見</vt:lpstr>
      <vt:lpstr>⑧</vt:lpstr>
      <vt:lpstr>⑧建</vt:lpstr>
      <vt:lpstr>⑧見</vt:lpstr>
      <vt:lpstr>⑨</vt:lpstr>
      <vt:lpstr>⑨建</vt:lpstr>
      <vt:lpstr>⑩</vt:lpstr>
      <vt:lpstr>⑪</vt:lpstr>
      <vt:lpstr>⑫</vt:lpstr>
      <vt:lpstr>⑬</vt:lpstr>
      <vt:lpstr>⑭</vt:lpstr>
      <vt:lpstr>⑮</vt:lpstr>
      <vt:lpstr>⑯</vt:lpstr>
      <vt:lpstr>ＥＶ規格</vt:lpstr>
      <vt:lpstr>ＥＶ高速特注</vt:lpstr>
      <vt:lpstr>ＥＶ特注</vt:lpstr>
      <vt:lpstr>ＨＵＢ</vt:lpstr>
      <vt:lpstr>ＬＧＳ名称</vt:lpstr>
      <vt:lpstr>DB!Print_Area</vt:lpstr>
      <vt:lpstr>基礎・屋根・外壁!Print_Area</vt:lpstr>
      <vt:lpstr>建具!Print_Area</vt:lpstr>
      <vt:lpstr>建具の明細!Print_Area</vt:lpstr>
      <vt:lpstr>見積拾!Print_Area</vt:lpstr>
      <vt:lpstr>床・天井!Print_Area</vt:lpstr>
      <vt:lpstr>設備!Print_Area</vt:lpstr>
      <vt:lpstr>'設備(個別)'!Print_Area</vt:lpstr>
      <vt:lpstr>調書!Print_Area</vt:lpstr>
      <vt:lpstr>内壁・間仕切!Print_Area</vt:lpstr>
      <vt:lpstr>床・天井!Print_Titles</vt:lpstr>
      <vt:lpstr>見積拾!ＲＣＣＢ名称</vt:lpstr>
      <vt:lpstr>ＲＣＣＢ名称</vt:lpstr>
      <vt:lpstr>Ｓ１０００型</vt:lpstr>
      <vt:lpstr>Ｓ６００型</vt:lpstr>
      <vt:lpstr>ＳＫ</vt:lpstr>
      <vt:lpstr>見積拾!Ｓ名称</vt:lpstr>
      <vt:lpstr>Ｓ名称</vt:lpstr>
      <vt:lpstr>ＴＶ局所</vt:lpstr>
      <vt:lpstr>ＴＶ総体</vt:lpstr>
      <vt:lpstr>ＵＢ</vt:lpstr>
      <vt:lpstr>ＵＳ</vt:lpstr>
      <vt:lpstr>インターホン</vt:lpstr>
      <vt:lpstr>ガス</vt:lpstr>
      <vt:lpstr>ゴンドラ</vt:lpstr>
      <vt:lpstr>ｻｯｼ</vt:lpstr>
      <vt:lpstr>スプリンクラー</vt:lpstr>
      <vt:lpstr>ドアホン</vt:lpstr>
      <vt:lpstr>ドレンチャー</vt:lpstr>
      <vt:lpstr>ベンチレーター</vt:lpstr>
      <vt:lpstr>ホームＥＶ</vt:lpstr>
      <vt:lpstr>マルチ</vt:lpstr>
      <vt:lpstr>ミニＳＫ</vt:lpstr>
      <vt:lpstr>レンジフード</vt:lpstr>
      <vt:lpstr>一般機械排煙</vt:lpstr>
      <vt:lpstr>衛生</vt:lpstr>
      <vt:lpstr>屋根</vt:lpstr>
      <vt:lpstr>屋根構造</vt:lpstr>
      <vt:lpstr>屋根構造名称</vt:lpstr>
      <vt:lpstr>屋根名称</vt:lpstr>
      <vt:lpstr>温風暖房</vt:lpstr>
      <vt:lpstr>化粧台</vt:lpstr>
      <vt:lpstr>仮設工事</vt:lpstr>
      <vt:lpstr>火災報知</vt:lpstr>
      <vt:lpstr>外周壁</vt:lpstr>
      <vt:lpstr>外周壁名称</vt:lpstr>
      <vt:lpstr>外部</vt:lpstr>
      <vt:lpstr>外部開口</vt:lpstr>
      <vt:lpstr>外部開口面積</vt:lpstr>
      <vt:lpstr>外部名称</vt:lpstr>
      <vt:lpstr>拡声器</vt:lpstr>
      <vt:lpstr>換気一戸建</vt:lpstr>
      <vt:lpstr>換気集合形式</vt:lpstr>
      <vt:lpstr>換気設備</vt:lpstr>
      <vt:lpstr>換気扇</vt:lpstr>
      <vt:lpstr>監視カメラ</vt:lpstr>
      <vt:lpstr>間仕切</vt:lpstr>
      <vt:lpstr>間仕切名称</vt:lpstr>
      <vt:lpstr>基礎延長名称</vt:lpstr>
      <vt:lpstr>基礎工事</vt:lpstr>
      <vt:lpstr>気送管</vt:lpstr>
      <vt:lpstr>給水</vt:lpstr>
      <vt:lpstr>給水小</vt:lpstr>
      <vt:lpstr>給水大</vt:lpstr>
      <vt:lpstr>給湯管</vt:lpstr>
      <vt:lpstr>給湯器</vt:lpstr>
      <vt:lpstr>給湯貯湯式</vt:lpstr>
      <vt:lpstr>建具</vt:lpstr>
      <vt:lpstr>建具名称</vt:lpstr>
      <vt:lpstr>個別</vt:lpstr>
      <vt:lpstr>呼出</vt:lpstr>
      <vt:lpstr>構造名称</vt:lpstr>
      <vt:lpstr>根伐土量名称</vt:lpstr>
      <vt:lpstr>使用口</vt:lpstr>
      <vt:lpstr>自動車</vt:lpstr>
      <vt:lpstr>自動車電動ＥＶ</vt:lpstr>
      <vt:lpstr>自動車油圧ＥＶ</vt:lpstr>
      <vt:lpstr>主体不明確補正</vt:lpstr>
      <vt:lpstr>主体明確補正</vt:lpstr>
      <vt:lpstr>受水槽</vt:lpstr>
      <vt:lpstr>住宅建具総合</vt:lpstr>
      <vt:lpstr>小荷物専用昇降機</vt:lpstr>
      <vt:lpstr>小便器</vt:lpstr>
      <vt:lpstr>床</vt:lpstr>
      <vt:lpstr>床構造</vt:lpstr>
      <vt:lpstr>床構造名称</vt:lpstr>
      <vt:lpstr>床暖房</vt:lpstr>
      <vt:lpstr>床名称</vt:lpstr>
      <vt:lpstr>消火栓</vt:lpstr>
      <vt:lpstr>硝子名称</vt:lpstr>
      <vt:lpstr>寝台ＥＶ</vt:lpstr>
      <vt:lpstr>人荷ＥＶ</vt:lpstr>
      <vt:lpstr>水道直結スプリンクラー</vt:lpstr>
      <vt:lpstr>洗濯流し</vt:lpstr>
      <vt:lpstr>洗面器</vt:lpstr>
      <vt:lpstr>総合集合小</vt:lpstr>
      <vt:lpstr>総合集合大</vt:lpstr>
      <vt:lpstr>増圧ポンプ</vt:lpstr>
      <vt:lpstr>耐火被覆</vt:lpstr>
      <vt:lpstr>断熱</vt:lpstr>
      <vt:lpstr>断熱名称</vt:lpstr>
      <vt:lpstr>中央給湯</vt:lpstr>
      <vt:lpstr>直接暖房</vt:lpstr>
      <vt:lpstr>天井</vt:lpstr>
      <vt:lpstr>天井名称</vt:lpstr>
      <vt:lpstr>電灯</vt:lpstr>
      <vt:lpstr>電話</vt:lpstr>
      <vt:lpstr>動力</vt:lpstr>
      <vt:lpstr>特殊設備名称</vt:lpstr>
      <vt:lpstr>独立基礎名称</vt:lpstr>
      <vt:lpstr>内部</vt:lpstr>
      <vt:lpstr>内部開口</vt:lpstr>
      <vt:lpstr>内部開口面積</vt:lpstr>
      <vt:lpstr>内部名称</vt:lpstr>
      <vt:lpstr>熱源方式</vt:lpstr>
      <vt:lpstr>熱源冷房</vt:lpstr>
      <vt:lpstr>排水ポンプ</vt:lpstr>
      <vt:lpstr>排水小</vt:lpstr>
      <vt:lpstr>排水大</vt:lpstr>
      <vt:lpstr>避雷導体</vt:lpstr>
      <vt:lpstr>避雷突針</vt:lpstr>
      <vt:lpstr>標準量</vt:lpstr>
      <vt:lpstr>評価基準名称</vt:lpstr>
      <vt:lpstr>不活性ガス</vt:lpstr>
      <vt:lpstr>附室排煙</vt:lpstr>
      <vt:lpstr>泡消火</vt:lpstr>
      <vt:lpstr>網戸名称</vt:lpstr>
      <vt:lpstr>洋便器</vt:lpstr>
      <vt:lpstr>浴室換気乾燥機</vt:lpstr>
      <vt:lpstr>浴槽上</vt:lpstr>
      <vt:lpstr>浴槽並</vt:lpstr>
      <vt:lpstr>流し台</vt:lpstr>
      <vt:lpstr>和便器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吉岡 未来</cp:lastModifiedBy>
  <cp:lastPrinted>2025-01-22T00:42:12Z</cp:lastPrinted>
  <dcterms:created xsi:type="dcterms:W3CDTF">2012-05-18T05:33:39Z</dcterms:created>
  <dcterms:modified xsi:type="dcterms:W3CDTF">2025-01-27T08:35:30Z</dcterms:modified>
</cp:coreProperties>
</file>