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<sst xmlns="http://schemas.openxmlformats.org/spreadsheetml/2006/main" count="193" uniqueCount="102">
  <si>
    <t xml:space="preserve">  この表は総務省が調査する「固定資産概要調書」の結果｡</t>
  </si>
  <si>
    <t xml:space="preserve">  （単位　面積　㎡　金額　千円)</t>
  </si>
  <si>
    <t xml:space="preserve">県税務課  </t>
  </si>
  <si>
    <t>年次・市町村</t>
  </si>
  <si>
    <t>総           数</t>
  </si>
  <si>
    <t>田</t>
  </si>
  <si>
    <t>畑</t>
  </si>
  <si>
    <t xml:space="preserve"> 宅</t>
  </si>
  <si>
    <t xml:space="preserve">地 </t>
  </si>
  <si>
    <t>田(一般田)</t>
  </si>
  <si>
    <t>田(計)</t>
  </si>
  <si>
    <t>畑(一般田)</t>
  </si>
  <si>
    <t>畑(介在田・市外化区域田)</t>
  </si>
  <si>
    <t>畑(計)</t>
  </si>
  <si>
    <t>山林(一般山林)</t>
  </si>
  <si>
    <t>山林(介在山林)</t>
  </si>
  <si>
    <t>山林(計)</t>
  </si>
  <si>
    <t>地      積</t>
  </si>
  <si>
    <t>価      額</t>
  </si>
  <si>
    <t>市町村</t>
  </si>
  <si>
    <t>12</t>
  </si>
  <si>
    <t>13</t>
  </si>
  <si>
    <t>市      部</t>
  </si>
  <si>
    <t>市  部</t>
  </si>
  <si>
    <t>郡      部</t>
  </si>
  <si>
    <t>郡  部</t>
  </si>
  <si>
    <t>鳥取市</t>
  </si>
  <si>
    <t>米子市</t>
  </si>
  <si>
    <t>倉吉市</t>
  </si>
  <si>
    <t>境港市</t>
  </si>
  <si>
    <t>Ａ</t>
  </si>
  <si>
    <t>岩美郡</t>
  </si>
  <si>
    <t>国府町</t>
  </si>
  <si>
    <t>岩美町</t>
  </si>
  <si>
    <t>福部村</t>
  </si>
  <si>
    <t>Ｂ</t>
  </si>
  <si>
    <t>八頭郡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</si>
  <si>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</si>
  <si>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</si>
  <si>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</si>
  <si>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</si>
  <si>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</si>
  <si>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</si>
  <si>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</si>
  <si>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</si>
  <si>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Ｃ</t>
  </si>
  <si>
    <t>気高郡</t>
  </si>
  <si>
    <t>気高町</t>
  </si>
  <si>
    <t>鹿野町</t>
  </si>
  <si>
    <t>青谷町</t>
  </si>
  <si>
    <t>Ｄ</t>
  </si>
  <si>
    <t>東伯郡</t>
  </si>
  <si>
    <t>羽合町</t>
  </si>
  <si>
    <t>泊    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</si>
  <si>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</si>
  <si>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</si>
  <si>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</si>
  <si>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</si>
  <si>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</si>
  <si>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</si>
  <si>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</si>
  <si>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Ｅ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</si>
  <si>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</si>
  <si>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</si>
  <si>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</si>
  <si>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</si>
  <si>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</si>
  <si>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</si>
  <si>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</si>
  <si>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</si>
  <si>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</si>
  <si>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Ｆ</t>
  </si>
  <si>
    <t>日野郡</t>
  </si>
  <si>
    <t>日南町</t>
  </si>
  <si>
    <t>日野町</t>
  </si>
  <si>
    <t>江府町</t>
  </si>
  <si>
    <t>溝口町</t>
  </si>
  <si>
    <r>
      <t>8  市   町   村   別   評   価   地</t>
    </r>
    <r>
      <rPr>
        <b/>
        <sz val="2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     </t>
    </r>
  </si>
  <si>
    <t>積及び評価額</t>
  </si>
  <si>
    <t>平成12～平成16年</t>
  </si>
  <si>
    <t>入力か所</t>
  </si>
  <si>
    <t>山            林</t>
  </si>
  <si>
    <t>原            野</t>
  </si>
  <si>
    <t>そ      の      他</t>
  </si>
  <si>
    <t>年　次</t>
  </si>
  <si>
    <t>田(介在田・市外化区域田)</t>
  </si>
  <si>
    <t>年</t>
  </si>
  <si>
    <t xml:space="preserve">     13   〃</t>
  </si>
  <si>
    <t xml:space="preserve">     14   〃</t>
  </si>
  <si>
    <t>14</t>
  </si>
  <si>
    <t xml:space="preserve">    15   〃</t>
  </si>
  <si>
    <t>15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</si>
  <si>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</si>
  <si>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</si>
  <si>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</si>
  <si>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</si>
  <si>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</si>
  <si>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</si>
  <si>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</si>
  <si>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</si>
  <si>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</si>
  <si>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16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</si>
</sst>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\ ?/16"/>
    <numFmt numFmtId="180" formatCode="#,##0.0_ "/>
    <numFmt numFmtId="181" formatCode="0_ "/>
    <numFmt numFmtId="182" formatCode="#,##0;&quot;△ &quot;#,##0"/>
    <numFmt numFmtId="183" formatCode="#,##0.0;&quot;△ &quot;#,##0.0"/>
    <numFmt numFmtId="184" formatCode="#,##0.0_);[Red]\(#,##0.0\)"/>
    <numFmt numFmtId="185" formatCode="0.0;&quot;△ &quot;0.0"/>
    <numFmt numFmtId="186" formatCode="0;&quot;△ &quot;0"/>
    <numFmt numFmtId="187" formatCode="#,##0_ "/>
    <numFmt numFmtId="188" formatCode="#\ ###\ ###\ ##0;[Red]\-#\ ###\ ###\ ##0"/>
    <numFmt numFmtId="189" formatCode="_ * #\ ###\ ###\ ##0_ ;_ * \-#\ ###\ ###\ ##0_ ;_ * &quot;-&quot;_ ;_ @_ "/>
    <numFmt numFmtId="190" formatCode="#\ ###\ ###\ ##0\ ;\-#\ ###\ ###\ ##0\ "/>
    <numFmt numFmtId="191" formatCode="#\ ###\ ###\ ##0\ ;"/>
    <numFmt numFmtId="192" formatCode="#\ ###\ ###\ ##0\ "/>
    <numFmt numFmtId="193" formatCode="#\ ###\ ###\ ##0_;"/>
    <numFmt numFmtId="194" formatCode="#\ ###\ ###\ ###\ ;"/>
    <numFmt numFmtId="195" formatCode="\ ###\ ##0\ "/>
    <numFmt numFmtId="196" formatCode="\ #"/>
    <numFmt numFmtId="197" formatCode="[$-411]g&quot;年&quot;m&quot;月&quot;d&quot;日&quot;"/>
  </numFmts>
  <fonts count="12">
    <font>
      <sz val="11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top"/>
    </xf>
    <xf numFmtId="0" fontId="1" fillId="0" borderId="5" xfId="0" applyFont="1" applyFill="1" applyBorder="1" applyAlignment="1">
      <alignment horizontal="distributed" vertical="distributed"/>
    </xf>
    <xf numFmtId="0" fontId="1" fillId="0" borderId="6" xfId="0" applyFont="1" applyFill="1" applyBorder="1" applyAlignment="1">
      <alignment horizontal="distributed" vertical="distributed"/>
    </xf>
    <xf numFmtId="188" fontId="1" fillId="0" borderId="0" xfId="0" applyNumberFormat="1" applyFont="1" applyFill="1" applyBorder="1" applyAlignment="1">
      <alignment horizontal="distributed" vertical="top"/>
    </xf>
    <xf numFmtId="0" fontId="1" fillId="0" borderId="7" xfId="0" applyFont="1" applyFill="1" applyBorder="1" applyAlignment="1">
      <alignment horizontal="distributed" vertical="distributed"/>
    </xf>
    <xf numFmtId="0" fontId="1" fillId="0" borderId="0" xfId="0" applyFont="1" applyFill="1" applyBorder="1" applyAlignment="1">
      <alignment horizontal="distributed" vertical="distributed"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horizontal="right" vertical="center"/>
    </xf>
    <xf numFmtId="49" fontId="1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49" fontId="8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8" fontId="9" fillId="0" borderId="0" xfId="0" applyNumberFormat="1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188" fontId="1" fillId="0" borderId="0" xfId="0" applyNumberFormat="1" applyFont="1" applyFill="1" applyAlignment="1">
      <alignment/>
    </xf>
    <xf numFmtId="49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distributed" vertical="center"/>
    </xf>
    <xf numFmtId="49" fontId="10" fillId="0" borderId="7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8" fontId="9" fillId="0" borderId="0" xfId="0" applyNumberFormat="1" applyFont="1" applyFill="1" applyAlignment="1">
      <alignment vertical="center"/>
    </xf>
    <xf numFmtId="49" fontId="9" fillId="0" borderId="7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188" fontId="11" fillId="0" borderId="0" xfId="0" applyNumberFormat="1" applyFont="1" applyFill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82" fontId="8" fillId="0" borderId="7" xfId="0" applyNumberFormat="1" applyFont="1" applyFill="1" applyBorder="1" applyAlignment="1">
      <alignment horizontal="right" vertical="center"/>
    </xf>
    <xf numFmtId="182" fontId="9" fillId="0" borderId="7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189" fontId="1" fillId="0" borderId="8" xfId="0" applyNumberFormat="1" applyFont="1" applyFill="1" applyBorder="1" applyAlignment="1">
      <alignment/>
    </xf>
    <xf numFmtId="188" fontId="1" fillId="0" borderId="8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5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distributed"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center" vertical="distributed"/>
    </xf>
    <xf numFmtId="0" fontId="1" fillId="0" borderId="14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/>
    </xf>
    <xf numFmtId="5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SheetLayoutView="75" workbookViewId="0" topLeftCell="A1">
      <pane xSplit="3" ySplit="8" topLeftCell="F6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9.00390625" defaultRowHeight="13.5"/>
  <cols>
    <col min="1" max="1" width="3.50390625" style="6" customWidth="1"/>
    <col min="2" max="2" width="12.00390625" style="6" customWidth="1"/>
    <col min="3" max="3" width="0.5" style="6" customWidth="1"/>
    <col min="4" max="5" width="16.875" style="6" customWidth="1"/>
    <col min="6" max="10" width="15.625" style="6" customWidth="1"/>
    <col min="11" max="11" width="0.875" style="6" customWidth="1"/>
    <col min="12" max="12" width="16.875" style="6" customWidth="1"/>
    <col min="13" max="13" width="16.625" style="6" customWidth="1"/>
    <col min="14" max="16" width="16.00390625" style="6" customWidth="1"/>
    <col min="17" max="17" width="16.375" style="6" customWidth="1"/>
    <col min="18" max="18" width="16.125" style="6" customWidth="1"/>
    <col min="19" max="19" width="4.625" style="6" customWidth="1"/>
    <col min="20" max="20" width="2.625" style="6" customWidth="1"/>
    <col min="21" max="21" width="0" style="6" hidden="1" customWidth="1"/>
    <col min="22" max="22" width="16.125" style="6" hidden="1" customWidth="1"/>
    <col min="23" max="23" width="15.00390625" style="6" hidden="1" customWidth="1"/>
    <col min="24" max="24" width="13.375" style="6" hidden="1" customWidth="1"/>
    <col min="25" max="25" width="14.00390625" style="6" hidden="1" customWidth="1"/>
    <col min="26" max="26" width="15.625" style="6" hidden="1" customWidth="1"/>
    <col min="27" max="27" width="15.375" style="6" hidden="1" customWidth="1"/>
    <col min="28" max="28" width="16.875" style="6" hidden="1" customWidth="1"/>
    <col min="29" max="29" width="15.00390625" style="6" hidden="1" customWidth="1"/>
    <col min="30" max="30" width="13.50390625" style="6" hidden="1" customWidth="1"/>
    <col min="31" max="31" width="15.875" style="6" hidden="1" customWidth="1"/>
    <col min="32" max="32" width="15.625" style="6" hidden="1" customWidth="1"/>
    <col min="33" max="33" width="15.375" style="6" hidden="1" customWidth="1"/>
    <col min="34" max="35" width="15.00390625" style="6" hidden="1" customWidth="1"/>
    <col min="36" max="36" width="13.00390625" style="6" hidden="1" customWidth="1"/>
    <col min="37" max="37" width="15.875" style="6" hidden="1" customWidth="1"/>
    <col min="38" max="39" width="15.375" style="6" hidden="1" customWidth="1"/>
    <col min="40" max="40" width="2.625" style="6" customWidth="1"/>
    <col min="41" max="16384" width="9.00390625" style="6" customWidth="1"/>
  </cols>
  <sheetData>
    <row r="1" spans="2:17" s="1" customFormat="1" ht="25.5" customHeight="1">
      <c r="B1" s="2"/>
      <c r="C1" s="2"/>
      <c r="E1" s="96" t="s">
        <v>77</v>
      </c>
      <c r="F1" s="97"/>
      <c r="G1" s="97"/>
      <c r="H1" s="97"/>
      <c r="I1" s="97"/>
      <c r="J1" s="97"/>
      <c r="K1" s="3"/>
      <c r="L1" s="104" t="s">
        <v>78</v>
      </c>
      <c r="M1" s="104"/>
      <c r="N1" s="104"/>
      <c r="O1" s="105" t="s">
        <v>79</v>
      </c>
      <c r="P1" s="105"/>
      <c r="Q1" s="4"/>
    </row>
    <row r="2" spans="1:39" ht="16.5" customHeight="1">
      <c r="A2" s="5"/>
      <c r="B2" s="5"/>
      <c r="C2" s="5"/>
      <c r="D2" s="5"/>
      <c r="E2" s="5"/>
      <c r="F2" s="5"/>
      <c r="U2" s="7" t="s">
        <v>80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6" s="9" customFormat="1" ht="12.75" customHeight="1">
      <c r="A3" s="111" t="s">
        <v>0</v>
      </c>
      <c r="B3" s="111"/>
      <c r="C3" s="111"/>
      <c r="D3" s="111"/>
      <c r="E3" s="111"/>
      <c r="F3" s="111"/>
    </row>
    <row r="4" spans="1:20" s="10" customFormat="1" ht="12.75" customHeight="1">
      <c r="A4" s="110" t="s">
        <v>1</v>
      </c>
      <c r="B4" s="110"/>
      <c r="C4" s="110"/>
      <c r="D4" s="110"/>
      <c r="E4" s="110"/>
      <c r="F4" s="11"/>
      <c r="R4" s="112" t="s">
        <v>2</v>
      </c>
      <c r="S4" s="110"/>
      <c r="T4" s="110"/>
    </row>
    <row r="5" spans="2:19" s="10" customFormat="1" ht="4.5" customHeight="1" thickBot="1">
      <c r="B5" s="5"/>
      <c r="C5" s="5"/>
      <c r="D5" s="5"/>
      <c r="E5" s="5"/>
      <c r="K5" s="12"/>
      <c r="R5" s="1"/>
      <c r="S5" s="1"/>
    </row>
    <row r="6" spans="1:39" ht="24.75" customHeight="1" thickTop="1">
      <c r="A6" s="89" t="s">
        <v>3</v>
      </c>
      <c r="B6" s="89"/>
      <c r="C6" s="90"/>
      <c r="D6" s="102" t="s">
        <v>4</v>
      </c>
      <c r="E6" s="103"/>
      <c r="F6" s="94" t="s">
        <v>5</v>
      </c>
      <c r="G6" s="94"/>
      <c r="H6" s="94" t="s">
        <v>6</v>
      </c>
      <c r="I6" s="94"/>
      <c r="J6" s="13" t="s">
        <v>7</v>
      </c>
      <c r="K6" s="15"/>
      <c r="L6" s="14" t="s">
        <v>8</v>
      </c>
      <c r="M6" s="93" t="s">
        <v>81</v>
      </c>
      <c r="N6" s="93"/>
      <c r="O6" s="93" t="s">
        <v>82</v>
      </c>
      <c r="P6" s="93"/>
      <c r="Q6" s="93" t="s">
        <v>83</v>
      </c>
      <c r="R6" s="93"/>
      <c r="S6" s="106" t="s">
        <v>84</v>
      </c>
      <c r="T6" s="107"/>
      <c r="V6" s="94" t="s">
        <v>9</v>
      </c>
      <c r="W6" s="94"/>
      <c r="X6" s="94" t="s">
        <v>85</v>
      </c>
      <c r="Y6" s="94"/>
      <c r="Z6" s="94" t="s">
        <v>10</v>
      </c>
      <c r="AA6" s="94"/>
      <c r="AB6" s="94" t="s">
        <v>11</v>
      </c>
      <c r="AC6" s="94"/>
      <c r="AD6" s="94" t="s">
        <v>12</v>
      </c>
      <c r="AE6" s="94"/>
      <c r="AF6" s="94" t="s">
        <v>13</v>
      </c>
      <c r="AG6" s="94"/>
      <c r="AH6" s="94" t="s">
        <v>14</v>
      </c>
      <c r="AI6" s="94"/>
      <c r="AJ6" s="94" t="s">
        <v>15</v>
      </c>
      <c r="AK6" s="94"/>
      <c r="AL6" s="94" t="s">
        <v>16</v>
      </c>
      <c r="AM6" s="94"/>
    </row>
    <row r="7" spans="1:39" ht="24.75" customHeight="1">
      <c r="A7" s="91"/>
      <c r="B7" s="91"/>
      <c r="C7" s="92"/>
      <c r="D7" s="16" t="s">
        <v>17</v>
      </c>
      <c r="E7" s="17" t="s">
        <v>18</v>
      </c>
      <c r="F7" s="18" t="s">
        <v>17</v>
      </c>
      <c r="G7" s="17" t="s">
        <v>18</v>
      </c>
      <c r="H7" s="17" t="s">
        <v>17</v>
      </c>
      <c r="I7" s="17" t="s">
        <v>18</v>
      </c>
      <c r="J7" s="17" t="s">
        <v>17</v>
      </c>
      <c r="K7" s="19"/>
      <c r="L7" s="16" t="s">
        <v>18</v>
      </c>
      <c r="M7" s="17" t="s">
        <v>17</v>
      </c>
      <c r="N7" s="17" t="s">
        <v>18</v>
      </c>
      <c r="O7" s="17" t="s">
        <v>17</v>
      </c>
      <c r="P7" s="17" t="s">
        <v>18</v>
      </c>
      <c r="Q7" s="17" t="s">
        <v>17</v>
      </c>
      <c r="R7" s="17" t="s">
        <v>18</v>
      </c>
      <c r="S7" s="108" t="s">
        <v>19</v>
      </c>
      <c r="T7" s="109"/>
      <c r="V7" s="18" t="s">
        <v>17</v>
      </c>
      <c r="W7" s="17" t="s">
        <v>18</v>
      </c>
      <c r="X7" s="18" t="s">
        <v>17</v>
      </c>
      <c r="Y7" s="17" t="s">
        <v>18</v>
      </c>
      <c r="Z7" s="18" t="s">
        <v>17</v>
      </c>
      <c r="AA7" s="17" t="s">
        <v>18</v>
      </c>
      <c r="AB7" s="18" t="s">
        <v>17</v>
      </c>
      <c r="AC7" s="17" t="s">
        <v>18</v>
      </c>
      <c r="AD7" s="18" t="s">
        <v>17</v>
      </c>
      <c r="AE7" s="17" t="s">
        <v>18</v>
      </c>
      <c r="AF7" s="18" t="s">
        <v>17</v>
      </c>
      <c r="AG7" s="17" t="s">
        <v>18</v>
      </c>
      <c r="AH7" s="18" t="s">
        <v>17</v>
      </c>
      <c r="AI7" s="17" t="s">
        <v>18</v>
      </c>
      <c r="AJ7" s="18" t="s">
        <v>17</v>
      </c>
      <c r="AK7" s="17" t="s">
        <v>18</v>
      </c>
      <c r="AL7" s="18" t="s">
        <v>17</v>
      </c>
      <c r="AM7" s="17" t="s">
        <v>18</v>
      </c>
    </row>
    <row r="8" spans="1:39" ht="6" customHeight="1">
      <c r="A8" s="20"/>
      <c r="B8" s="20"/>
      <c r="C8" s="21"/>
      <c r="D8" s="19"/>
      <c r="E8" s="15"/>
      <c r="F8" s="22"/>
      <c r="G8" s="15"/>
      <c r="H8" s="19"/>
      <c r="I8" s="15"/>
      <c r="J8" s="19"/>
      <c r="K8" s="19"/>
      <c r="L8" s="15"/>
      <c r="M8" s="19"/>
      <c r="N8" s="15"/>
      <c r="O8" s="19"/>
      <c r="P8" s="15"/>
      <c r="Q8" s="19"/>
      <c r="R8" s="15"/>
      <c r="S8" s="23"/>
      <c r="T8" s="24"/>
      <c r="V8" s="22"/>
      <c r="W8" s="15"/>
      <c r="X8" s="22"/>
      <c r="Y8" s="15"/>
      <c r="Z8" s="22"/>
      <c r="AA8" s="15"/>
      <c r="AB8" s="22"/>
      <c r="AC8" s="15"/>
      <c r="AD8" s="22"/>
      <c r="AE8" s="15"/>
      <c r="AF8" s="22"/>
      <c r="AG8" s="15"/>
      <c r="AH8" s="22"/>
      <c r="AI8" s="15"/>
      <c r="AJ8" s="22"/>
      <c r="AK8" s="15"/>
      <c r="AL8" s="22"/>
      <c r="AM8" s="15"/>
    </row>
    <row r="9" spans="1:39" s="1" customFormat="1" ht="15.75" customHeight="1">
      <c r="A9" s="84">
        <v>36526</v>
      </c>
      <c r="B9" s="85"/>
      <c r="C9" s="86"/>
      <c r="D9" s="26">
        <v>1346780540</v>
      </c>
      <c r="E9" s="26">
        <v>3154325378</v>
      </c>
      <c r="F9" s="26">
        <v>266513864</v>
      </c>
      <c r="G9" s="26">
        <v>131186551</v>
      </c>
      <c r="H9" s="26">
        <v>161447064</v>
      </c>
      <c r="I9" s="26">
        <v>126598571</v>
      </c>
      <c r="J9" s="26">
        <v>99145531</v>
      </c>
      <c r="K9" s="26">
        <v>0</v>
      </c>
      <c r="L9" s="26">
        <v>2683491769</v>
      </c>
      <c r="M9" s="26">
        <v>655483993</v>
      </c>
      <c r="N9" s="26">
        <v>13523012</v>
      </c>
      <c r="O9" s="26">
        <v>133368616</v>
      </c>
      <c r="P9" s="26">
        <v>1326514</v>
      </c>
      <c r="Q9" s="26">
        <v>30821472</v>
      </c>
      <c r="R9" s="26">
        <v>198198961</v>
      </c>
      <c r="S9" s="27" t="s">
        <v>20</v>
      </c>
      <c r="T9" s="28" t="s">
        <v>86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1" customFormat="1" ht="15.75" customHeight="1">
      <c r="A10" s="100" t="s">
        <v>87</v>
      </c>
      <c r="B10" s="100"/>
      <c r="C10" s="101"/>
      <c r="D10" s="30">
        <v>1344814134</v>
      </c>
      <c r="E10" s="30">
        <v>3145817675</v>
      </c>
      <c r="F10" s="30">
        <v>265159519</v>
      </c>
      <c r="G10" s="30">
        <v>125299027</v>
      </c>
      <c r="H10" s="30">
        <v>160602905</v>
      </c>
      <c r="I10" s="30">
        <v>125629708</v>
      </c>
      <c r="J10" s="30">
        <v>100182024</v>
      </c>
      <c r="K10" s="30"/>
      <c r="L10" s="30">
        <v>2686584048</v>
      </c>
      <c r="M10" s="30">
        <v>655340512</v>
      </c>
      <c r="N10" s="30">
        <v>12683039</v>
      </c>
      <c r="O10" s="30">
        <v>132729299</v>
      </c>
      <c r="P10" s="30">
        <v>1291395</v>
      </c>
      <c r="Q10" s="30">
        <v>30799875</v>
      </c>
      <c r="R10" s="30">
        <v>194330458</v>
      </c>
      <c r="S10" s="27" t="s">
        <v>21</v>
      </c>
      <c r="T10" s="28"/>
      <c r="V10" s="30" t="e">
        <f>#REF!+V13</f>
        <v>#REF!</v>
      </c>
      <c r="W10" s="30" t="e">
        <f>#REF!+W13</f>
        <v>#REF!</v>
      </c>
      <c r="X10" s="30" t="e">
        <f>#REF!+X13</f>
        <v>#REF!</v>
      </c>
      <c r="Y10" s="30" t="e">
        <f>#REF!+Y13</f>
        <v>#REF!</v>
      </c>
      <c r="Z10" s="30" t="e">
        <f>#REF!+Z13</f>
        <v>#REF!</v>
      </c>
      <c r="AA10" s="30" t="e">
        <f>#REF!+AA13</f>
        <v>#REF!</v>
      </c>
      <c r="AB10" s="30" t="e">
        <f>#REF!+AB13</f>
        <v>#REF!</v>
      </c>
      <c r="AC10" s="30" t="e">
        <f>#REF!+AC13</f>
        <v>#REF!</v>
      </c>
      <c r="AD10" s="30" t="e">
        <f>#REF!+AD13</f>
        <v>#REF!</v>
      </c>
      <c r="AE10" s="30" t="e">
        <f>#REF!+AE13</f>
        <v>#REF!</v>
      </c>
      <c r="AF10" s="30" t="e">
        <f>#REF!+AF13</f>
        <v>#REF!</v>
      </c>
      <c r="AG10" s="30" t="e">
        <f>#REF!+AG13</f>
        <v>#REF!</v>
      </c>
      <c r="AH10" s="30" t="e">
        <f>#REF!+AH13</f>
        <v>#REF!</v>
      </c>
      <c r="AI10" s="30" t="e">
        <f>#REF!+AI13</f>
        <v>#REF!</v>
      </c>
      <c r="AJ10" s="30" t="e">
        <f>#REF!+AJ13</f>
        <v>#REF!</v>
      </c>
      <c r="AK10" s="30" t="e">
        <f>#REF!+AK13</f>
        <v>#REF!</v>
      </c>
      <c r="AL10" s="30" t="e">
        <f>#REF!+AL13</f>
        <v>#REF!</v>
      </c>
      <c r="AM10" s="30" t="e">
        <f>#REF!+AM13</f>
        <v>#REF!</v>
      </c>
    </row>
    <row r="11" spans="1:39" s="1" customFormat="1" ht="15.75" customHeight="1">
      <c r="A11" s="100" t="s">
        <v>88</v>
      </c>
      <c r="B11" s="100"/>
      <c r="C11" s="101"/>
      <c r="D11" s="30">
        <v>1341438130</v>
      </c>
      <c r="E11" s="30">
        <v>3085904621</v>
      </c>
      <c r="F11" s="30">
        <v>263855757</v>
      </c>
      <c r="G11" s="30">
        <v>117944470</v>
      </c>
      <c r="H11" s="30">
        <v>160046424</v>
      </c>
      <c r="I11" s="30">
        <v>120893144</v>
      </c>
      <c r="J11" s="30">
        <v>101053778</v>
      </c>
      <c r="K11" s="30"/>
      <c r="L11" s="30">
        <v>2643773379</v>
      </c>
      <c r="M11" s="30">
        <v>653242572</v>
      </c>
      <c r="N11" s="30">
        <v>12562854</v>
      </c>
      <c r="O11" s="30">
        <v>132430877</v>
      </c>
      <c r="P11" s="30">
        <v>1290124</v>
      </c>
      <c r="Q11" s="30">
        <v>30808722</v>
      </c>
      <c r="R11" s="30">
        <v>189440650</v>
      </c>
      <c r="S11" s="27" t="s">
        <v>89</v>
      </c>
      <c r="T11" s="28"/>
      <c r="V11" s="30" t="e">
        <f aca="true" t="shared" si="0" ref="V11:AM11">V12+V14</f>
        <v>#REF!</v>
      </c>
      <c r="W11" s="30" t="e">
        <f t="shared" si="0"/>
        <v>#REF!</v>
      </c>
      <c r="X11" s="30" t="e">
        <f t="shared" si="0"/>
        <v>#REF!</v>
      </c>
      <c r="Y11" s="30" t="e">
        <f t="shared" si="0"/>
        <v>#REF!</v>
      </c>
      <c r="Z11" s="30" t="e">
        <f t="shared" si="0"/>
        <v>#REF!</v>
      </c>
      <c r="AA11" s="30" t="e">
        <f t="shared" si="0"/>
        <v>#REF!</v>
      </c>
      <c r="AB11" s="30" t="e">
        <f t="shared" si="0"/>
        <v>#REF!</v>
      </c>
      <c r="AC11" s="30">
        <f t="shared" si="0"/>
        <v>8939482</v>
      </c>
      <c r="AD11" s="30" t="e">
        <f t="shared" si="0"/>
        <v>#REF!</v>
      </c>
      <c r="AE11" s="30" t="e">
        <f t="shared" si="0"/>
        <v>#REF!</v>
      </c>
      <c r="AF11" s="30" t="e">
        <f t="shared" si="0"/>
        <v>#REF!</v>
      </c>
      <c r="AG11" s="30" t="e">
        <f t="shared" si="0"/>
        <v>#REF!</v>
      </c>
      <c r="AH11" s="30" t="e">
        <f t="shared" si="0"/>
        <v>#REF!</v>
      </c>
      <c r="AI11" s="30">
        <f t="shared" si="0"/>
        <v>8654744</v>
      </c>
      <c r="AJ11" s="30" t="e">
        <f t="shared" si="0"/>
        <v>#REF!</v>
      </c>
      <c r="AK11" s="30" t="e">
        <f t="shared" si="0"/>
        <v>#REF!</v>
      </c>
      <c r="AL11" s="30" t="e">
        <f t="shared" si="0"/>
        <v>#REF!</v>
      </c>
      <c r="AM11" s="30" t="e">
        <f t="shared" si="0"/>
        <v>#REF!</v>
      </c>
    </row>
    <row r="12" spans="1:39" s="35" customFormat="1" ht="15.75" customHeight="1">
      <c r="A12" s="98" t="s">
        <v>90</v>
      </c>
      <c r="B12" s="98"/>
      <c r="C12" s="99"/>
      <c r="D12" s="32">
        <v>1340268229</v>
      </c>
      <c r="E12" s="32">
        <v>2938457047</v>
      </c>
      <c r="F12" s="32">
        <v>262512263</v>
      </c>
      <c r="G12" s="32">
        <v>109254190</v>
      </c>
      <c r="H12" s="32">
        <v>159746898</v>
      </c>
      <c r="I12" s="32">
        <v>109780342</v>
      </c>
      <c r="J12" s="32">
        <v>101748303</v>
      </c>
      <c r="K12" s="32">
        <v>0</v>
      </c>
      <c r="L12" s="32">
        <v>2523812526</v>
      </c>
      <c r="M12" s="32">
        <v>623052072</v>
      </c>
      <c r="N12" s="32">
        <v>12248614</v>
      </c>
      <c r="O12" s="32">
        <v>132372115</v>
      </c>
      <c r="P12" s="32">
        <v>1214861</v>
      </c>
      <c r="Q12" s="32">
        <v>31190578</v>
      </c>
      <c r="R12" s="32">
        <v>182146514</v>
      </c>
      <c r="S12" s="33" t="s">
        <v>91</v>
      </c>
      <c r="T12" s="34"/>
      <c r="V12" s="32" t="e">
        <f aca="true" t="shared" si="1" ref="V12:AE12">V14+V16</f>
        <v>#REF!</v>
      </c>
      <c r="W12" s="32" t="e">
        <f t="shared" si="1"/>
        <v>#REF!</v>
      </c>
      <c r="X12" s="32" t="e">
        <f t="shared" si="1"/>
        <v>#REF!</v>
      </c>
      <c r="Y12" s="32" t="e">
        <f t="shared" si="1"/>
        <v>#REF!</v>
      </c>
      <c r="Z12" s="32" t="e">
        <f t="shared" si="1"/>
        <v>#REF!</v>
      </c>
      <c r="AA12" s="32" t="e">
        <f t="shared" si="1"/>
        <v>#REF!</v>
      </c>
      <c r="AB12" s="32" t="e">
        <f t="shared" si="1"/>
        <v>#REF!</v>
      </c>
      <c r="AC12" s="32">
        <f t="shared" si="1"/>
        <v>6919457</v>
      </c>
      <c r="AD12" s="32" t="e">
        <f t="shared" si="1"/>
        <v>#REF!</v>
      </c>
      <c r="AE12" s="32" t="e">
        <f t="shared" si="1"/>
        <v>#REF!</v>
      </c>
      <c r="AF12" s="32" t="e">
        <f aca="true" t="shared" si="2" ref="AF12:AK12">AF14+AF16</f>
        <v>#REF!</v>
      </c>
      <c r="AG12" s="32" t="e">
        <f t="shared" si="2"/>
        <v>#REF!</v>
      </c>
      <c r="AH12" s="32" t="e">
        <f t="shared" si="2"/>
        <v>#REF!</v>
      </c>
      <c r="AI12" s="32">
        <f t="shared" si="2"/>
        <v>7781469</v>
      </c>
      <c r="AJ12" s="32" t="e">
        <f t="shared" si="2"/>
        <v>#REF!</v>
      </c>
      <c r="AK12" s="32" t="e">
        <f t="shared" si="2"/>
        <v>#REF!</v>
      </c>
      <c r="AL12" s="32" t="e">
        <f>AL14+AL16</f>
        <v>#REF!</v>
      </c>
      <c r="AM12" s="32" t="e">
        <f>AM14+AM16</f>
        <v>#REF!</v>
      </c>
    </row>
    <row r="13" spans="1:39" ht="7.5" customHeight="1">
      <c r="A13" s="31"/>
      <c r="B13" s="28"/>
      <c r="C13" s="29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38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s="35" customFormat="1" ht="15.75" customHeight="1">
      <c r="A14" s="95" t="s">
        <v>22</v>
      </c>
      <c r="B14" s="95"/>
      <c r="C14" s="39"/>
      <c r="D14" s="32">
        <v>296273963</v>
      </c>
      <c r="E14" s="32">
        <v>2334751544</v>
      </c>
      <c r="F14" s="32">
        <v>65879424</v>
      </c>
      <c r="G14" s="32">
        <v>81634571</v>
      </c>
      <c r="H14" s="32">
        <v>40470197</v>
      </c>
      <c r="I14" s="32">
        <v>102199527</v>
      </c>
      <c r="J14" s="32">
        <v>53816209</v>
      </c>
      <c r="K14" s="32"/>
      <c r="L14" s="32">
        <v>1998755649</v>
      </c>
      <c r="M14" s="32">
        <v>44955704</v>
      </c>
      <c r="N14" s="32">
        <v>5332762</v>
      </c>
      <c r="O14" s="32">
        <v>50126681</v>
      </c>
      <c r="P14" s="32">
        <v>571368</v>
      </c>
      <c r="Q14" s="32">
        <v>11379748</v>
      </c>
      <c r="R14" s="32">
        <v>146257667</v>
      </c>
      <c r="S14" s="87" t="s">
        <v>23</v>
      </c>
      <c r="T14" s="88"/>
      <c r="V14" s="32">
        <f aca="true" t="shared" si="3" ref="V14:AE14">SUM(V18:V21)</f>
        <v>63929681</v>
      </c>
      <c r="W14" s="32">
        <f t="shared" si="3"/>
        <v>7718467</v>
      </c>
      <c r="X14" s="32">
        <f t="shared" si="3"/>
        <v>2357967</v>
      </c>
      <c r="Y14" s="32">
        <f t="shared" si="3"/>
        <v>82276061</v>
      </c>
      <c r="Z14" s="32">
        <f t="shared" si="3"/>
        <v>66287648</v>
      </c>
      <c r="AA14" s="32">
        <f t="shared" si="3"/>
        <v>89994528</v>
      </c>
      <c r="AB14" s="32">
        <f t="shared" si="3"/>
        <v>37467367</v>
      </c>
      <c r="AC14" s="32">
        <f t="shared" si="3"/>
        <v>2020025</v>
      </c>
      <c r="AD14" s="32">
        <f t="shared" si="3"/>
        <v>3280997</v>
      </c>
      <c r="AE14" s="32">
        <f t="shared" si="3"/>
        <v>111216460</v>
      </c>
      <c r="AF14" s="32">
        <f aca="true" t="shared" si="4" ref="AF14:AK14">SUM(AF18:AF21)</f>
        <v>40748364</v>
      </c>
      <c r="AG14" s="32">
        <f t="shared" si="4"/>
        <v>113236485</v>
      </c>
      <c r="AH14" s="32">
        <f t="shared" si="4"/>
        <v>74049701</v>
      </c>
      <c r="AI14" s="32">
        <f t="shared" si="4"/>
        <v>873275</v>
      </c>
      <c r="AJ14" s="32">
        <f t="shared" si="4"/>
        <v>602156</v>
      </c>
      <c r="AK14" s="32">
        <f t="shared" si="4"/>
        <v>4777185</v>
      </c>
      <c r="AL14" s="32">
        <f>SUM(AL18:AL21)</f>
        <v>74651857</v>
      </c>
      <c r="AM14" s="32">
        <f>SUM(AM18:AM21)</f>
        <v>5650460</v>
      </c>
    </row>
    <row r="15" spans="1:39" ht="7.5" customHeight="1">
      <c r="A15" s="40"/>
      <c r="B15" s="25"/>
      <c r="C15" s="4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23"/>
      <c r="T15" s="24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s="35" customFormat="1" ht="15.75" customHeight="1">
      <c r="A16" s="95" t="s">
        <v>24</v>
      </c>
      <c r="B16" s="95"/>
      <c r="C16" s="39"/>
      <c r="D16" s="32">
        <v>1043994266</v>
      </c>
      <c r="E16" s="32">
        <v>603705503</v>
      </c>
      <c r="F16" s="32">
        <v>196632839</v>
      </c>
      <c r="G16" s="32">
        <v>27619619</v>
      </c>
      <c r="H16" s="32">
        <v>119276701</v>
      </c>
      <c r="I16" s="32">
        <v>7580815</v>
      </c>
      <c r="J16" s="32">
        <v>47932094</v>
      </c>
      <c r="K16" s="32"/>
      <c r="L16" s="32">
        <v>525056877</v>
      </c>
      <c r="M16" s="32">
        <v>578096368</v>
      </c>
      <c r="N16" s="32">
        <v>6915852</v>
      </c>
      <c r="O16" s="32">
        <v>82245434</v>
      </c>
      <c r="P16" s="32">
        <v>643493</v>
      </c>
      <c r="Q16" s="32">
        <v>19810830</v>
      </c>
      <c r="R16" s="32">
        <v>35888847</v>
      </c>
      <c r="S16" s="87" t="s">
        <v>25</v>
      </c>
      <c r="T16" s="88"/>
      <c r="V16" s="32" t="e">
        <f aca="true" t="shared" si="5" ref="V16:AE16">V23+V29+V41+V47+V60+V72</f>
        <v>#REF!</v>
      </c>
      <c r="W16" s="32" t="e">
        <f t="shared" si="5"/>
        <v>#REF!</v>
      </c>
      <c r="X16" s="32" t="e">
        <f t="shared" si="5"/>
        <v>#REF!</v>
      </c>
      <c r="Y16" s="32" t="e">
        <f t="shared" si="5"/>
        <v>#REF!</v>
      </c>
      <c r="Z16" s="32" t="e">
        <f t="shared" si="5"/>
        <v>#REF!</v>
      </c>
      <c r="AA16" s="32" t="e">
        <f t="shared" si="5"/>
        <v>#REF!</v>
      </c>
      <c r="AB16" s="32" t="e">
        <f t="shared" si="5"/>
        <v>#REF!</v>
      </c>
      <c r="AC16" s="32">
        <f t="shared" si="5"/>
        <v>4899432</v>
      </c>
      <c r="AD16" s="32" t="e">
        <f t="shared" si="5"/>
        <v>#REF!</v>
      </c>
      <c r="AE16" s="32" t="e">
        <f t="shared" si="5"/>
        <v>#REF!</v>
      </c>
      <c r="AF16" s="32" t="e">
        <f aca="true" t="shared" si="6" ref="AF16:AK16">AF23+AF29+AF41+AF47+AF60+AF72</f>
        <v>#REF!</v>
      </c>
      <c r="AG16" s="32" t="e">
        <f t="shared" si="6"/>
        <v>#REF!</v>
      </c>
      <c r="AH16" s="32" t="e">
        <f t="shared" si="6"/>
        <v>#REF!</v>
      </c>
      <c r="AI16" s="32">
        <f t="shared" si="6"/>
        <v>6908194</v>
      </c>
      <c r="AJ16" s="32" t="e">
        <f t="shared" si="6"/>
        <v>#REF!</v>
      </c>
      <c r="AK16" s="32" t="e">
        <f t="shared" si="6"/>
        <v>#REF!</v>
      </c>
      <c r="AL16" s="32" t="e">
        <f>AL23+AL29+AL41+AL47+AL60+AL72</f>
        <v>#REF!</v>
      </c>
      <c r="AM16" s="32" t="e">
        <f>AM23+AM29+AM41+AM47+AM60+AM72</f>
        <v>#REF!</v>
      </c>
    </row>
    <row r="17" spans="1:39" ht="7.5" customHeight="1">
      <c r="A17" s="42"/>
      <c r="B17" s="43"/>
      <c r="C17" s="4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44"/>
      <c r="T17" s="4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s="1" customFormat="1" ht="15.75" customHeight="1">
      <c r="A18" s="46" t="s">
        <v>92</v>
      </c>
      <c r="B18" s="43" t="s">
        <v>26</v>
      </c>
      <c r="C18" s="41"/>
      <c r="D18" s="30">
        <v>108036349</v>
      </c>
      <c r="E18" s="30">
        <v>1085662639</v>
      </c>
      <c r="F18" s="30">
        <f>24746484+1139862</f>
        <v>25886346</v>
      </c>
      <c r="G18" s="30">
        <f>3003886+40253013</f>
        <v>43256899</v>
      </c>
      <c r="H18" s="30">
        <f>6719493+924545</f>
        <v>7644038</v>
      </c>
      <c r="I18" s="30">
        <f>247798+40215217</f>
        <v>40463015</v>
      </c>
      <c r="J18" s="30">
        <v>18633958</v>
      </c>
      <c r="K18" s="30"/>
      <c r="L18" s="30">
        <v>956900672</v>
      </c>
      <c r="M18" s="30">
        <v>30057995</v>
      </c>
      <c r="N18" s="30">
        <v>319215</v>
      </c>
      <c r="O18" s="30">
        <v>21398397</v>
      </c>
      <c r="P18" s="30">
        <v>110455</v>
      </c>
      <c r="Q18" s="28">
        <v>4415615</v>
      </c>
      <c r="R18" s="1">
        <v>44612383</v>
      </c>
      <c r="S18" s="27" t="s">
        <v>92</v>
      </c>
      <c r="T18" s="28"/>
      <c r="U18" s="43" t="s">
        <v>26</v>
      </c>
      <c r="V18" s="30">
        <v>24815786</v>
      </c>
      <c r="W18" s="30">
        <v>3011751</v>
      </c>
      <c r="X18" s="30">
        <v>1259652</v>
      </c>
      <c r="Y18" s="30">
        <v>43312381</v>
      </c>
      <c r="Z18" s="30">
        <f>V18+X18</f>
        <v>26075438</v>
      </c>
      <c r="AA18" s="30">
        <f aca="true" t="shared" si="7" ref="AA18:AA77">W18+Y18</f>
        <v>46324132</v>
      </c>
      <c r="AB18" s="30">
        <v>6714468</v>
      </c>
      <c r="AC18" s="30">
        <v>247435</v>
      </c>
      <c r="AD18" s="30">
        <v>972920</v>
      </c>
      <c r="AE18" s="30">
        <v>43643834</v>
      </c>
      <c r="AF18" s="30">
        <f>AB18+AD18</f>
        <v>7687388</v>
      </c>
      <c r="AG18" s="30">
        <f aca="true" t="shared" si="8" ref="AG18:AG77">AC18+AE18</f>
        <v>43891269</v>
      </c>
      <c r="AH18" s="30">
        <v>30060384</v>
      </c>
      <c r="AI18" s="30">
        <v>319137</v>
      </c>
      <c r="AJ18" s="30">
        <v>0</v>
      </c>
      <c r="AK18" s="30"/>
      <c r="AL18" s="30">
        <f aca="true" t="shared" si="9" ref="AL18:AM21">AH18+AJ18</f>
        <v>30060384</v>
      </c>
      <c r="AM18" s="30">
        <f t="shared" si="9"/>
        <v>319137</v>
      </c>
    </row>
    <row r="19" spans="1:39" s="1" customFormat="1" ht="15.75" customHeight="1">
      <c r="A19" s="46" t="s">
        <v>93</v>
      </c>
      <c r="B19" s="43" t="s">
        <v>27</v>
      </c>
      <c r="C19" s="41"/>
      <c r="D19" s="30">
        <v>69938779</v>
      </c>
      <c r="E19" s="30">
        <v>837878863</v>
      </c>
      <c r="F19" s="30">
        <f>16746316+933552</f>
        <v>17679868</v>
      </c>
      <c r="G19" s="30">
        <f>2084129+31764831</f>
        <v>33848960</v>
      </c>
      <c r="H19" s="30">
        <f>13246834+1299165</f>
        <v>14545999</v>
      </c>
      <c r="I19" s="30">
        <f>886953+39229684</f>
        <v>40116637</v>
      </c>
      <c r="J19" s="30">
        <v>20483992</v>
      </c>
      <c r="K19" s="30"/>
      <c r="L19" s="30">
        <v>696727409</v>
      </c>
      <c r="M19" s="30">
        <f>11015342+350146</f>
        <v>11365488</v>
      </c>
      <c r="N19" s="30">
        <f>137509+3582722</f>
        <v>3720231</v>
      </c>
      <c r="O19" s="30">
        <v>2232097</v>
      </c>
      <c r="P19" s="30">
        <v>100510</v>
      </c>
      <c r="Q19" s="28">
        <v>3631335</v>
      </c>
      <c r="R19" s="1">
        <v>63365116</v>
      </c>
      <c r="S19" s="27" t="s">
        <v>93</v>
      </c>
      <c r="T19" s="28"/>
      <c r="U19" s="43" t="s">
        <v>27</v>
      </c>
      <c r="V19" s="30">
        <v>16819395</v>
      </c>
      <c r="W19" s="30">
        <v>2093662</v>
      </c>
      <c r="X19" s="30">
        <v>976056</v>
      </c>
      <c r="Y19" s="30">
        <v>36713402</v>
      </c>
      <c r="Z19" s="30">
        <f aca="true" t="shared" si="10" ref="Z19:Z77">V19+X19</f>
        <v>17795451</v>
      </c>
      <c r="AA19" s="30">
        <f t="shared" si="7"/>
        <v>38807064</v>
      </c>
      <c r="AB19" s="30">
        <v>13292633</v>
      </c>
      <c r="AC19" s="30">
        <v>889768</v>
      </c>
      <c r="AD19" s="30">
        <v>1373426</v>
      </c>
      <c r="AE19" s="30">
        <v>44978275</v>
      </c>
      <c r="AF19" s="30">
        <f aca="true" t="shared" si="11" ref="AF19:AF77">AB19+AD19</f>
        <v>14666059</v>
      </c>
      <c r="AG19" s="30">
        <f t="shared" si="8"/>
        <v>45868043</v>
      </c>
      <c r="AH19" s="30">
        <v>11041424</v>
      </c>
      <c r="AI19" s="30">
        <v>138338</v>
      </c>
      <c r="AJ19" s="30">
        <v>373180</v>
      </c>
      <c r="AK19" s="30">
        <v>4033949</v>
      </c>
      <c r="AL19" s="30">
        <f t="shared" si="9"/>
        <v>11414604</v>
      </c>
      <c r="AM19" s="30">
        <f t="shared" si="9"/>
        <v>4172287</v>
      </c>
    </row>
    <row r="20" spans="1:39" s="1" customFormat="1" ht="15.75" customHeight="1">
      <c r="A20" s="46" t="s">
        <v>94</v>
      </c>
      <c r="B20" s="43" t="s">
        <v>28</v>
      </c>
      <c r="C20" s="47"/>
      <c r="D20" s="30">
        <v>103136078</v>
      </c>
      <c r="E20" s="30">
        <v>221773381</v>
      </c>
      <c r="F20" s="30">
        <f>20993296+19760</f>
        <v>21013056</v>
      </c>
      <c r="G20" s="30">
        <f>2509364+230840</f>
        <v>2740204</v>
      </c>
      <c r="H20" s="30">
        <f>12362920+25913</f>
        <v>12388833</v>
      </c>
      <c r="I20" s="30">
        <f>603963+354245</f>
        <v>958208</v>
      </c>
      <c r="J20" s="30">
        <v>8180902</v>
      </c>
      <c r="K20" s="30"/>
      <c r="L20" s="30">
        <v>194074900</v>
      </c>
      <c r="M20" s="30">
        <v>3294406</v>
      </c>
      <c r="N20" s="30">
        <v>415737</v>
      </c>
      <c r="O20" s="30">
        <v>26466155</v>
      </c>
      <c r="P20" s="30">
        <v>148000</v>
      </c>
      <c r="Q20" s="28">
        <v>2146726</v>
      </c>
      <c r="R20" s="1">
        <v>23436332</v>
      </c>
      <c r="S20" s="27" t="s">
        <v>94</v>
      </c>
      <c r="T20" s="28"/>
      <c r="U20" s="43" t="s">
        <v>28</v>
      </c>
      <c r="V20" s="30">
        <v>21078072</v>
      </c>
      <c r="W20" s="30">
        <v>2519789</v>
      </c>
      <c r="X20" s="30">
        <v>26605</v>
      </c>
      <c r="Y20" s="30">
        <v>382028</v>
      </c>
      <c r="Z20" s="30">
        <f t="shared" si="10"/>
        <v>21104677</v>
      </c>
      <c r="AA20" s="30">
        <f t="shared" si="7"/>
        <v>2901817</v>
      </c>
      <c r="AB20" s="30">
        <v>12417539</v>
      </c>
      <c r="AC20" s="30">
        <v>607129</v>
      </c>
      <c r="AD20" s="30">
        <v>25192</v>
      </c>
      <c r="AE20" s="30">
        <v>372594</v>
      </c>
      <c r="AF20" s="30">
        <f t="shared" si="11"/>
        <v>12442731</v>
      </c>
      <c r="AG20" s="30">
        <f t="shared" si="8"/>
        <v>979723</v>
      </c>
      <c r="AH20" s="30">
        <v>32947893</v>
      </c>
      <c r="AI20" s="30">
        <v>415800</v>
      </c>
      <c r="AJ20" s="30">
        <v>0</v>
      </c>
      <c r="AK20" s="30"/>
      <c r="AL20" s="30">
        <f t="shared" si="9"/>
        <v>32947893</v>
      </c>
      <c r="AM20" s="30">
        <f t="shared" si="9"/>
        <v>415800</v>
      </c>
    </row>
    <row r="21" spans="1:39" s="1" customFormat="1" ht="15.75" customHeight="1">
      <c r="A21" s="46" t="s">
        <v>95</v>
      </c>
      <c r="B21" s="43" t="s">
        <v>29</v>
      </c>
      <c r="C21" s="41"/>
      <c r="D21" s="30">
        <v>15162757</v>
      </c>
      <c r="E21" s="30">
        <v>189436661</v>
      </c>
      <c r="F21" s="30">
        <f>1212499+87655</f>
        <v>1300154</v>
      </c>
      <c r="G21" s="30">
        <f>92970+1695538</f>
        <v>1788508</v>
      </c>
      <c r="H21" s="30">
        <f>5019232+872095</f>
        <v>5891327</v>
      </c>
      <c r="I21" s="30">
        <f>274585+20387082</f>
        <v>20661667</v>
      </c>
      <c r="J21" s="30">
        <v>6517357</v>
      </c>
      <c r="K21" s="30"/>
      <c r="L21" s="30">
        <v>151052668</v>
      </c>
      <c r="M21" s="30">
        <v>237815</v>
      </c>
      <c r="N21" s="30">
        <v>877579</v>
      </c>
      <c r="O21" s="30">
        <v>30032</v>
      </c>
      <c r="P21" s="30">
        <v>212403</v>
      </c>
      <c r="Q21" s="28">
        <v>1186072</v>
      </c>
      <c r="R21" s="1">
        <v>14843836</v>
      </c>
      <c r="S21" s="27" t="s">
        <v>95</v>
      </c>
      <c r="T21" s="28"/>
      <c r="U21" s="43" t="s">
        <v>29</v>
      </c>
      <c r="V21" s="30">
        <v>1216428</v>
      </c>
      <c r="W21" s="30">
        <v>93265</v>
      </c>
      <c r="X21" s="30">
        <v>95654</v>
      </c>
      <c r="Y21" s="30">
        <v>1868250</v>
      </c>
      <c r="Z21" s="30">
        <f t="shared" si="10"/>
        <v>1312082</v>
      </c>
      <c r="AA21" s="30">
        <f t="shared" si="7"/>
        <v>1961515</v>
      </c>
      <c r="AB21" s="30">
        <v>5042727</v>
      </c>
      <c r="AC21" s="30">
        <v>275693</v>
      </c>
      <c r="AD21" s="30">
        <v>909459</v>
      </c>
      <c r="AE21" s="30">
        <v>22221757</v>
      </c>
      <c r="AF21" s="30">
        <f t="shared" si="11"/>
        <v>5952186</v>
      </c>
      <c r="AG21" s="30">
        <f t="shared" si="8"/>
        <v>22497450</v>
      </c>
      <c r="AH21" s="30">
        <v>0</v>
      </c>
      <c r="AI21" s="30">
        <v>0</v>
      </c>
      <c r="AJ21" s="30">
        <v>228976</v>
      </c>
      <c r="AK21" s="30">
        <v>743236</v>
      </c>
      <c r="AL21" s="30">
        <f t="shared" si="9"/>
        <v>228976</v>
      </c>
      <c r="AM21" s="30">
        <f t="shared" si="9"/>
        <v>743236</v>
      </c>
    </row>
    <row r="22" spans="1:39" ht="8.25" customHeight="1">
      <c r="A22" s="48"/>
      <c r="B22" s="15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52"/>
      <c r="U22" s="15"/>
      <c r="V22" s="50"/>
      <c r="W22" s="50"/>
      <c r="X22" s="50"/>
      <c r="Y22" s="50"/>
      <c r="Z22" s="30"/>
      <c r="AA22" s="30"/>
      <c r="AB22" s="50"/>
      <c r="AC22" s="50"/>
      <c r="AD22" s="50"/>
      <c r="AE22" s="50"/>
      <c r="AF22" s="30"/>
      <c r="AG22" s="30"/>
      <c r="AH22" s="50"/>
      <c r="AI22" s="50"/>
      <c r="AJ22" s="50"/>
      <c r="AK22" s="50"/>
      <c r="AL22" s="30"/>
      <c r="AM22" s="30"/>
    </row>
    <row r="23" spans="1:39" s="35" customFormat="1" ht="15.75" customHeight="1">
      <c r="A23" s="53" t="s">
        <v>30</v>
      </c>
      <c r="B23" s="54" t="s">
        <v>31</v>
      </c>
      <c r="C23" s="39"/>
      <c r="D23" s="32">
        <v>106234865</v>
      </c>
      <c r="E23" s="32">
        <v>81526036</v>
      </c>
      <c r="F23" s="32">
        <v>19225447</v>
      </c>
      <c r="G23" s="32">
        <v>4709432</v>
      </c>
      <c r="H23" s="32">
        <v>7328795</v>
      </c>
      <c r="I23" s="32">
        <v>2327552</v>
      </c>
      <c r="J23" s="32">
        <v>3994361</v>
      </c>
      <c r="K23" s="32"/>
      <c r="L23" s="32">
        <v>68943401</v>
      </c>
      <c r="M23" s="32">
        <v>71893185</v>
      </c>
      <c r="N23" s="32">
        <v>646401</v>
      </c>
      <c r="O23" s="32">
        <v>1753466</v>
      </c>
      <c r="P23" s="32">
        <v>8773</v>
      </c>
      <c r="Q23" s="32">
        <v>2039611</v>
      </c>
      <c r="R23" s="32">
        <v>4890477</v>
      </c>
      <c r="S23" s="33" t="s">
        <v>30</v>
      </c>
      <c r="T23" s="34"/>
      <c r="U23" s="54" t="s">
        <v>31</v>
      </c>
      <c r="V23" s="32">
        <f>SUM(V25:V27)</f>
        <v>19285737</v>
      </c>
      <c r="W23" s="32">
        <f>SUM(W25:W27)</f>
        <v>2194562</v>
      </c>
      <c r="X23" s="32">
        <f>SUM(X25:X27)</f>
        <v>70646</v>
      </c>
      <c r="Y23" s="32">
        <f>SUM(Y25:Y27)</f>
        <v>2654632</v>
      </c>
      <c r="Z23" s="30">
        <f t="shared" si="10"/>
        <v>19356383</v>
      </c>
      <c r="AA23" s="30">
        <f t="shared" si="7"/>
        <v>4849194</v>
      </c>
      <c r="AB23" s="32">
        <f aca="true" t="shared" si="12" ref="AB23:AG23">SUM(AB25:AB27)</f>
        <v>7343311</v>
      </c>
      <c r="AC23" s="32">
        <f t="shared" si="12"/>
        <v>265456</v>
      </c>
      <c r="AD23" s="32">
        <f>SUM(AD25:AD27)</f>
        <v>54119</v>
      </c>
      <c r="AE23" s="32">
        <f>SUM(AE25:AE27)</f>
        <v>2156094</v>
      </c>
      <c r="AF23" s="30">
        <f t="shared" si="11"/>
        <v>7397430</v>
      </c>
      <c r="AG23" s="32">
        <f t="shared" si="12"/>
        <v>2421550</v>
      </c>
      <c r="AH23" s="32">
        <f>SUM(AH25:AH27)</f>
        <v>72712920</v>
      </c>
      <c r="AI23" s="32">
        <f>SUM(AI25:AI27)</f>
        <v>654545</v>
      </c>
      <c r="AJ23" s="32">
        <f>SUM(AJ25:AJ27)</f>
        <v>0</v>
      </c>
      <c r="AK23" s="32">
        <f>SUM(AK25:AK27)</f>
        <v>0</v>
      </c>
      <c r="AL23" s="30">
        <f>AH23+AJ23</f>
        <v>72712920</v>
      </c>
      <c r="AM23" s="32">
        <f>SUM(AM25:AM27)</f>
        <v>654545</v>
      </c>
    </row>
    <row r="24" spans="1:39" ht="8.25" customHeight="1">
      <c r="A24" s="55"/>
      <c r="B24" s="42"/>
      <c r="C24" s="5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57"/>
      <c r="T24" s="52"/>
      <c r="U24" s="42"/>
      <c r="V24" s="36"/>
      <c r="W24" s="36"/>
      <c r="X24" s="36"/>
      <c r="Y24" s="36"/>
      <c r="Z24" s="30">
        <f t="shared" si="10"/>
        <v>0</v>
      </c>
      <c r="AA24" s="30">
        <f t="shared" si="7"/>
        <v>0</v>
      </c>
      <c r="AB24" s="36"/>
      <c r="AC24" s="36"/>
      <c r="AD24" s="36"/>
      <c r="AE24" s="36"/>
      <c r="AF24" s="30">
        <f t="shared" si="11"/>
        <v>0</v>
      </c>
      <c r="AG24" s="30"/>
      <c r="AH24" s="36"/>
      <c r="AI24" s="36"/>
      <c r="AJ24" s="36"/>
      <c r="AK24" s="36"/>
      <c r="AL24" s="30">
        <f>AH24+AJ24</f>
        <v>0</v>
      </c>
      <c r="AM24" s="30">
        <f>AI24+AK24</f>
        <v>0</v>
      </c>
    </row>
    <row r="25" spans="1:39" s="1" customFormat="1" ht="15.75" customHeight="1">
      <c r="A25" s="46" t="s">
        <v>96</v>
      </c>
      <c r="B25" s="43" t="s">
        <v>32</v>
      </c>
      <c r="C25" s="41"/>
      <c r="D25" s="30">
        <v>34583669</v>
      </c>
      <c r="E25" s="30">
        <v>34135664</v>
      </c>
      <c r="F25" s="30">
        <f>7654355+65724</f>
        <v>7720079</v>
      </c>
      <c r="G25" s="30">
        <f>1002620+2520306</f>
        <v>3522926</v>
      </c>
      <c r="H25" s="30">
        <f>1521609+51590</f>
        <v>1573199</v>
      </c>
      <c r="I25" s="30">
        <f>67548+2063389</f>
        <v>2130937</v>
      </c>
      <c r="J25" s="30">
        <v>1243069</v>
      </c>
      <c r="K25" s="30"/>
      <c r="L25" s="30">
        <v>25709528</v>
      </c>
      <c r="M25" s="30">
        <v>22805517</v>
      </c>
      <c r="N25" s="30">
        <v>242875</v>
      </c>
      <c r="O25" s="30">
        <v>685699</v>
      </c>
      <c r="P25" s="30">
        <v>2915</v>
      </c>
      <c r="Q25" s="30">
        <v>556106</v>
      </c>
      <c r="R25" s="30">
        <v>2526483</v>
      </c>
      <c r="S25" s="27" t="s">
        <v>96</v>
      </c>
      <c r="T25" s="28"/>
      <c r="U25" s="43" t="s">
        <v>32</v>
      </c>
      <c r="V25" s="30">
        <v>7709896</v>
      </c>
      <c r="W25" s="30">
        <v>1002665</v>
      </c>
      <c r="X25" s="30">
        <v>70646</v>
      </c>
      <c r="Y25" s="30">
        <v>2654632</v>
      </c>
      <c r="Z25" s="30">
        <f t="shared" si="10"/>
        <v>7780542</v>
      </c>
      <c r="AA25" s="30">
        <f t="shared" si="7"/>
        <v>3657297</v>
      </c>
      <c r="AB25" s="30">
        <v>1526777</v>
      </c>
      <c r="AC25" s="30">
        <v>67051</v>
      </c>
      <c r="AD25" s="30">
        <v>54119</v>
      </c>
      <c r="AE25" s="30">
        <v>2156094</v>
      </c>
      <c r="AF25" s="30">
        <f t="shared" si="11"/>
        <v>1580896</v>
      </c>
      <c r="AG25" s="30">
        <f t="shared" si="8"/>
        <v>2223145</v>
      </c>
      <c r="AH25" s="30">
        <v>23497138</v>
      </c>
      <c r="AI25" s="30">
        <v>250195</v>
      </c>
      <c r="AJ25" s="30"/>
      <c r="AK25" s="30"/>
      <c r="AL25" s="30">
        <f>AH25+AJ25</f>
        <v>23497138</v>
      </c>
      <c r="AM25" s="30">
        <f>AI25+AK25</f>
        <v>250195</v>
      </c>
    </row>
    <row r="26" spans="1:39" s="1" customFormat="1" ht="15.75" customHeight="1">
      <c r="A26" s="46" t="s">
        <v>97</v>
      </c>
      <c r="B26" s="43" t="s">
        <v>33</v>
      </c>
      <c r="C26" s="41"/>
      <c r="D26" s="30">
        <v>51691025</v>
      </c>
      <c r="E26" s="30">
        <v>36618563</v>
      </c>
      <c r="F26" s="30">
        <v>9238186</v>
      </c>
      <c r="G26" s="30">
        <v>972512</v>
      </c>
      <c r="H26" s="30">
        <v>2333044</v>
      </c>
      <c r="I26" s="30">
        <v>85718</v>
      </c>
      <c r="J26" s="30">
        <v>2111755</v>
      </c>
      <c r="K26" s="30"/>
      <c r="L26" s="30">
        <v>33101192</v>
      </c>
      <c r="M26" s="30">
        <v>36088860</v>
      </c>
      <c r="N26" s="30">
        <v>254949</v>
      </c>
      <c r="O26" s="30">
        <v>978083</v>
      </c>
      <c r="P26" s="30">
        <v>4899</v>
      </c>
      <c r="Q26" s="30">
        <v>941097</v>
      </c>
      <c r="R26" s="30">
        <v>2199293</v>
      </c>
      <c r="S26" s="27" t="s">
        <v>97</v>
      </c>
      <c r="T26" s="28"/>
      <c r="U26" s="43" t="s">
        <v>33</v>
      </c>
      <c r="V26" s="30">
        <v>9272694</v>
      </c>
      <c r="W26" s="30">
        <v>974619</v>
      </c>
      <c r="X26" s="30">
        <v>0</v>
      </c>
      <c r="Y26" s="30">
        <v>0</v>
      </c>
      <c r="Z26" s="30">
        <f t="shared" si="10"/>
        <v>9272694</v>
      </c>
      <c r="AA26" s="30">
        <f t="shared" si="7"/>
        <v>974619</v>
      </c>
      <c r="AB26" s="30">
        <v>2348542</v>
      </c>
      <c r="AC26" s="30">
        <v>86350</v>
      </c>
      <c r="AD26" s="30">
        <v>0</v>
      </c>
      <c r="AE26" s="30">
        <v>0</v>
      </c>
      <c r="AF26" s="30">
        <f t="shared" si="11"/>
        <v>2348542</v>
      </c>
      <c r="AG26" s="30">
        <f t="shared" si="8"/>
        <v>86350</v>
      </c>
      <c r="AH26" s="30">
        <v>36192245</v>
      </c>
      <c r="AI26" s="30">
        <v>256029</v>
      </c>
      <c r="AJ26" s="30"/>
      <c r="AK26" s="30"/>
      <c r="AL26" s="30">
        <f>AH26+AJ26</f>
        <v>36192245</v>
      </c>
      <c r="AM26" s="30">
        <f>AI26+AK26</f>
        <v>256029</v>
      </c>
    </row>
    <row r="27" spans="1:39" s="1" customFormat="1" ht="15.75" customHeight="1">
      <c r="A27" s="46" t="s">
        <v>98</v>
      </c>
      <c r="B27" s="43" t="s">
        <v>34</v>
      </c>
      <c r="C27" s="41"/>
      <c r="D27" s="30">
        <v>19960171</v>
      </c>
      <c r="E27" s="30">
        <v>10771809</v>
      </c>
      <c r="F27" s="30">
        <v>2267182</v>
      </c>
      <c r="G27" s="30">
        <v>213994</v>
      </c>
      <c r="H27" s="30">
        <v>3422552</v>
      </c>
      <c r="I27" s="30">
        <v>110897</v>
      </c>
      <c r="J27" s="30">
        <v>639537</v>
      </c>
      <c r="K27" s="30"/>
      <c r="L27" s="30">
        <v>10132681</v>
      </c>
      <c r="M27" s="30">
        <v>12998808</v>
      </c>
      <c r="N27" s="30">
        <v>148577</v>
      </c>
      <c r="O27" s="30">
        <v>89684</v>
      </c>
      <c r="P27" s="30">
        <v>959</v>
      </c>
      <c r="Q27" s="30">
        <v>542408</v>
      </c>
      <c r="R27" s="30">
        <v>164701</v>
      </c>
      <c r="S27" s="27" t="s">
        <v>98</v>
      </c>
      <c r="T27" s="28"/>
      <c r="U27" s="43" t="s">
        <v>34</v>
      </c>
      <c r="V27" s="30">
        <v>2303147</v>
      </c>
      <c r="W27" s="30">
        <v>217278</v>
      </c>
      <c r="X27" s="30">
        <v>0</v>
      </c>
      <c r="Y27" s="30">
        <v>0</v>
      </c>
      <c r="Z27" s="30">
        <f t="shared" si="10"/>
        <v>2303147</v>
      </c>
      <c r="AA27" s="30">
        <f t="shared" si="7"/>
        <v>217278</v>
      </c>
      <c r="AB27" s="30">
        <v>3467992</v>
      </c>
      <c r="AC27" s="30">
        <v>112055</v>
      </c>
      <c r="AD27" s="30">
        <v>0</v>
      </c>
      <c r="AE27" s="30">
        <v>0</v>
      </c>
      <c r="AF27" s="30">
        <f t="shared" si="11"/>
        <v>3467992</v>
      </c>
      <c r="AG27" s="30">
        <f t="shared" si="8"/>
        <v>112055</v>
      </c>
      <c r="AH27" s="30">
        <v>13023537</v>
      </c>
      <c r="AI27" s="30">
        <v>148321</v>
      </c>
      <c r="AJ27" s="30"/>
      <c r="AK27" s="30"/>
      <c r="AL27" s="30">
        <f>AH27+AJ27</f>
        <v>13023537</v>
      </c>
      <c r="AM27" s="30">
        <f>AI27+AK27</f>
        <v>148321</v>
      </c>
    </row>
    <row r="28" spans="1:39" s="1" customFormat="1" ht="8.25" customHeight="1">
      <c r="A28" s="58"/>
      <c r="B28" s="43"/>
      <c r="C28" s="4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59"/>
      <c r="T28" s="28"/>
      <c r="U28" s="43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</row>
    <row r="29" spans="1:39" s="35" customFormat="1" ht="15.75" customHeight="1">
      <c r="A29" s="53" t="s">
        <v>35</v>
      </c>
      <c r="B29" s="54" t="s">
        <v>36</v>
      </c>
      <c r="C29" s="39"/>
      <c r="D29" s="32">
        <v>176469222</v>
      </c>
      <c r="E29" s="32">
        <v>97600504</v>
      </c>
      <c r="F29" s="32">
        <v>36239976</v>
      </c>
      <c r="G29" s="32">
        <v>4534952</v>
      </c>
      <c r="H29" s="32">
        <v>17062723</v>
      </c>
      <c r="I29" s="32">
        <v>691929</v>
      </c>
      <c r="J29" s="32">
        <v>8087937</v>
      </c>
      <c r="K29" s="32"/>
      <c r="L29" s="32">
        <v>88466165</v>
      </c>
      <c r="M29" s="32">
        <v>93146020</v>
      </c>
      <c r="N29" s="32">
        <v>1506079</v>
      </c>
      <c r="O29" s="32">
        <v>19295365</v>
      </c>
      <c r="P29" s="32">
        <v>102246</v>
      </c>
      <c r="Q29" s="32">
        <v>2637201</v>
      </c>
      <c r="R29" s="32">
        <v>2299133</v>
      </c>
      <c r="S29" s="33" t="s">
        <v>35</v>
      </c>
      <c r="T29" s="34"/>
      <c r="U29" s="54" t="s">
        <v>36</v>
      </c>
      <c r="V29" s="32">
        <f>SUM(V31:V39)</f>
        <v>36522220</v>
      </c>
      <c r="W29" s="32">
        <f>SUM(W31:W39)</f>
        <v>4586856</v>
      </c>
      <c r="X29" s="32">
        <f>SUM(X31:X39)</f>
        <v>11544</v>
      </c>
      <c r="Y29" s="32">
        <f>SUM(Y31:Y39)</f>
        <v>73288</v>
      </c>
      <c r="Z29" s="30">
        <f t="shared" si="10"/>
        <v>36533764</v>
      </c>
      <c r="AA29" s="30">
        <f t="shared" si="7"/>
        <v>4660144</v>
      </c>
      <c r="AB29" s="32">
        <f>SUM(AB31:AB39)</f>
        <v>16872682</v>
      </c>
      <c r="AC29" s="32">
        <f>SUM(AC31:AC39)</f>
        <v>670920</v>
      </c>
      <c r="AD29" s="32">
        <f>SUM(AD31:AD39)</f>
        <v>1728</v>
      </c>
      <c r="AE29" s="32">
        <f>SUM(AE31:AE39)</f>
        <v>14294</v>
      </c>
      <c r="AF29" s="30">
        <f>AB29+AD29</f>
        <v>16874410</v>
      </c>
      <c r="AG29" s="30">
        <f t="shared" si="8"/>
        <v>685214</v>
      </c>
      <c r="AH29" s="32">
        <f>SUM(AH31:AH39)</f>
        <v>91965398</v>
      </c>
      <c r="AI29" s="32">
        <f>SUM(AI31:AI39)</f>
        <v>1489037</v>
      </c>
      <c r="AJ29" s="32">
        <f>SUM(AJ31:AJ39)</f>
        <v>0</v>
      </c>
      <c r="AK29" s="32">
        <f>SUM(AK31:AK39)</f>
        <v>0</v>
      </c>
      <c r="AL29" s="30">
        <f>AH29+AJ29</f>
        <v>91965398</v>
      </c>
      <c r="AM29" s="30">
        <f>AI29+AK29</f>
        <v>1489037</v>
      </c>
    </row>
    <row r="30" spans="1:39" s="1" customFormat="1" ht="8.2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28"/>
      <c r="U30" s="61"/>
      <c r="V30" s="63"/>
      <c r="W30" s="63"/>
      <c r="X30" s="63"/>
      <c r="Y30" s="63"/>
      <c r="Z30" s="30"/>
      <c r="AA30" s="30"/>
      <c r="AB30" s="63"/>
      <c r="AC30" s="63"/>
      <c r="AD30" s="63"/>
      <c r="AE30" s="63"/>
      <c r="AF30" s="30"/>
      <c r="AG30" s="30"/>
      <c r="AH30" s="63"/>
      <c r="AI30" s="63"/>
      <c r="AJ30" s="63"/>
      <c r="AK30" s="63"/>
      <c r="AL30" s="30"/>
      <c r="AM30" s="30"/>
    </row>
    <row r="31" spans="1:39" s="1" customFormat="1" ht="15.75" customHeight="1">
      <c r="A31" s="46" t="s">
        <v>99</v>
      </c>
      <c r="B31" s="43" t="s">
        <v>37</v>
      </c>
      <c r="C31" s="41"/>
      <c r="D31" s="30">
        <v>26551567</v>
      </c>
      <c r="E31" s="30">
        <v>27207240</v>
      </c>
      <c r="F31" s="30">
        <v>7470186</v>
      </c>
      <c r="G31" s="30">
        <v>1036431</v>
      </c>
      <c r="H31" s="30">
        <v>2806270</v>
      </c>
      <c r="I31" s="30">
        <v>162871</v>
      </c>
      <c r="J31" s="30">
        <v>1601065</v>
      </c>
      <c r="K31" s="30"/>
      <c r="L31" s="30">
        <v>24534021</v>
      </c>
      <c r="M31" s="30">
        <v>9251361</v>
      </c>
      <c r="N31" s="30">
        <v>137655</v>
      </c>
      <c r="O31" s="30">
        <v>4999101</v>
      </c>
      <c r="P31" s="30">
        <v>12847</v>
      </c>
      <c r="Q31" s="30">
        <v>423584</v>
      </c>
      <c r="R31" s="30">
        <v>1323415</v>
      </c>
      <c r="S31" s="27" t="s">
        <v>99</v>
      </c>
      <c r="T31" s="28"/>
      <c r="U31" s="43" t="s">
        <v>37</v>
      </c>
      <c r="V31" s="30">
        <v>7517214</v>
      </c>
      <c r="W31" s="30">
        <v>1041845</v>
      </c>
      <c r="X31" s="30">
        <v>0</v>
      </c>
      <c r="Y31" s="30">
        <v>0</v>
      </c>
      <c r="Z31" s="30">
        <f t="shared" si="10"/>
        <v>7517214</v>
      </c>
      <c r="AA31" s="30">
        <f t="shared" si="7"/>
        <v>1041845</v>
      </c>
      <c r="AB31" s="30">
        <v>2756893</v>
      </c>
      <c r="AC31" s="30">
        <v>160153</v>
      </c>
      <c r="AD31" s="30">
        <v>0</v>
      </c>
      <c r="AE31" s="30">
        <v>0</v>
      </c>
      <c r="AF31" s="30">
        <f t="shared" si="11"/>
        <v>2756893</v>
      </c>
      <c r="AG31" s="30">
        <f t="shared" si="8"/>
        <v>160153</v>
      </c>
      <c r="AH31" s="30">
        <v>9145046</v>
      </c>
      <c r="AI31" s="30">
        <v>135743</v>
      </c>
      <c r="AJ31" s="30"/>
      <c r="AK31" s="30"/>
      <c r="AL31" s="30">
        <f aca="true" t="shared" si="13" ref="AL31:AM35">AH31+AJ31</f>
        <v>9145046</v>
      </c>
      <c r="AM31" s="30">
        <f t="shared" si="13"/>
        <v>135743</v>
      </c>
    </row>
    <row r="32" spans="1:39" s="1" customFormat="1" ht="15.75" customHeight="1">
      <c r="A32" s="46" t="s">
        <v>100</v>
      </c>
      <c r="B32" s="43" t="s">
        <v>38</v>
      </c>
      <c r="C32" s="41"/>
      <c r="D32" s="30">
        <v>22226474</v>
      </c>
      <c r="E32" s="30">
        <v>7899738</v>
      </c>
      <c r="F32" s="30">
        <v>3961517</v>
      </c>
      <c r="G32" s="30">
        <v>570862</v>
      </c>
      <c r="H32" s="30">
        <v>1351646</v>
      </c>
      <c r="I32" s="30">
        <v>49820</v>
      </c>
      <c r="J32" s="30">
        <v>836576</v>
      </c>
      <c r="K32" s="30"/>
      <c r="L32" s="30">
        <v>6994790</v>
      </c>
      <c r="M32" s="30">
        <v>14272030</v>
      </c>
      <c r="N32" s="30">
        <v>191653</v>
      </c>
      <c r="O32" s="30">
        <v>1662115</v>
      </c>
      <c r="P32" s="30">
        <v>6020</v>
      </c>
      <c r="Q32" s="30">
        <v>142590</v>
      </c>
      <c r="R32" s="30">
        <v>86593</v>
      </c>
      <c r="S32" s="27" t="s">
        <v>100</v>
      </c>
      <c r="T32" s="28"/>
      <c r="U32" s="43" t="s">
        <v>38</v>
      </c>
      <c r="V32" s="30">
        <v>3956417</v>
      </c>
      <c r="W32" s="30">
        <v>570584</v>
      </c>
      <c r="X32" s="30">
        <v>0</v>
      </c>
      <c r="Y32" s="30">
        <v>0</v>
      </c>
      <c r="Z32" s="30">
        <f t="shared" si="10"/>
        <v>3956417</v>
      </c>
      <c r="AA32" s="30">
        <f t="shared" si="7"/>
        <v>570584</v>
      </c>
      <c r="AB32" s="30">
        <v>1352069</v>
      </c>
      <c r="AC32" s="30">
        <v>49901</v>
      </c>
      <c r="AD32" s="30">
        <v>0</v>
      </c>
      <c r="AE32" s="30">
        <v>0</v>
      </c>
      <c r="AF32" s="30">
        <f t="shared" si="11"/>
        <v>1352069</v>
      </c>
      <c r="AG32" s="30">
        <f t="shared" si="8"/>
        <v>49901</v>
      </c>
      <c r="AH32" s="30">
        <v>14282562</v>
      </c>
      <c r="AI32" s="30">
        <v>191802</v>
      </c>
      <c r="AJ32" s="30"/>
      <c r="AK32" s="30"/>
      <c r="AL32" s="30">
        <f t="shared" si="13"/>
        <v>14282562</v>
      </c>
      <c r="AM32" s="30">
        <f t="shared" si="13"/>
        <v>191802</v>
      </c>
    </row>
    <row r="33" spans="1:39" s="1" customFormat="1" ht="15.75" customHeight="1">
      <c r="A33" s="28">
        <v>10</v>
      </c>
      <c r="B33" s="43" t="s">
        <v>39</v>
      </c>
      <c r="C33" s="41"/>
      <c r="D33" s="30">
        <v>27658261</v>
      </c>
      <c r="E33" s="30">
        <v>16718500</v>
      </c>
      <c r="F33" s="30">
        <v>7316399</v>
      </c>
      <c r="G33" s="30">
        <v>930684</v>
      </c>
      <c r="H33" s="30">
        <v>3298602</v>
      </c>
      <c r="I33" s="30">
        <v>142322</v>
      </c>
      <c r="J33" s="30">
        <v>1362069</v>
      </c>
      <c r="K33" s="30"/>
      <c r="L33" s="30">
        <v>15361031</v>
      </c>
      <c r="M33" s="30">
        <v>10213196</v>
      </c>
      <c r="N33" s="30">
        <v>150667</v>
      </c>
      <c r="O33" s="30">
        <v>5222971</v>
      </c>
      <c r="P33" s="30">
        <v>22849</v>
      </c>
      <c r="Q33" s="30">
        <v>245024</v>
      </c>
      <c r="R33" s="30">
        <v>110947</v>
      </c>
      <c r="S33" s="65">
        <v>10</v>
      </c>
      <c r="T33" s="28"/>
      <c r="U33" s="43" t="s">
        <v>39</v>
      </c>
      <c r="V33" s="30">
        <v>7485414</v>
      </c>
      <c r="W33" s="30">
        <v>955236</v>
      </c>
      <c r="X33" s="30">
        <v>0</v>
      </c>
      <c r="Y33" s="30">
        <v>0</v>
      </c>
      <c r="Z33" s="30">
        <f t="shared" si="10"/>
        <v>7485414</v>
      </c>
      <c r="AA33" s="30">
        <f t="shared" si="7"/>
        <v>955236</v>
      </c>
      <c r="AB33" s="30">
        <v>3332032</v>
      </c>
      <c r="AC33" s="30">
        <v>143875</v>
      </c>
      <c r="AD33" s="30">
        <v>0</v>
      </c>
      <c r="AE33" s="30">
        <v>0</v>
      </c>
      <c r="AF33" s="30">
        <f t="shared" si="11"/>
        <v>3332032</v>
      </c>
      <c r="AG33" s="30">
        <f t="shared" si="8"/>
        <v>143875</v>
      </c>
      <c r="AH33" s="30">
        <v>10230884</v>
      </c>
      <c r="AI33" s="30">
        <v>150953</v>
      </c>
      <c r="AJ33" s="30"/>
      <c r="AK33" s="30"/>
      <c r="AL33" s="30">
        <f t="shared" si="13"/>
        <v>10230884</v>
      </c>
      <c r="AM33" s="30">
        <f t="shared" si="13"/>
        <v>150953</v>
      </c>
    </row>
    <row r="34" spans="1:39" s="1" customFormat="1" ht="15.75" customHeight="1">
      <c r="A34" s="28">
        <v>11</v>
      </c>
      <c r="B34" s="43" t="s">
        <v>40</v>
      </c>
      <c r="C34" s="41"/>
      <c r="D34" s="30">
        <v>27246780</v>
      </c>
      <c r="E34" s="30">
        <v>9482627</v>
      </c>
      <c r="F34" s="30">
        <v>4391370</v>
      </c>
      <c r="G34" s="30">
        <v>593188</v>
      </c>
      <c r="H34" s="30">
        <v>2548765</v>
      </c>
      <c r="I34" s="30">
        <v>123371</v>
      </c>
      <c r="J34" s="30">
        <v>1113985</v>
      </c>
      <c r="K34" s="30"/>
      <c r="L34" s="30">
        <v>8149966</v>
      </c>
      <c r="M34" s="30">
        <v>15582188</v>
      </c>
      <c r="N34" s="30">
        <v>273444</v>
      </c>
      <c r="O34" s="30">
        <v>3230092</v>
      </c>
      <c r="P34" s="30">
        <v>17774</v>
      </c>
      <c r="Q34" s="30">
        <v>380380</v>
      </c>
      <c r="R34" s="30">
        <v>324884</v>
      </c>
      <c r="S34" s="65">
        <v>11</v>
      </c>
      <c r="T34" s="28"/>
      <c r="U34" s="43" t="s">
        <v>40</v>
      </c>
      <c r="V34" s="30">
        <v>4380340</v>
      </c>
      <c r="W34" s="30">
        <v>598527</v>
      </c>
      <c r="X34" s="30">
        <v>0</v>
      </c>
      <c r="Y34" s="30">
        <v>0</v>
      </c>
      <c r="Z34" s="30">
        <f t="shared" si="10"/>
        <v>4380340</v>
      </c>
      <c r="AA34" s="30">
        <f t="shared" si="7"/>
        <v>598527</v>
      </c>
      <c r="AB34" s="30">
        <v>2357273</v>
      </c>
      <c r="AC34" s="30">
        <v>111680</v>
      </c>
      <c r="AD34" s="30">
        <v>0</v>
      </c>
      <c r="AE34" s="30">
        <v>0</v>
      </c>
      <c r="AF34" s="30">
        <f t="shared" si="11"/>
        <v>2357273</v>
      </c>
      <c r="AG34" s="30">
        <f t="shared" si="8"/>
        <v>111680</v>
      </c>
      <c r="AH34" s="30">
        <v>14429545</v>
      </c>
      <c r="AI34" s="30">
        <v>257236</v>
      </c>
      <c r="AJ34" s="30"/>
      <c r="AK34" s="30"/>
      <c r="AL34" s="30">
        <f t="shared" si="13"/>
        <v>14429545</v>
      </c>
      <c r="AM34" s="30">
        <f t="shared" si="13"/>
        <v>257236</v>
      </c>
    </row>
    <row r="35" spans="1:39" s="1" customFormat="1" ht="15.75" customHeight="1">
      <c r="A35" s="28">
        <v>12</v>
      </c>
      <c r="B35" s="43" t="s">
        <v>41</v>
      </c>
      <c r="C35" s="41"/>
      <c r="D35" s="30">
        <v>29436748</v>
      </c>
      <c r="E35" s="30">
        <v>6526164</v>
      </c>
      <c r="F35" s="30">
        <v>2803760</v>
      </c>
      <c r="G35" s="30">
        <v>242076</v>
      </c>
      <c r="H35" s="30">
        <v>1937880</v>
      </c>
      <c r="I35" s="30">
        <v>51793</v>
      </c>
      <c r="J35" s="30">
        <v>664676</v>
      </c>
      <c r="K35" s="30"/>
      <c r="L35" s="30">
        <v>5712933</v>
      </c>
      <c r="M35" s="30">
        <v>21073547</v>
      </c>
      <c r="N35" s="30">
        <v>388135</v>
      </c>
      <c r="O35" s="30">
        <v>2586070</v>
      </c>
      <c r="P35" s="30">
        <v>25214</v>
      </c>
      <c r="Q35" s="30">
        <v>370815</v>
      </c>
      <c r="R35" s="30">
        <v>106013</v>
      </c>
      <c r="S35" s="65">
        <v>12</v>
      </c>
      <c r="T35" s="28"/>
      <c r="U35" s="43" t="s">
        <v>41</v>
      </c>
      <c r="V35" s="30">
        <v>2814711</v>
      </c>
      <c r="W35" s="30">
        <v>242885</v>
      </c>
      <c r="X35" s="30">
        <v>0</v>
      </c>
      <c r="Y35" s="30">
        <v>0</v>
      </c>
      <c r="Z35" s="30">
        <f t="shared" si="10"/>
        <v>2814711</v>
      </c>
      <c r="AA35" s="30">
        <f t="shared" si="7"/>
        <v>242885</v>
      </c>
      <c r="AB35" s="30">
        <v>1944905</v>
      </c>
      <c r="AC35" s="30">
        <v>51990</v>
      </c>
      <c r="AD35" s="30">
        <v>0</v>
      </c>
      <c r="AE35" s="30">
        <v>0</v>
      </c>
      <c r="AF35" s="30">
        <f t="shared" si="11"/>
        <v>1944905</v>
      </c>
      <c r="AG35" s="30">
        <f t="shared" si="8"/>
        <v>51990</v>
      </c>
      <c r="AH35" s="30">
        <v>21138115</v>
      </c>
      <c r="AI35" s="30">
        <v>389060</v>
      </c>
      <c r="AJ35" s="30"/>
      <c r="AK35" s="30"/>
      <c r="AL35" s="30">
        <f t="shared" si="13"/>
        <v>21138115</v>
      </c>
      <c r="AM35" s="30">
        <f t="shared" si="13"/>
        <v>389060</v>
      </c>
    </row>
    <row r="36" spans="1:39" s="1" customFormat="1" ht="9.75" customHeight="1">
      <c r="A36" s="28"/>
      <c r="B36" s="43"/>
      <c r="C36" s="4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65"/>
      <c r="T36" s="28"/>
      <c r="U36" s="43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</row>
    <row r="37" spans="1:39" s="1" customFormat="1" ht="15.75" customHeight="1">
      <c r="A37" s="28">
        <v>13</v>
      </c>
      <c r="B37" s="43" t="s">
        <v>42</v>
      </c>
      <c r="C37" s="41"/>
      <c r="D37" s="30">
        <v>6987248</v>
      </c>
      <c r="E37" s="30">
        <v>8897229</v>
      </c>
      <c r="F37" s="30">
        <v>2404795</v>
      </c>
      <c r="G37" s="30">
        <v>284020</v>
      </c>
      <c r="H37" s="30">
        <v>823559</v>
      </c>
      <c r="I37" s="30">
        <v>28174</v>
      </c>
      <c r="J37" s="30">
        <v>651838</v>
      </c>
      <c r="K37" s="30"/>
      <c r="L37" s="30">
        <v>8403815</v>
      </c>
      <c r="M37" s="30">
        <v>2694849</v>
      </c>
      <c r="N37" s="30">
        <v>31609</v>
      </c>
      <c r="O37" s="30">
        <v>233347</v>
      </c>
      <c r="P37" s="30">
        <v>1406</v>
      </c>
      <c r="Q37" s="30">
        <v>178860</v>
      </c>
      <c r="R37" s="30">
        <v>148205</v>
      </c>
      <c r="S37" s="65">
        <v>13</v>
      </c>
      <c r="T37" s="28"/>
      <c r="U37" s="43" t="s">
        <v>42</v>
      </c>
      <c r="V37" s="30">
        <v>2429734</v>
      </c>
      <c r="W37" s="30">
        <v>362221</v>
      </c>
      <c r="X37" s="30">
        <v>0</v>
      </c>
      <c r="Y37" s="30">
        <v>0</v>
      </c>
      <c r="Z37" s="30">
        <f t="shared" si="10"/>
        <v>2429734</v>
      </c>
      <c r="AA37" s="30">
        <f t="shared" si="7"/>
        <v>362221</v>
      </c>
      <c r="AB37" s="30">
        <v>828021</v>
      </c>
      <c r="AC37" s="30">
        <v>33835</v>
      </c>
      <c r="AD37" s="30">
        <v>0</v>
      </c>
      <c r="AE37" s="30">
        <v>0</v>
      </c>
      <c r="AF37" s="30">
        <f t="shared" si="11"/>
        <v>828021</v>
      </c>
      <c r="AG37" s="30">
        <f t="shared" si="8"/>
        <v>33835</v>
      </c>
      <c r="AH37" s="30">
        <v>2670168</v>
      </c>
      <c r="AI37" s="30">
        <v>31351</v>
      </c>
      <c r="AJ37" s="30"/>
      <c r="AK37" s="30"/>
      <c r="AL37" s="30">
        <f aca="true" t="shared" si="14" ref="AL37:AM39">AH37+AJ37</f>
        <v>2670168</v>
      </c>
      <c r="AM37" s="30">
        <f t="shared" si="14"/>
        <v>31351</v>
      </c>
    </row>
    <row r="38" spans="1:39" s="1" customFormat="1" ht="15.75" customHeight="1">
      <c r="A38" s="28">
        <v>14</v>
      </c>
      <c r="B38" s="43" t="s">
        <v>43</v>
      </c>
      <c r="C38" s="41"/>
      <c r="D38" s="30">
        <v>21454027</v>
      </c>
      <c r="E38" s="30">
        <v>2635573</v>
      </c>
      <c r="F38" s="30">
        <v>1916781</v>
      </c>
      <c r="G38" s="30">
        <v>181983</v>
      </c>
      <c r="H38" s="30">
        <v>3044397</v>
      </c>
      <c r="I38" s="30">
        <v>75022</v>
      </c>
      <c r="J38" s="30">
        <v>532414</v>
      </c>
      <c r="K38" s="30"/>
      <c r="L38" s="30">
        <v>2121674</v>
      </c>
      <c r="M38" s="30">
        <v>15255952</v>
      </c>
      <c r="N38" s="30">
        <v>220890</v>
      </c>
      <c r="O38" s="30">
        <v>426631</v>
      </c>
      <c r="P38" s="30">
        <v>3173</v>
      </c>
      <c r="Q38" s="30">
        <v>277852</v>
      </c>
      <c r="R38" s="30">
        <v>32831</v>
      </c>
      <c r="S38" s="65">
        <v>14</v>
      </c>
      <c r="T38" s="28"/>
      <c r="U38" s="43" t="s">
        <v>43</v>
      </c>
      <c r="V38" s="30">
        <v>1939976</v>
      </c>
      <c r="W38" s="30">
        <v>184053</v>
      </c>
      <c r="X38" s="30">
        <v>0</v>
      </c>
      <c r="Y38" s="30">
        <v>0</v>
      </c>
      <c r="Z38" s="30">
        <f t="shared" si="10"/>
        <v>1939976</v>
      </c>
      <c r="AA38" s="30">
        <f t="shared" si="7"/>
        <v>184053</v>
      </c>
      <c r="AB38" s="30">
        <v>3047977</v>
      </c>
      <c r="AC38" s="30">
        <v>75090</v>
      </c>
      <c r="AD38" s="30">
        <v>0</v>
      </c>
      <c r="AE38" s="30">
        <v>0</v>
      </c>
      <c r="AF38" s="30">
        <f t="shared" si="11"/>
        <v>3047977</v>
      </c>
      <c r="AG38" s="30">
        <f t="shared" si="8"/>
        <v>75090</v>
      </c>
      <c r="AH38" s="30">
        <v>15250573</v>
      </c>
      <c r="AI38" s="30">
        <v>220587</v>
      </c>
      <c r="AJ38" s="30"/>
      <c r="AK38" s="30"/>
      <c r="AL38" s="30">
        <f t="shared" si="14"/>
        <v>15250573</v>
      </c>
      <c r="AM38" s="30">
        <f t="shared" si="14"/>
        <v>220587</v>
      </c>
    </row>
    <row r="39" spans="1:39" s="1" customFormat="1" ht="15.75" customHeight="1">
      <c r="A39" s="28">
        <v>15</v>
      </c>
      <c r="B39" s="43" t="s">
        <v>44</v>
      </c>
      <c r="C39" s="41"/>
      <c r="D39" s="30">
        <v>14908117</v>
      </c>
      <c r="E39" s="30">
        <v>18233433</v>
      </c>
      <c r="F39" s="30">
        <f>5964028+11140</f>
        <v>5975168</v>
      </c>
      <c r="G39" s="30">
        <v>695708</v>
      </c>
      <c r="H39" s="30">
        <f>1249876+1728</f>
        <v>1251604</v>
      </c>
      <c r="I39" s="30">
        <f>44261+14295</f>
        <v>58556</v>
      </c>
      <c r="J39" s="30">
        <v>1325314</v>
      </c>
      <c r="K39" s="30"/>
      <c r="L39" s="30">
        <v>17187935</v>
      </c>
      <c r="M39" s="30">
        <v>4802897</v>
      </c>
      <c r="N39" s="30">
        <v>112026</v>
      </c>
      <c r="O39" s="30">
        <v>935038</v>
      </c>
      <c r="P39" s="30">
        <v>12963</v>
      </c>
      <c r="Q39" s="30">
        <v>618096</v>
      </c>
      <c r="R39" s="30">
        <v>166245</v>
      </c>
      <c r="S39" s="65">
        <v>15</v>
      </c>
      <c r="T39" s="28"/>
      <c r="U39" s="43" t="s">
        <v>44</v>
      </c>
      <c r="V39" s="30">
        <v>5998414</v>
      </c>
      <c r="W39" s="30">
        <v>631505</v>
      </c>
      <c r="X39" s="30">
        <v>11544</v>
      </c>
      <c r="Y39" s="30">
        <v>73288</v>
      </c>
      <c r="Z39" s="30">
        <f t="shared" si="10"/>
        <v>6009958</v>
      </c>
      <c r="AA39" s="30">
        <f t="shared" si="7"/>
        <v>704793</v>
      </c>
      <c r="AB39" s="30">
        <v>1253512</v>
      </c>
      <c r="AC39" s="30">
        <v>44396</v>
      </c>
      <c r="AD39" s="30">
        <v>1728</v>
      </c>
      <c r="AE39" s="30">
        <v>14294</v>
      </c>
      <c r="AF39" s="30">
        <f t="shared" si="11"/>
        <v>1255240</v>
      </c>
      <c r="AG39" s="30">
        <f t="shared" si="8"/>
        <v>58690</v>
      </c>
      <c r="AH39" s="30">
        <v>4818505</v>
      </c>
      <c r="AI39" s="30">
        <v>112305</v>
      </c>
      <c r="AJ39" s="30"/>
      <c r="AK39" s="30"/>
      <c r="AL39" s="30">
        <f t="shared" si="14"/>
        <v>4818505</v>
      </c>
      <c r="AM39" s="30">
        <f t="shared" si="14"/>
        <v>112305</v>
      </c>
    </row>
    <row r="40" spans="1:39" s="1" customFormat="1" ht="8.25" customHeight="1">
      <c r="A40" s="28"/>
      <c r="B40" s="43"/>
      <c r="C40" s="41"/>
      <c r="D40" s="30"/>
      <c r="E40" s="30"/>
      <c r="F40" s="30"/>
      <c r="H40" s="30"/>
      <c r="I40" s="30"/>
      <c r="J40" s="30"/>
      <c r="K40" s="30"/>
      <c r="L40" s="30"/>
      <c r="M40" s="30"/>
      <c r="O40" s="30"/>
      <c r="P40" s="30"/>
      <c r="Q40" s="30"/>
      <c r="R40" s="30"/>
      <c r="S40" s="65"/>
      <c r="T40" s="28"/>
      <c r="U40" s="43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</row>
    <row r="41" spans="1:39" s="35" customFormat="1" ht="15.75" customHeight="1">
      <c r="A41" s="66" t="s">
        <v>45</v>
      </c>
      <c r="B41" s="54" t="s">
        <v>46</v>
      </c>
      <c r="C41" s="39"/>
      <c r="D41" s="32">
        <v>70812815</v>
      </c>
      <c r="E41" s="32">
        <v>53528721</v>
      </c>
      <c r="F41" s="32">
        <v>16411296</v>
      </c>
      <c r="G41" s="32">
        <v>2022148</v>
      </c>
      <c r="H41" s="32">
        <v>7515862</v>
      </c>
      <c r="I41" s="32">
        <v>270990</v>
      </c>
      <c r="J41" s="32">
        <v>3861010</v>
      </c>
      <c r="K41" s="32"/>
      <c r="L41" s="32">
        <v>47988176</v>
      </c>
      <c r="M41" s="32">
        <v>37104945</v>
      </c>
      <c r="N41" s="32">
        <v>355667</v>
      </c>
      <c r="O41" s="32">
        <v>4073986</v>
      </c>
      <c r="P41" s="32">
        <v>29476</v>
      </c>
      <c r="Q41" s="32">
        <v>1845716</v>
      </c>
      <c r="R41" s="32">
        <v>2862264</v>
      </c>
      <c r="S41" s="67" t="s">
        <v>45</v>
      </c>
      <c r="T41" s="34"/>
      <c r="U41" s="54" t="s">
        <v>46</v>
      </c>
      <c r="V41" s="32">
        <f>SUM(V43:V45)</f>
        <v>16452020</v>
      </c>
      <c r="W41" s="32">
        <f>SUM(W43:W45)</f>
        <v>1998306</v>
      </c>
      <c r="X41" s="32">
        <f>SUM(X43:X45)</f>
        <v>2101</v>
      </c>
      <c r="Y41" s="32">
        <f>SUM(Y43:Y45)</f>
        <v>13555</v>
      </c>
      <c r="Z41" s="30">
        <f t="shared" si="10"/>
        <v>16454121</v>
      </c>
      <c r="AA41" s="30">
        <f t="shared" si="7"/>
        <v>2011861</v>
      </c>
      <c r="AB41" s="32">
        <f>SUM(AB43:AB45)</f>
        <v>7504675</v>
      </c>
      <c r="AC41" s="32">
        <f>SUM(AC43:AC45)</f>
        <v>268706</v>
      </c>
      <c r="AD41" s="32">
        <f>SUM(AD43:AD45)</f>
        <v>240</v>
      </c>
      <c r="AE41" s="32">
        <f>SUM(AE43:AE45)</f>
        <v>1126</v>
      </c>
      <c r="AF41" s="30">
        <f>AB41+AD41</f>
        <v>7504915</v>
      </c>
      <c r="AG41" s="30">
        <f t="shared" si="8"/>
        <v>269832</v>
      </c>
      <c r="AH41" s="32">
        <f>SUM(AH43:AH45)</f>
        <v>37142266</v>
      </c>
      <c r="AI41" s="32">
        <f>SUM(AI43:AI45)</f>
        <v>356144</v>
      </c>
      <c r="AJ41" s="32">
        <f>SUM(AJ43:AJ45)</f>
        <v>0</v>
      </c>
      <c r="AK41" s="32">
        <f>SUM(AK43:AK45)</f>
        <v>0</v>
      </c>
      <c r="AL41" s="30">
        <f>AH41+AJ41</f>
        <v>37142266</v>
      </c>
      <c r="AM41" s="30">
        <f>AI41+AK41</f>
        <v>356144</v>
      </c>
    </row>
    <row r="42" spans="1:39" s="1" customFormat="1" ht="8.25" customHeight="1">
      <c r="A42" s="68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9"/>
      <c r="T42" s="28"/>
      <c r="U42" s="61"/>
      <c r="V42" s="63"/>
      <c r="W42" s="63"/>
      <c r="X42" s="63"/>
      <c r="Y42" s="63"/>
      <c r="Z42" s="30"/>
      <c r="AA42" s="30"/>
      <c r="AB42" s="63"/>
      <c r="AC42" s="63"/>
      <c r="AD42" s="63"/>
      <c r="AE42" s="63"/>
      <c r="AF42" s="30"/>
      <c r="AG42" s="30"/>
      <c r="AH42" s="63"/>
      <c r="AI42" s="63"/>
      <c r="AJ42" s="63"/>
      <c r="AK42" s="63"/>
      <c r="AL42" s="30"/>
      <c r="AM42" s="30"/>
    </row>
    <row r="43" spans="1:39" s="1" customFormat="1" ht="15.75" customHeight="1">
      <c r="A43" s="28">
        <v>16</v>
      </c>
      <c r="B43" s="43" t="s">
        <v>47</v>
      </c>
      <c r="C43" s="41"/>
      <c r="D43" s="30">
        <v>21739589</v>
      </c>
      <c r="E43" s="30">
        <v>28935160</v>
      </c>
      <c r="F43" s="30">
        <f>7348322+5099</f>
        <v>7353421</v>
      </c>
      <c r="G43" s="30">
        <f>952585+24651</f>
        <v>977236</v>
      </c>
      <c r="H43" s="30">
        <f>2679199+339</f>
        <v>2679538</v>
      </c>
      <c r="I43" s="30">
        <f>102879+1667</f>
        <v>104546</v>
      </c>
      <c r="J43" s="30">
        <v>1704902</v>
      </c>
      <c r="K43" s="30"/>
      <c r="L43" s="30">
        <v>25360336</v>
      </c>
      <c r="M43" s="30">
        <v>7585353</v>
      </c>
      <c r="N43" s="30">
        <v>77110</v>
      </c>
      <c r="O43" s="30">
        <v>979468</v>
      </c>
      <c r="P43" s="30">
        <v>5837</v>
      </c>
      <c r="Q43" s="30">
        <v>1436907</v>
      </c>
      <c r="R43" s="30">
        <v>2410095</v>
      </c>
      <c r="S43" s="65">
        <v>16</v>
      </c>
      <c r="T43" s="28"/>
      <c r="U43" s="43" t="s">
        <v>47</v>
      </c>
      <c r="V43" s="30">
        <v>7357338</v>
      </c>
      <c r="W43" s="30">
        <v>953869</v>
      </c>
      <c r="X43" s="30">
        <v>2101</v>
      </c>
      <c r="Y43" s="30">
        <v>13555</v>
      </c>
      <c r="Z43" s="30">
        <f t="shared" si="10"/>
        <v>7359439</v>
      </c>
      <c r="AA43" s="30">
        <f t="shared" si="7"/>
        <v>967424</v>
      </c>
      <c r="AB43" s="30">
        <v>2680832</v>
      </c>
      <c r="AC43" s="30">
        <v>103088</v>
      </c>
      <c r="AD43" s="30">
        <v>240</v>
      </c>
      <c r="AE43" s="30">
        <v>1126</v>
      </c>
      <c r="AF43" s="30">
        <f t="shared" si="11"/>
        <v>2681072</v>
      </c>
      <c r="AG43" s="30">
        <f t="shared" si="8"/>
        <v>104214</v>
      </c>
      <c r="AH43" s="30">
        <v>7594322</v>
      </c>
      <c r="AI43" s="30">
        <v>77203</v>
      </c>
      <c r="AJ43" s="30"/>
      <c r="AK43" s="30"/>
      <c r="AL43" s="30">
        <f aca="true" t="shared" si="15" ref="AL43:AM45">AH43+AJ43</f>
        <v>7594322</v>
      </c>
      <c r="AM43" s="30">
        <f t="shared" si="15"/>
        <v>77203</v>
      </c>
    </row>
    <row r="44" spans="1:39" s="1" customFormat="1" ht="15.75" customHeight="1">
      <c r="A44" s="28">
        <v>17</v>
      </c>
      <c r="B44" s="43" t="s">
        <v>48</v>
      </c>
      <c r="C44" s="41"/>
      <c r="D44" s="30">
        <v>14248593</v>
      </c>
      <c r="E44" s="30">
        <v>11033797</v>
      </c>
      <c r="F44" s="30">
        <v>4501011</v>
      </c>
      <c r="G44" s="30">
        <v>552789</v>
      </c>
      <c r="H44" s="30">
        <v>649337</v>
      </c>
      <c r="I44" s="30">
        <v>26437</v>
      </c>
      <c r="J44" s="30">
        <v>949332</v>
      </c>
      <c r="K44" s="30"/>
      <c r="L44" s="30">
        <v>10284656</v>
      </c>
      <c r="M44" s="30">
        <v>7106915</v>
      </c>
      <c r="N44" s="30">
        <v>80716</v>
      </c>
      <c r="O44" s="30">
        <v>895372</v>
      </c>
      <c r="P44" s="30">
        <v>8717</v>
      </c>
      <c r="Q44" s="30">
        <v>146626</v>
      </c>
      <c r="R44" s="30">
        <v>80482</v>
      </c>
      <c r="S44" s="65">
        <v>17</v>
      </c>
      <c r="T44" s="28"/>
      <c r="U44" s="43" t="s">
        <v>48</v>
      </c>
      <c r="V44" s="30">
        <v>4517147</v>
      </c>
      <c r="W44" s="30">
        <v>554532</v>
      </c>
      <c r="X44" s="30">
        <v>0</v>
      </c>
      <c r="Y44" s="30">
        <v>0</v>
      </c>
      <c r="Z44" s="30">
        <f t="shared" si="10"/>
        <v>4517147</v>
      </c>
      <c r="AA44" s="30">
        <f t="shared" si="7"/>
        <v>554532</v>
      </c>
      <c r="AB44" s="30">
        <v>637776</v>
      </c>
      <c r="AC44" s="30">
        <v>25907</v>
      </c>
      <c r="AD44" s="30">
        <v>0</v>
      </c>
      <c r="AE44" s="30">
        <v>0</v>
      </c>
      <c r="AF44" s="30">
        <f t="shared" si="11"/>
        <v>637776</v>
      </c>
      <c r="AG44" s="30">
        <f t="shared" si="8"/>
        <v>25907</v>
      </c>
      <c r="AH44" s="30">
        <v>7132495</v>
      </c>
      <c r="AI44" s="30">
        <v>81079</v>
      </c>
      <c r="AJ44" s="30"/>
      <c r="AK44" s="30"/>
      <c r="AL44" s="30">
        <f t="shared" si="15"/>
        <v>7132495</v>
      </c>
      <c r="AM44" s="30">
        <f t="shared" si="15"/>
        <v>81079</v>
      </c>
    </row>
    <row r="45" spans="1:39" s="1" customFormat="1" ht="15.75" customHeight="1">
      <c r="A45" s="28">
        <v>18</v>
      </c>
      <c r="B45" s="43" t="s">
        <v>49</v>
      </c>
      <c r="C45" s="41"/>
      <c r="D45" s="30">
        <v>34824633</v>
      </c>
      <c r="E45" s="30">
        <v>13559764</v>
      </c>
      <c r="F45" s="30">
        <v>4556864</v>
      </c>
      <c r="G45" s="30">
        <v>492123</v>
      </c>
      <c r="H45" s="30">
        <v>4186987</v>
      </c>
      <c r="I45" s="30">
        <v>140007</v>
      </c>
      <c r="J45" s="30">
        <v>1206776</v>
      </c>
      <c r="K45" s="30"/>
      <c r="L45" s="30">
        <v>12343184</v>
      </c>
      <c r="M45" s="30">
        <v>22412677</v>
      </c>
      <c r="N45" s="30">
        <v>197841</v>
      </c>
      <c r="O45" s="30">
        <v>2199146</v>
      </c>
      <c r="P45" s="30">
        <v>14922</v>
      </c>
      <c r="Q45" s="30">
        <v>262183</v>
      </c>
      <c r="R45" s="30">
        <v>371687</v>
      </c>
      <c r="S45" s="65">
        <v>18</v>
      </c>
      <c r="T45" s="28"/>
      <c r="U45" s="43" t="s">
        <v>49</v>
      </c>
      <c r="V45" s="30">
        <v>4577535</v>
      </c>
      <c r="W45" s="30">
        <v>489905</v>
      </c>
      <c r="X45" s="30">
        <v>0</v>
      </c>
      <c r="Y45" s="30">
        <v>0</v>
      </c>
      <c r="Z45" s="30">
        <f t="shared" si="10"/>
        <v>4577535</v>
      </c>
      <c r="AA45" s="30">
        <f t="shared" si="7"/>
        <v>489905</v>
      </c>
      <c r="AB45" s="30">
        <v>4186067</v>
      </c>
      <c r="AC45" s="30">
        <v>139711</v>
      </c>
      <c r="AD45" s="30">
        <v>0</v>
      </c>
      <c r="AE45" s="30">
        <v>0</v>
      </c>
      <c r="AF45" s="30">
        <f t="shared" si="11"/>
        <v>4186067</v>
      </c>
      <c r="AG45" s="30">
        <f t="shared" si="8"/>
        <v>139711</v>
      </c>
      <c r="AH45" s="30">
        <v>22415449</v>
      </c>
      <c r="AI45" s="30">
        <v>197862</v>
      </c>
      <c r="AJ45" s="30"/>
      <c r="AK45" s="30"/>
      <c r="AL45" s="30">
        <f t="shared" si="15"/>
        <v>22415449</v>
      </c>
      <c r="AM45" s="30">
        <f t="shared" si="15"/>
        <v>197862</v>
      </c>
    </row>
    <row r="46" spans="1:39" s="1" customFormat="1" ht="8.25" customHeight="1">
      <c r="A46" s="28"/>
      <c r="B46" s="43"/>
      <c r="C46" s="4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65"/>
      <c r="T46" s="28"/>
      <c r="U46" s="43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</row>
    <row r="47" spans="1:39" s="35" customFormat="1" ht="15.75" customHeight="1">
      <c r="A47" s="66" t="s">
        <v>50</v>
      </c>
      <c r="B47" s="54" t="s">
        <v>51</v>
      </c>
      <c r="C47" s="39"/>
      <c r="D47" s="32">
        <v>216257351</v>
      </c>
      <c r="E47" s="32">
        <v>185003766</v>
      </c>
      <c r="F47" s="32">
        <v>47044499</v>
      </c>
      <c r="G47" s="32">
        <v>5975294</v>
      </c>
      <c r="H47" s="32">
        <v>46630396</v>
      </c>
      <c r="I47" s="32">
        <v>2304641</v>
      </c>
      <c r="J47" s="32">
        <v>14519350</v>
      </c>
      <c r="K47" s="32"/>
      <c r="L47" s="32">
        <v>164927529</v>
      </c>
      <c r="M47" s="32">
        <v>92474117</v>
      </c>
      <c r="N47" s="32">
        <v>1298955</v>
      </c>
      <c r="O47" s="32">
        <v>12044214</v>
      </c>
      <c r="P47" s="32">
        <v>85333</v>
      </c>
      <c r="Q47" s="32">
        <v>3544775</v>
      </c>
      <c r="R47" s="32">
        <v>10412014</v>
      </c>
      <c r="S47" s="67" t="s">
        <v>50</v>
      </c>
      <c r="T47" s="34"/>
      <c r="U47" s="54" t="s">
        <v>51</v>
      </c>
      <c r="V47" s="32">
        <f>SUM(V49:V58)</f>
        <v>47329047</v>
      </c>
      <c r="W47" s="32">
        <f>SUM(W49:W58)</f>
        <v>5794917</v>
      </c>
      <c r="X47" s="32">
        <f>SUM(X49:X58)</f>
        <v>12914</v>
      </c>
      <c r="Y47" s="32">
        <f>SUM(Y49:Y58)</f>
        <v>284443</v>
      </c>
      <c r="Z47" s="30">
        <f t="shared" si="10"/>
        <v>47341961</v>
      </c>
      <c r="AA47" s="30">
        <f t="shared" si="7"/>
        <v>6079360</v>
      </c>
      <c r="AB47" s="32">
        <f>SUM(AB49:AB58)</f>
        <v>46618276</v>
      </c>
      <c r="AC47" s="32">
        <f>SUM(AC49:AC58)</f>
        <v>2266043</v>
      </c>
      <c r="AD47" s="32">
        <f>SUM(AD49:AD58)</f>
        <v>4094</v>
      </c>
      <c r="AE47" s="32">
        <f>SUM(AE49:AE58)</f>
        <v>41855</v>
      </c>
      <c r="AF47" s="30">
        <f>AB47+AD47</f>
        <v>46622370</v>
      </c>
      <c r="AG47" s="30">
        <f t="shared" si="8"/>
        <v>2307898</v>
      </c>
      <c r="AH47" s="32">
        <f>SUM(AH49:AH58)</f>
        <v>92201707</v>
      </c>
      <c r="AI47" s="32">
        <f>SUM(AI49:AI58)</f>
        <v>1292746</v>
      </c>
      <c r="AJ47" s="32">
        <f>SUM(AJ49:AJ58)</f>
        <v>12476</v>
      </c>
      <c r="AK47" s="32">
        <f>SUM(AK49:AK58)</f>
        <v>4200</v>
      </c>
      <c r="AL47" s="30">
        <f aca="true" t="shared" si="16" ref="AL47:AM53">AH47+AJ47</f>
        <v>92214183</v>
      </c>
      <c r="AM47" s="30">
        <f t="shared" si="16"/>
        <v>1296946</v>
      </c>
    </row>
    <row r="48" spans="1:39" s="1" customFormat="1" ht="8.25" customHeight="1">
      <c r="A48" s="68"/>
      <c r="B48" s="61"/>
      <c r="C48" s="62"/>
      <c r="D48" s="63"/>
      <c r="E48" s="63"/>
      <c r="F48" s="63"/>
      <c r="G48" s="63"/>
      <c r="H48" s="63"/>
      <c r="I48" s="63"/>
      <c r="J48" s="63"/>
      <c r="K48" s="70"/>
      <c r="L48" s="63"/>
      <c r="M48" s="63"/>
      <c r="N48" s="63"/>
      <c r="O48" s="63"/>
      <c r="P48" s="63"/>
      <c r="Q48" s="63"/>
      <c r="R48" s="63"/>
      <c r="S48" s="69"/>
      <c r="T48" s="28"/>
      <c r="U48" s="61"/>
      <c r="V48" s="63"/>
      <c r="W48" s="63"/>
      <c r="X48" s="63"/>
      <c r="Y48" s="63"/>
      <c r="Z48" s="30"/>
      <c r="AA48" s="30"/>
      <c r="AB48" s="63"/>
      <c r="AC48" s="63"/>
      <c r="AD48" s="63"/>
      <c r="AE48" s="63"/>
      <c r="AF48" s="30">
        <f t="shared" si="11"/>
        <v>0</v>
      </c>
      <c r="AG48" s="30">
        <f t="shared" si="8"/>
        <v>0</v>
      </c>
      <c r="AH48" s="63"/>
      <c r="AI48" s="63"/>
      <c r="AJ48" s="63"/>
      <c r="AK48" s="63"/>
      <c r="AL48" s="30">
        <f t="shared" si="16"/>
        <v>0</v>
      </c>
      <c r="AM48" s="30">
        <f t="shared" si="16"/>
        <v>0</v>
      </c>
    </row>
    <row r="49" spans="1:39" s="1" customFormat="1" ht="15.75" customHeight="1">
      <c r="A49" s="28">
        <v>19</v>
      </c>
      <c r="B49" s="43" t="s">
        <v>52</v>
      </c>
      <c r="C49" s="41"/>
      <c r="D49" s="30">
        <v>8441034</v>
      </c>
      <c r="E49" s="30">
        <v>29555712</v>
      </c>
      <c r="F49" s="30">
        <v>2979008</v>
      </c>
      <c r="G49" s="30">
        <v>396850</v>
      </c>
      <c r="H49" s="30">
        <v>2702126</v>
      </c>
      <c r="I49" s="30">
        <v>123556</v>
      </c>
      <c r="J49" s="30">
        <v>1473069</v>
      </c>
      <c r="K49" s="30"/>
      <c r="L49" s="30">
        <v>26573495</v>
      </c>
      <c r="M49" s="30">
        <v>1022895</v>
      </c>
      <c r="N49" s="30">
        <v>15651</v>
      </c>
      <c r="O49" s="30">
        <v>109574</v>
      </c>
      <c r="P49" s="30">
        <v>1037</v>
      </c>
      <c r="Q49" s="30">
        <v>154362</v>
      </c>
      <c r="R49" s="30">
        <v>2445123</v>
      </c>
      <c r="S49" s="65">
        <v>19</v>
      </c>
      <c r="T49" s="28"/>
      <c r="U49" s="43" t="s">
        <v>52</v>
      </c>
      <c r="V49" s="30">
        <v>2989335</v>
      </c>
      <c r="W49" s="30">
        <v>398191</v>
      </c>
      <c r="X49" s="30">
        <v>0</v>
      </c>
      <c r="Y49" s="30">
        <v>0</v>
      </c>
      <c r="Z49" s="30">
        <f t="shared" si="10"/>
        <v>2989335</v>
      </c>
      <c r="AA49" s="30">
        <f t="shared" si="7"/>
        <v>398191</v>
      </c>
      <c r="AB49" s="30">
        <v>2705046</v>
      </c>
      <c r="AC49" s="30">
        <v>123729</v>
      </c>
      <c r="AD49" s="30">
        <v>0</v>
      </c>
      <c r="AE49" s="30">
        <v>0</v>
      </c>
      <c r="AF49" s="30">
        <f t="shared" si="11"/>
        <v>2705046</v>
      </c>
      <c r="AG49" s="30">
        <f t="shared" si="8"/>
        <v>123729</v>
      </c>
      <c r="AH49" s="30">
        <v>1022615</v>
      </c>
      <c r="AI49" s="30">
        <v>15644</v>
      </c>
      <c r="AJ49" s="30"/>
      <c r="AK49" s="30"/>
      <c r="AL49" s="30">
        <f t="shared" si="16"/>
        <v>1022615</v>
      </c>
      <c r="AM49" s="30">
        <f t="shared" si="16"/>
        <v>15644</v>
      </c>
    </row>
    <row r="50" spans="1:39" s="1" customFormat="1" ht="15.75" customHeight="1">
      <c r="A50" s="28">
        <v>20</v>
      </c>
      <c r="B50" s="43" t="s">
        <v>53</v>
      </c>
      <c r="C50" s="41"/>
      <c r="D50" s="30">
        <v>11821325</v>
      </c>
      <c r="E50" s="30">
        <v>5351465</v>
      </c>
      <c r="F50" s="30">
        <v>772475</v>
      </c>
      <c r="G50" s="30">
        <v>87552</v>
      </c>
      <c r="H50" s="30">
        <v>2268512</v>
      </c>
      <c r="I50" s="30">
        <v>96744</v>
      </c>
      <c r="J50" s="30">
        <v>546165</v>
      </c>
      <c r="K50" s="30"/>
      <c r="L50" s="30">
        <v>4869389</v>
      </c>
      <c r="M50" s="30">
        <v>6830094</v>
      </c>
      <c r="N50" s="30">
        <v>77592</v>
      </c>
      <c r="O50" s="30">
        <v>1201841</v>
      </c>
      <c r="P50" s="30">
        <v>6724</v>
      </c>
      <c r="Q50" s="30">
        <v>202238</v>
      </c>
      <c r="R50" s="30">
        <v>213464</v>
      </c>
      <c r="S50" s="65">
        <v>20</v>
      </c>
      <c r="T50" s="28"/>
      <c r="U50" s="43" t="s">
        <v>53</v>
      </c>
      <c r="V50" s="30">
        <v>774555</v>
      </c>
      <c r="W50" s="30">
        <v>87772</v>
      </c>
      <c r="X50" s="30">
        <v>0</v>
      </c>
      <c r="Y50" s="30">
        <v>0</v>
      </c>
      <c r="Z50" s="30">
        <f t="shared" si="10"/>
        <v>774555</v>
      </c>
      <c r="AA50" s="30">
        <f t="shared" si="7"/>
        <v>87772</v>
      </c>
      <c r="AB50" s="30">
        <v>2271510</v>
      </c>
      <c r="AC50" s="30">
        <v>96694</v>
      </c>
      <c r="AD50" s="30">
        <v>0</v>
      </c>
      <c r="AE50" s="30">
        <v>0</v>
      </c>
      <c r="AF50" s="30">
        <f t="shared" si="11"/>
        <v>2271510</v>
      </c>
      <c r="AG50" s="30">
        <f t="shared" si="8"/>
        <v>96694</v>
      </c>
      <c r="AH50" s="30">
        <v>6830673</v>
      </c>
      <c r="AI50" s="30">
        <v>77598</v>
      </c>
      <c r="AJ50" s="30"/>
      <c r="AK50" s="30"/>
      <c r="AL50" s="30">
        <f t="shared" si="16"/>
        <v>6830673</v>
      </c>
      <c r="AM50" s="30">
        <f t="shared" si="16"/>
        <v>77598</v>
      </c>
    </row>
    <row r="51" spans="1:39" s="1" customFormat="1" ht="15.75" customHeight="1">
      <c r="A51" s="28">
        <v>21</v>
      </c>
      <c r="B51" s="43" t="s">
        <v>54</v>
      </c>
      <c r="C51" s="41"/>
      <c r="D51" s="30">
        <v>21261493</v>
      </c>
      <c r="E51" s="30">
        <v>13888879</v>
      </c>
      <c r="F51" s="30">
        <v>4407065</v>
      </c>
      <c r="G51" s="30">
        <v>553766</v>
      </c>
      <c r="H51" s="30">
        <v>4623115</v>
      </c>
      <c r="I51" s="30">
        <v>220924</v>
      </c>
      <c r="J51" s="30">
        <v>1141386</v>
      </c>
      <c r="K51" s="30"/>
      <c r="L51" s="30">
        <v>11077076</v>
      </c>
      <c r="M51" s="30">
        <v>8901634</v>
      </c>
      <c r="N51" s="30">
        <v>114441</v>
      </c>
      <c r="O51" s="30">
        <v>1853129</v>
      </c>
      <c r="P51" s="30">
        <v>5834</v>
      </c>
      <c r="Q51" s="30">
        <v>335164</v>
      </c>
      <c r="R51" s="30">
        <v>1916838</v>
      </c>
      <c r="S51" s="65">
        <v>21</v>
      </c>
      <c r="T51" s="28"/>
      <c r="U51" s="43" t="s">
        <v>54</v>
      </c>
      <c r="V51" s="30">
        <v>4462670</v>
      </c>
      <c r="W51" s="30">
        <v>560933</v>
      </c>
      <c r="X51" s="30">
        <v>0</v>
      </c>
      <c r="Y51" s="30">
        <v>0</v>
      </c>
      <c r="Z51" s="30">
        <f t="shared" si="10"/>
        <v>4462670</v>
      </c>
      <c r="AA51" s="30">
        <f t="shared" si="7"/>
        <v>560933</v>
      </c>
      <c r="AB51" s="30">
        <v>4623133</v>
      </c>
      <c r="AC51" s="30">
        <v>220893</v>
      </c>
      <c r="AD51" s="30">
        <v>0</v>
      </c>
      <c r="AE51" s="30">
        <v>0</v>
      </c>
      <c r="AF51" s="30">
        <f t="shared" si="11"/>
        <v>4623133</v>
      </c>
      <c r="AG51" s="30">
        <f t="shared" si="8"/>
        <v>220893</v>
      </c>
      <c r="AH51" s="30">
        <v>8952249</v>
      </c>
      <c r="AI51" s="30">
        <v>114633</v>
      </c>
      <c r="AJ51" s="30"/>
      <c r="AK51" s="30"/>
      <c r="AL51" s="30">
        <f t="shared" si="16"/>
        <v>8952249</v>
      </c>
      <c r="AM51" s="30">
        <f t="shared" si="16"/>
        <v>114633</v>
      </c>
    </row>
    <row r="52" spans="1:39" s="1" customFormat="1" ht="15.75" customHeight="1">
      <c r="A52" s="28">
        <v>22</v>
      </c>
      <c r="B52" s="43" t="s">
        <v>55</v>
      </c>
      <c r="C52" s="41"/>
      <c r="D52" s="30">
        <v>45697917</v>
      </c>
      <c r="E52" s="30">
        <v>19788130</v>
      </c>
      <c r="F52" s="30">
        <v>6973760</v>
      </c>
      <c r="G52" s="30">
        <v>750263</v>
      </c>
      <c r="H52" s="30">
        <v>1898530</v>
      </c>
      <c r="I52" s="30">
        <v>75277</v>
      </c>
      <c r="J52" s="30">
        <v>1424393</v>
      </c>
      <c r="K52" s="30"/>
      <c r="L52" s="30">
        <v>16246973</v>
      </c>
      <c r="M52" s="30">
        <v>30039646</v>
      </c>
      <c r="N52" s="30">
        <v>402353</v>
      </c>
      <c r="O52" s="30">
        <v>4195285</v>
      </c>
      <c r="P52" s="30">
        <v>36599</v>
      </c>
      <c r="Q52" s="30">
        <v>1166303</v>
      </c>
      <c r="R52" s="30">
        <v>2276665</v>
      </c>
      <c r="S52" s="65">
        <v>22</v>
      </c>
      <c r="T52" s="28"/>
      <c r="U52" s="43" t="s">
        <v>55</v>
      </c>
      <c r="V52" s="30">
        <v>7032328</v>
      </c>
      <c r="W52" s="30">
        <v>756855</v>
      </c>
      <c r="X52" s="30">
        <v>0</v>
      </c>
      <c r="Y52" s="30">
        <v>0</v>
      </c>
      <c r="Z52" s="30">
        <f t="shared" si="10"/>
        <v>7032328</v>
      </c>
      <c r="AA52" s="30">
        <f t="shared" si="7"/>
        <v>756855</v>
      </c>
      <c r="AB52" s="30">
        <v>1896875</v>
      </c>
      <c r="AC52" s="30">
        <v>74905</v>
      </c>
      <c r="AD52" s="30">
        <v>0</v>
      </c>
      <c r="AE52" s="30">
        <v>0</v>
      </c>
      <c r="AF52" s="30">
        <f t="shared" si="11"/>
        <v>1896875</v>
      </c>
      <c r="AG52" s="30">
        <f t="shared" si="8"/>
        <v>74905</v>
      </c>
      <c r="AH52" s="30">
        <v>29737141</v>
      </c>
      <c r="AI52" s="30">
        <v>400220</v>
      </c>
      <c r="AJ52" s="30"/>
      <c r="AK52" s="30"/>
      <c r="AL52" s="30">
        <f t="shared" si="16"/>
        <v>29737141</v>
      </c>
      <c r="AM52" s="30">
        <f t="shared" si="16"/>
        <v>400220</v>
      </c>
    </row>
    <row r="53" spans="1:39" s="1" customFormat="1" ht="15.75" customHeight="1">
      <c r="A53" s="28">
        <v>23</v>
      </c>
      <c r="B53" s="43" t="s">
        <v>56</v>
      </c>
      <c r="C53" s="41"/>
      <c r="D53" s="30">
        <v>24282690</v>
      </c>
      <c r="E53" s="30">
        <v>7509690</v>
      </c>
      <c r="F53" s="30">
        <v>6919546</v>
      </c>
      <c r="G53" s="30">
        <v>720334</v>
      </c>
      <c r="H53" s="30">
        <v>2198755</v>
      </c>
      <c r="I53" s="30">
        <v>67455</v>
      </c>
      <c r="J53" s="30">
        <v>1134079</v>
      </c>
      <c r="K53" s="30"/>
      <c r="L53" s="30">
        <v>6116133</v>
      </c>
      <c r="M53" s="30">
        <f>11994296+12476</f>
        <v>12006772</v>
      </c>
      <c r="N53" s="30">
        <f>126206+4200</f>
        <v>130406</v>
      </c>
      <c r="O53" s="30">
        <v>1753830</v>
      </c>
      <c r="P53" s="30">
        <v>8729</v>
      </c>
      <c r="Q53" s="30">
        <v>269708</v>
      </c>
      <c r="R53" s="30">
        <v>466633</v>
      </c>
      <c r="S53" s="65">
        <v>23</v>
      </c>
      <c r="T53" s="28"/>
      <c r="U53" s="43" t="s">
        <v>56</v>
      </c>
      <c r="V53" s="30">
        <v>6936746</v>
      </c>
      <c r="W53" s="30">
        <v>721552</v>
      </c>
      <c r="X53" s="30">
        <v>523</v>
      </c>
      <c r="Y53" s="30">
        <v>851</v>
      </c>
      <c r="Z53" s="30">
        <f t="shared" si="10"/>
        <v>6937269</v>
      </c>
      <c r="AA53" s="30">
        <f t="shared" si="7"/>
        <v>722403</v>
      </c>
      <c r="AB53" s="30">
        <v>2219225</v>
      </c>
      <c r="AC53" s="30">
        <v>68067</v>
      </c>
      <c r="AD53" s="30">
        <v>0</v>
      </c>
      <c r="AE53" s="30">
        <v>0</v>
      </c>
      <c r="AF53" s="30">
        <f t="shared" si="11"/>
        <v>2219225</v>
      </c>
      <c r="AG53" s="30">
        <f t="shared" si="8"/>
        <v>68067</v>
      </c>
      <c r="AH53" s="30">
        <v>11958366</v>
      </c>
      <c r="AI53" s="30">
        <v>125648</v>
      </c>
      <c r="AJ53" s="30">
        <v>12476</v>
      </c>
      <c r="AK53" s="30">
        <v>4200</v>
      </c>
      <c r="AL53" s="30">
        <f t="shared" si="16"/>
        <v>11970842</v>
      </c>
      <c r="AM53" s="30">
        <f t="shared" si="16"/>
        <v>129848</v>
      </c>
    </row>
    <row r="54" spans="1:39" s="1" customFormat="1" ht="9.75" customHeight="1">
      <c r="A54" s="28"/>
      <c r="B54" s="43"/>
      <c r="C54" s="41"/>
      <c r="D54" s="30"/>
      <c r="E54" s="30"/>
      <c r="F54" s="30"/>
      <c r="H54" s="30"/>
      <c r="I54" s="30"/>
      <c r="J54" s="30"/>
      <c r="K54" s="30"/>
      <c r="L54" s="30"/>
      <c r="M54" s="30"/>
      <c r="N54" s="30"/>
      <c r="P54" s="30"/>
      <c r="Q54" s="30"/>
      <c r="R54" s="30"/>
      <c r="S54" s="65"/>
      <c r="T54" s="28"/>
      <c r="U54" s="43"/>
      <c r="V54" s="30"/>
      <c r="W54" s="30"/>
      <c r="X54" s="30"/>
      <c r="Y54" s="30"/>
      <c r="Z54" s="30">
        <f t="shared" si="10"/>
        <v>0</v>
      </c>
      <c r="AA54" s="30">
        <f t="shared" si="7"/>
        <v>0</v>
      </c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</row>
    <row r="55" spans="1:39" s="1" customFormat="1" ht="15.75" customHeight="1">
      <c r="A55" s="28">
        <v>24</v>
      </c>
      <c r="B55" s="43" t="s">
        <v>57</v>
      </c>
      <c r="C55" s="41"/>
      <c r="D55" s="30">
        <v>15352660</v>
      </c>
      <c r="E55" s="30">
        <v>22701965</v>
      </c>
      <c r="F55" s="30">
        <f>4222936+1265</f>
        <v>4224201</v>
      </c>
      <c r="G55" s="30">
        <f>523804+25254</f>
        <v>549058</v>
      </c>
      <c r="H55" s="30">
        <v>5653760</v>
      </c>
      <c r="I55" s="30">
        <v>384113</v>
      </c>
      <c r="J55" s="30">
        <v>1775675</v>
      </c>
      <c r="K55" s="30"/>
      <c r="L55" s="30">
        <v>20611488</v>
      </c>
      <c r="M55" s="30">
        <v>2862862</v>
      </c>
      <c r="N55" s="30">
        <v>49992</v>
      </c>
      <c r="O55" s="30">
        <v>461551</v>
      </c>
      <c r="P55" s="30">
        <v>3563</v>
      </c>
      <c r="Q55" s="30">
        <v>374611</v>
      </c>
      <c r="R55" s="30">
        <v>1103751</v>
      </c>
      <c r="S55" s="65">
        <v>24</v>
      </c>
      <c r="T55" s="28"/>
      <c r="U55" s="43" t="s">
        <v>57</v>
      </c>
      <c r="V55" s="30">
        <v>4270162</v>
      </c>
      <c r="W55" s="30">
        <v>529723</v>
      </c>
      <c r="X55" s="30">
        <v>1265</v>
      </c>
      <c r="Y55" s="30">
        <v>25254</v>
      </c>
      <c r="Z55" s="30">
        <f t="shared" si="10"/>
        <v>4271427</v>
      </c>
      <c r="AA55" s="30">
        <f t="shared" si="7"/>
        <v>554977</v>
      </c>
      <c r="AB55" s="30">
        <v>5645480</v>
      </c>
      <c r="AC55" s="30">
        <v>383189</v>
      </c>
      <c r="AD55" s="30">
        <v>0</v>
      </c>
      <c r="AE55" s="30">
        <v>0</v>
      </c>
      <c r="AF55" s="30">
        <f t="shared" si="11"/>
        <v>5645480</v>
      </c>
      <c r="AG55" s="30">
        <f t="shared" si="8"/>
        <v>383189</v>
      </c>
      <c r="AH55" s="30">
        <v>2871767</v>
      </c>
      <c r="AI55" s="30">
        <v>50165</v>
      </c>
      <c r="AJ55" s="30"/>
      <c r="AK55" s="30"/>
      <c r="AL55" s="30">
        <f aca="true" t="shared" si="17" ref="AL55:AM58">AH55+AJ55</f>
        <v>2871767</v>
      </c>
      <c r="AM55" s="30">
        <f t="shared" si="17"/>
        <v>50165</v>
      </c>
    </row>
    <row r="56" spans="1:39" s="1" customFormat="1" ht="15.75" customHeight="1">
      <c r="A56" s="28">
        <v>25</v>
      </c>
      <c r="B56" s="43" t="s">
        <v>58</v>
      </c>
      <c r="C56" s="41"/>
      <c r="D56" s="30">
        <v>27787180</v>
      </c>
      <c r="E56" s="30">
        <v>22028405</v>
      </c>
      <c r="F56" s="30">
        <v>5298436</v>
      </c>
      <c r="G56" s="30">
        <f>751135</f>
        <v>751135</v>
      </c>
      <c r="H56" s="30">
        <v>11242757</v>
      </c>
      <c r="I56" s="30">
        <v>614796</v>
      </c>
      <c r="J56" s="30">
        <v>2267490</v>
      </c>
      <c r="K56" s="30"/>
      <c r="L56" s="30">
        <v>19547130</v>
      </c>
      <c r="M56" s="30">
        <v>7914292</v>
      </c>
      <c r="N56" s="30">
        <v>131409</v>
      </c>
      <c r="O56" s="30">
        <v>638957</v>
      </c>
      <c r="P56" s="30">
        <v>6125</v>
      </c>
      <c r="Q56" s="30">
        <v>425248</v>
      </c>
      <c r="R56" s="30">
        <v>977810</v>
      </c>
      <c r="S56" s="65">
        <v>25</v>
      </c>
      <c r="T56" s="28"/>
      <c r="U56" s="43" t="s">
        <v>58</v>
      </c>
      <c r="V56" s="30">
        <v>5319905</v>
      </c>
      <c r="W56" s="30">
        <v>754099</v>
      </c>
      <c r="X56" s="30">
        <v>0</v>
      </c>
      <c r="Y56" s="30">
        <v>0</v>
      </c>
      <c r="Z56" s="30">
        <f t="shared" si="10"/>
        <v>5319905</v>
      </c>
      <c r="AA56" s="30">
        <f t="shared" si="7"/>
        <v>754099</v>
      </c>
      <c r="AB56" s="30">
        <v>11092746</v>
      </c>
      <c r="AC56" s="30">
        <v>611534</v>
      </c>
      <c r="AD56" s="30">
        <v>0</v>
      </c>
      <c r="AE56" s="30">
        <v>0</v>
      </c>
      <c r="AF56" s="30">
        <f t="shared" si="11"/>
        <v>11092746</v>
      </c>
      <c r="AG56" s="30">
        <f t="shared" si="8"/>
        <v>611534</v>
      </c>
      <c r="AH56" s="30">
        <v>7897790</v>
      </c>
      <c r="AI56" s="30">
        <v>131085</v>
      </c>
      <c r="AJ56" s="30"/>
      <c r="AK56" s="30"/>
      <c r="AL56" s="30">
        <f t="shared" si="17"/>
        <v>7897790</v>
      </c>
      <c r="AM56" s="30">
        <f t="shared" si="17"/>
        <v>131085</v>
      </c>
    </row>
    <row r="57" spans="1:39" s="1" customFormat="1" ht="15.75" customHeight="1">
      <c r="A57" s="28">
        <v>26</v>
      </c>
      <c r="B57" s="43" t="s">
        <v>59</v>
      </c>
      <c r="C57" s="41"/>
      <c r="D57" s="30">
        <v>39885582</v>
      </c>
      <c r="E57" s="30">
        <v>47485331</v>
      </c>
      <c r="F57" s="30">
        <f>10081104+10526</f>
        <v>10091630</v>
      </c>
      <c r="G57" s="30">
        <f>1298524+197252</f>
        <v>1495776</v>
      </c>
      <c r="H57" s="30">
        <f>11247313+2294</f>
        <v>11249607</v>
      </c>
      <c r="I57" s="30">
        <f>454947+23875</f>
        <v>478822</v>
      </c>
      <c r="J57" s="30">
        <v>3359872</v>
      </c>
      <c r="K57" s="30"/>
      <c r="L57" s="30">
        <v>44926923</v>
      </c>
      <c r="M57" s="30">
        <v>13496990</v>
      </c>
      <c r="N57" s="30">
        <v>194219</v>
      </c>
      <c r="O57" s="30">
        <v>1336931</v>
      </c>
      <c r="P57" s="30">
        <v>10262</v>
      </c>
      <c r="Q57" s="30">
        <v>350552</v>
      </c>
      <c r="R57" s="30">
        <v>379329</v>
      </c>
      <c r="S57" s="71">
        <v>26</v>
      </c>
      <c r="T57" s="28"/>
      <c r="U57" s="43" t="s">
        <v>59</v>
      </c>
      <c r="V57" s="30">
        <v>10095904</v>
      </c>
      <c r="W57" s="30">
        <v>1308455</v>
      </c>
      <c r="X57" s="30">
        <v>10526</v>
      </c>
      <c r="Y57" s="30">
        <v>256159</v>
      </c>
      <c r="Z57" s="30">
        <f t="shared" si="10"/>
        <v>10106430</v>
      </c>
      <c r="AA57" s="30">
        <f t="shared" si="7"/>
        <v>1564614</v>
      </c>
      <c r="AB57" s="30">
        <v>11304175</v>
      </c>
      <c r="AC57" s="30">
        <v>457609</v>
      </c>
      <c r="AD57" s="30">
        <v>2437</v>
      </c>
      <c r="AE57" s="30">
        <v>25006</v>
      </c>
      <c r="AF57" s="30">
        <f t="shared" si="11"/>
        <v>11306612</v>
      </c>
      <c r="AG57" s="30">
        <f t="shared" si="8"/>
        <v>482615</v>
      </c>
      <c r="AH57" s="30">
        <v>13505961</v>
      </c>
      <c r="AI57" s="30">
        <v>194372</v>
      </c>
      <c r="AJ57" s="30"/>
      <c r="AK57" s="30"/>
      <c r="AL57" s="30">
        <f t="shared" si="17"/>
        <v>13505961</v>
      </c>
      <c r="AM57" s="30">
        <f t="shared" si="17"/>
        <v>194372</v>
      </c>
    </row>
    <row r="58" spans="1:39" s="1" customFormat="1" ht="15.75" customHeight="1">
      <c r="A58" s="28">
        <v>27</v>
      </c>
      <c r="B58" s="43" t="s">
        <v>60</v>
      </c>
      <c r="C58" s="41"/>
      <c r="D58" s="30">
        <v>21727470</v>
      </c>
      <c r="E58" s="30">
        <v>16694189</v>
      </c>
      <c r="F58" s="30">
        <f>5377778+600</f>
        <v>5378378</v>
      </c>
      <c r="G58" s="30">
        <f>668415+2145</f>
        <v>670560</v>
      </c>
      <c r="H58" s="30">
        <f>4791577+1657</f>
        <v>4793234</v>
      </c>
      <c r="I58" s="30">
        <f>225701+17253</f>
        <v>242954</v>
      </c>
      <c r="J58" s="30">
        <v>1397221</v>
      </c>
      <c r="K58" s="30"/>
      <c r="L58" s="30">
        <v>14958922</v>
      </c>
      <c r="M58" s="30">
        <v>9398932</v>
      </c>
      <c r="N58" s="30">
        <v>182892</v>
      </c>
      <c r="O58" s="30">
        <v>493116</v>
      </c>
      <c r="P58" s="30">
        <v>6460</v>
      </c>
      <c r="Q58" s="30">
        <v>266589</v>
      </c>
      <c r="R58" s="30">
        <v>632401</v>
      </c>
      <c r="S58" s="71">
        <v>27</v>
      </c>
      <c r="T58" s="28"/>
      <c r="U58" s="43" t="s">
        <v>60</v>
      </c>
      <c r="V58" s="30">
        <v>5447442</v>
      </c>
      <c r="W58" s="30">
        <v>677337</v>
      </c>
      <c r="X58" s="30">
        <v>600</v>
      </c>
      <c r="Y58" s="30">
        <v>2179</v>
      </c>
      <c r="Z58" s="30">
        <f t="shared" si="10"/>
        <v>5448042</v>
      </c>
      <c r="AA58" s="30">
        <f t="shared" si="7"/>
        <v>679516</v>
      </c>
      <c r="AB58" s="30">
        <v>4860086</v>
      </c>
      <c r="AC58" s="30">
        <v>229423</v>
      </c>
      <c r="AD58" s="30">
        <v>1657</v>
      </c>
      <c r="AE58" s="30">
        <v>16849</v>
      </c>
      <c r="AF58" s="30">
        <f t="shared" si="11"/>
        <v>4861743</v>
      </c>
      <c r="AG58" s="30">
        <f t="shared" si="8"/>
        <v>246272</v>
      </c>
      <c r="AH58" s="30">
        <v>9425145</v>
      </c>
      <c r="AI58" s="30">
        <v>183381</v>
      </c>
      <c r="AJ58" s="30"/>
      <c r="AK58" s="30"/>
      <c r="AL58" s="30">
        <f t="shared" si="17"/>
        <v>9425145</v>
      </c>
      <c r="AM58" s="30">
        <f t="shared" si="17"/>
        <v>183381</v>
      </c>
    </row>
    <row r="59" spans="1:39" s="1" customFormat="1" ht="8.25" customHeight="1">
      <c r="A59" s="28"/>
      <c r="B59" s="43"/>
      <c r="C59" s="41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71"/>
      <c r="T59" s="28"/>
      <c r="U59" s="43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</row>
    <row r="60" spans="1:39" s="35" customFormat="1" ht="15.75" customHeight="1">
      <c r="A60" s="66" t="s">
        <v>61</v>
      </c>
      <c r="B60" s="54" t="s">
        <v>62</v>
      </c>
      <c r="C60" s="39"/>
      <c r="D60" s="32">
        <v>214133814</v>
      </c>
      <c r="E60" s="32">
        <v>154334329</v>
      </c>
      <c r="F60" s="32">
        <v>45975384</v>
      </c>
      <c r="G60" s="32">
        <v>6967193</v>
      </c>
      <c r="H60" s="32">
        <v>32211494</v>
      </c>
      <c r="I60" s="32">
        <v>1705546</v>
      </c>
      <c r="J60" s="32">
        <v>12698398</v>
      </c>
      <c r="K60" s="32"/>
      <c r="L60" s="32">
        <v>131855773</v>
      </c>
      <c r="M60" s="32">
        <v>98292329</v>
      </c>
      <c r="N60" s="32">
        <v>1361117</v>
      </c>
      <c r="O60" s="32">
        <v>18398201</v>
      </c>
      <c r="P60" s="32">
        <v>195991</v>
      </c>
      <c r="Q60" s="32">
        <v>6558008</v>
      </c>
      <c r="R60" s="32">
        <v>12248709</v>
      </c>
      <c r="S60" s="72" t="s">
        <v>61</v>
      </c>
      <c r="T60" s="34"/>
      <c r="U60" s="54" t="s">
        <v>62</v>
      </c>
      <c r="V60" s="32">
        <f>SUM(V62:V70)</f>
        <v>45978880</v>
      </c>
      <c r="W60" s="32">
        <f>SUM(W62:W70)</f>
        <v>5463353</v>
      </c>
      <c r="X60" s="32">
        <f>SUM(X62:X70)</f>
        <v>102226</v>
      </c>
      <c r="Y60" s="32">
        <f>SUM(Y62:Y70)</f>
        <v>1469935</v>
      </c>
      <c r="Z60" s="30">
        <f t="shared" si="10"/>
        <v>46081106</v>
      </c>
      <c r="AA60" s="30">
        <f t="shared" si="7"/>
        <v>6933288</v>
      </c>
      <c r="AB60" s="32">
        <f>SUM(AB62:AB70)</f>
        <v>32294615</v>
      </c>
      <c r="AC60" s="32">
        <f>SUM(AC62:AC70)</f>
        <v>1150139</v>
      </c>
      <c r="AD60" s="32">
        <f>SUM(AD62:AD70)</f>
        <v>36073</v>
      </c>
      <c r="AE60" s="32">
        <f>SUM(AE62:AE70)</f>
        <v>540515</v>
      </c>
      <c r="AF60" s="30">
        <f t="shared" si="11"/>
        <v>32330688</v>
      </c>
      <c r="AG60" s="30">
        <f t="shared" si="8"/>
        <v>1690654</v>
      </c>
      <c r="AH60" s="32">
        <f>SUM(AH62:AH70)</f>
        <v>98387298</v>
      </c>
      <c r="AI60" s="32">
        <f>SUM(AI62:AI70)</f>
        <v>1362728</v>
      </c>
      <c r="AJ60" s="32">
        <f>SUM(AJ62:AJ70)</f>
        <v>0</v>
      </c>
      <c r="AK60" s="32">
        <f>SUM(AK62:AK70)</f>
        <v>0</v>
      </c>
      <c r="AL60" s="30">
        <f>AH60+AJ60</f>
        <v>98387298</v>
      </c>
      <c r="AM60" s="30">
        <f>AI60+AK60</f>
        <v>1362728</v>
      </c>
    </row>
    <row r="61" spans="1:39" s="1" customFormat="1" ht="7.5" customHeight="1">
      <c r="A61" s="68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73"/>
      <c r="T61" s="28"/>
      <c r="U61" s="61"/>
      <c r="V61" s="63"/>
      <c r="W61" s="63"/>
      <c r="X61" s="63"/>
      <c r="Y61" s="63"/>
      <c r="Z61" s="30"/>
      <c r="AA61" s="30"/>
      <c r="AB61" s="63"/>
      <c r="AC61" s="63"/>
      <c r="AD61" s="63"/>
      <c r="AE61" s="63"/>
      <c r="AF61" s="30"/>
      <c r="AG61" s="30"/>
      <c r="AH61" s="63"/>
      <c r="AI61" s="63"/>
      <c r="AJ61" s="63"/>
      <c r="AK61" s="63"/>
      <c r="AL61" s="30"/>
      <c r="AM61" s="30"/>
    </row>
    <row r="62" spans="1:39" s="1" customFormat="1" ht="15.75" customHeight="1">
      <c r="A62" s="28">
        <v>28</v>
      </c>
      <c r="B62" s="43" t="s">
        <v>63</v>
      </c>
      <c r="C62" s="41"/>
      <c r="D62" s="30">
        <v>45618733</v>
      </c>
      <c r="E62" s="30">
        <v>15430650</v>
      </c>
      <c r="F62" s="30">
        <f>7463117+2291</f>
        <v>7465408</v>
      </c>
      <c r="G62" s="30">
        <f>806170+14197</f>
        <v>820367</v>
      </c>
      <c r="H62" s="30">
        <f>1259380+891</f>
        <v>1260271</v>
      </c>
      <c r="I62" s="30">
        <f>50140+5483</f>
        <v>55623</v>
      </c>
      <c r="J62" s="30">
        <v>1585377</v>
      </c>
      <c r="K62" s="30"/>
      <c r="L62" s="30">
        <v>13997777</v>
      </c>
      <c r="M62" s="30">
        <v>29865213</v>
      </c>
      <c r="N62" s="30">
        <v>348589</v>
      </c>
      <c r="O62" s="30">
        <v>5286171</v>
      </c>
      <c r="P62" s="30">
        <v>24212</v>
      </c>
      <c r="Q62" s="30">
        <v>156293</v>
      </c>
      <c r="R62" s="30">
        <v>184082</v>
      </c>
      <c r="S62" s="71">
        <v>28</v>
      </c>
      <c r="T62" s="28"/>
      <c r="U62" s="43" t="s">
        <v>63</v>
      </c>
      <c r="V62" s="30">
        <v>7494048</v>
      </c>
      <c r="W62" s="30">
        <v>809508</v>
      </c>
      <c r="X62" s="30">
        <v>2291</v>
      </c>
      <c r="Y62" s="30">
        <v>14390</v>
      </c>
      <c r="Z62" s="30">
        <f t="shared" si="10"/>
        <v>7496339</v>
      </c>
      <c r="AA62" s="30">
        <f t="shared" si="7"/>
        <v>823898</v>
      </c>
      <c r="AB62" s="30">
        <v>1256861</v>
      </c>
      <c r="AC62" s="30">
        <v>49921</v>
      </c>
      <c r="AD62" s="30">
        <v>891</v>
      </c>
      <c r="AE62" s="30">
        <v>5640</v>
      </c>
      <c r="AF62" s="30">
        <f t="shared" si="11"/>
        <v>1257752</v>
      </c>
      <c r="AG62" s="30">
        <f t="shared" si="8"/>
        <v>55561</v>
      </c>
      <c r="AH62" s="30">
        <v>29882722</v>
      </c>
      <c r="AI62" s="30">
        <v>348785</v>
      </c>
      <c r="AJ62" s="30"/>
      <c r="AK62" s="30"/>
      <c r="AL62" s="30">
        <f aca="true" t="shared" si="18" ref="AL62:AM66">AH62+AJ62</f>
        <v>29882722</v>
      </c>
      <c r="AM62" s="30">
        <f t="shared" si="18"/>
        <v>348785</v>
      </c>
    </row>
    <row r="63" spans="1:39" s="1" customFormat="1" ht="15.75" customHeight="1">
      <c r="A63" s="28">
        <v>29</v>
      </c>
      <c r="B63" s="43" t="s">
        <v>64</v>
      </c>
      <c r="C63" s="41"/>
      <c r="D63" s="30">
        <v>21449560</v>
      </c>
      <c r="E63" s="30">
        <v>7874195</v>
      </c>
      <c r="F63" s="30">
        <f>3978601+1008</f>
        <v>3979609</v>
      </c>
      <c r="G63" s="30">
        <f>546707+6378</f>
        <v>553085</v>
      </c>
      <c r="H63" s="30">
        <f>2170933+1327</f>
        <v>2172260</v>
      </c>
      <c r="I63" s="30">
        <f>110954+6027</f>
        <v>116981</v>
      </c>
      <c r="J63" s="30">
        <v>794732</v>
      </c>
      <c r="K63" s="30"/>
      <c r="L63" s="30">
        <v>6471534</v>
      </c>
      <c r="M63" s="30">
        <v>13215052</v>
      </c>
      <c r="N63" s="30">
        <v>169298</v>
      </c>
      <c r="O63" s="30">
        <v>589463</v>
      </c>
      <c r="P63" s="30">
        <v>1528</v>
      </c>
      <c r="Q63" s="30">
        <v>698444</v>
      </c>
      <c r="R63" s="30">
        <v>561769</v>
      </c>
      <c r="S63" s="71">
        <v>29</v>
      </c>
      <c r="T63" s="28"/>
      <c r="U63" s="43" t="s">
        <v>64</v>
      </c>
      <c r="V63" s="30">
        <v>3985171</v>
      </c>
      <c r="W63" s="30">
        <v>547637</v>
      </c>
      <c r="X63" s="30">
        <v>1008</v>
      </c>
      <c r="Y63" s="30">
        <v>6509</v>
      </c>
      <c r="Z63" s="30">
        <f t="shared" si="10"/>
        <v>3986179</v>
      </c>
      <c r="AA63" s="30">
        <f t="shared" si="7"/>
        <v>554146</v>
      </c>
      <c r="AB63" s="30">
        <v>2171634</v>
      </c>
      <c r="AC63" s="30">
        <v>110966</v>
      </c>
      <c r="AD63" s="30">
        <v>1327</v>
      </c>
      <c r="AE63" s="30">
        <v>6084</v>
      </c>
      <c r="AF63" s="30">
        <f t="shared" si="11"/>
        <v>2172961</v>
      </c>
      <c r="AG63" s="30">
        <f t="shared" si="8"/>
        <v>117050</v>
      </c>
      <c r="AH63" s="30">
        <v>13218468</v>
      </c>
      <c r="AI63" s="30">
        <v>169352</v>
      </c>
      <c r="AJ63" s="30"/>
      <c r="AK63" s="30"/>
      <c r="AL63" s="30">
        <f t="shared" si="18"/>
        <v>13218468</v>
      </c>
      <c r="AM63" s="30">
        <f t="shared" si="18"/>
        <v>169352</v>
      </c>
    </row>
    <row r="64" spans="1:39" s="1" customFormat="1" ht="15.75" customHeight="1">
      <c r="A64" s="28">
        <v>30</v>
      </c>
      <c r="B64" s="43" t="s">
        <v>65</v>
      </c>
      <c r="C64" s="41"/>
      <c r="D64" s="30">
        <v>23771397</v>
      </c>
      <c r="E64" s="30">
        <v>32152288</v>
      </c>
      <c r="F64" s="30">
        <f>6264481+8362</f>
        <v>6272843</v>
      </c>
      <c r="G64" s="30">
        <f>810372+82076</f>
        <v>892448</v>
      </c>
      <c r="H64" s="30">
        <f>2979951+3804</f>
        <v>2983755</v>
      </c>
      <c r="I64" s="30">
        <f>112414+29553</f>
        <v>141967</v>
      </c>
      <c r="J64" s="30">
        <v>1866944</v>
      </c>
      <c r="K64" s="30"/>
      <c r="L64" s="30">
        <v>23701932</v>
      </c>
      <c r="M64" s="30">
        <v>9038498</v>
      </c>
      <c r="N64" s="30">
        <v>139736</v>
      </c>
      <c r="O64" s="30">
        <v>1478933</v>
      </c>
      <c r="P64" s="30">
        <v>73458</v>
      </c>
      <c r="Q64" s="30">
        <v>2130424</v>
      </c>
      <c r="R64" s="30">
        <v>7202747</v>
      </c>
      <c r="S64" s="71">
        <v>30</v>
      </c>
      <c r="T64" s="28"/>
      <c r="U64" s="43" t="s">
        <v>65</v>
      </c>
      <c r="V64" s="30">
        <v>6280671</v>
      </c>
      <c r="W64" s="30">
        <v>808057</v>
      </c>
      <c r="X64" s="30">
        <v>7637</v>
      </c>
      <c r="Y64" s="30">
        <v>75326</v>
      </c>
      <c r="Z64" s="30">
        <f t="shared" si="10"/>
        <v>6288308</v>
      </c>
      <c r="AA64" s="30">
        <f t="shared" si="7"/>
        <v>883383</v>
      </c>
      <c r="AB64" s="30">
        <v>3039910</v>
      </c>
      <c r="AC64" s="30">
        <v>114897</v>
      </c>
      <c r="AD64" s="30">
        <v>3804</v>
      </c>
      <c r="AE64" s="30">
        <v>29553</v>
      </c>
      <c r="AF64" s="30">
        <f t="shared" si="11"/>
        <v>3043714</v>
      </c>
      <c r="AG64" s="30">
        <f t="shared" si="8"/>
        <v>144450</v>
      </c>
      <c r="AH64" s="30">
        <v>8990574</v>
      </c>
      <c r="AI64" s="30">
        <v>139083</v>
      </c>
      <c r="AJ64" s="30"/>
      <c r="AK64" s="30"/>
      <c r="AL64" s="30">
        <f t="shared" si="18"/>
        <v>8990574</v>
      </c>
      <c r="AM64" s="30">
        <f t="shared" si="18"/>
        <v>139083</v>
      </c>
    </row>
    <row r="65" spans="1:39" s="1" customFormat="1" ht="15.75" customHeight="1">
      <c r="A65" s="28">
        <v>31</v>
      </c>
      <c r="B65" s="43" t="s">
        <v>66</v>
      </c>
      <c r="C65" s="41"/>
      <c r="D65" s="30">
        <v>2884455</v>
      </c>
      <c r="E65" s="30">
        <v>24499382</v>
      </c>
      <c r="F65" s="30">
        <f>1030381+89157</f>
        <v>1119538</v>
      </c>
      <c r="G65" s="30">
        <f>142709+1392158</f>
        <v>1534867</v>
      </c>
      <c r="H65" s="30">
        <f>593816+21799</f>
        <v>615615</v>
      </c>
      <c r="I65" s="30">
        <f>41431+378940</f>
        <v>420371</v>
      </c>
      <c r="J65" s="30">
        <v>1065034</v>
      </c>
      <c r="K65" s="30"/>
      <c r="L65" s="30">
        <v>22314950</v>
      </c>
      <c r="M65" s="30">
        <v>29981</v>
      </c>
      <c r="N65" s="30">
        <v>637</v>
      </c>
      <c r="O65" s="30">
        <v>1137</v>
      </c>
      <c r="P65" s="30">
        <v>812</v>
      </c>
      <c r="Q65" s="30">
        <v>53150</v>
      </c>
      <c r="R65" s="30">
        <v>227745</v>
      </c>
      <c r="S65" s="71">
        <v>31</v>
      </c>
      <c r="T65" s="28"/>
      <c r="U65" s="43" t="s">
        <v>66</v>
      </c>
      <c r="V65" s="30">
        <v>1032484</v>
      </c>
      <c r="W65" s="30">
        <v>142996</v>
      </c>
      <c r="X65" s="30">
        <v>89926</v>
      </c>
      <c r="Y65" s="30">
        <v>1362971</v>
      </c>
      <c r="Z65" s="30">
        <f t="shared" si="10"/>
        <v>1122410</v>
      </c>
      <c r="AA65" s="30">
        <f t="shared" si="7"/>
        <v>1505967</v>
      </c>
      <c r="AB65" s="30">
        <v>595787</v>
      </c>
      <c r="AC65" s="30">
        <v>41565</v>
      </c>
      <c r="AD65" s="30">
        <v>25866</v>
      </c>
      <c r="AE65" s="30">
        <v>429682</v>
      </c>
      <c r="AF65" s="30">
        <f t="shared" si="11"/>
        <v>621653</v>
      </c>
      <c r="AG65" s="30">
        <f t="shared" si="8"/>
        <v>471247</v>
      </c>
      <c r="AH65" s="30">
        <v>29981</v>
      </c>
      <c r="AI65" s="30">
        <v>637</v>
      </c>
      <c r="AJ65" s="30"/>
      <c r="AK65" s="30"/>
      <c r="AL65" s="30">
        <f t="shared" si="18"/>
        <v>29981</v>
      </c>
      <c r="AM65" s="30">
        <f t="shared" si="18"/>
        <v>637</v>
      </c>
    </row>
    <row r="66" spans="1:39" s="1" customFormat="1" ht="15.75" customHeight="1">
      <c r="A66" s="28">
        <v>32</v>
      </c>
      <c r="B66" s="43" t="s">
        <v>67</v>
      </c>
      <c r="C66" s="41"/>
      <c r="D66" s="30">
        <v>18823369</v>
      </c>
      <c r="E66" s="30">
        <v>36402177</v>
      </c>
      <c r="F66" s="30">
        <f>4842441+1064</f>
        <v>4843505</v>
      </c>
      <c r="G66" s="30">
        <f>669365+8425</f>
        <v>677790</v>
      </c>
      <c r="H66" s="30">
        <f>1974305+7597</f>
        <v>1981902</v>
      </c>
      <c r="I66" s="30">
        <f>103431+139524</f>
        <v>242955</v>
      </c>
      <c r="J66" s="30">
        <v>1948547</v>
      </c>
      <c r="K66" s="30"/>
      <c r="L66" s="30">
        <v>32348766</v>
      </c>
      <c r="M66" s="30">
        <v>6493099</v>
      </c>
      <c r="N66" s="30">
        <v>103208</v>
      </c>
      <c r="O66" s="30">
        <v>1932221</v>
      </c>
      <c r="P66" s="30">
        <v>14182</v>
      </c>
      <c r="Q66" s="30">
        <v>1624095</v>
      </c>
      <c r="R66" s="30">
        <v>3015276</v>
      </c>
      <c r="S66" s="71">
        <v>32</v>
      </c>
      <c r="T66" s="28"/>
      <c r="U66" s="43" t="s">
        <v>67</v>
      </c>
      <c r="V66" s="30">
        <v>4863202</v>
      </c>
      <c r="W66" s="30">
        <v>672714</v>
      </c>
      <c r="X66" s="30">
        <v>1364</v>
      </c>
      <c r="Y66" s="30">
        <v>10739</v>
      </c>
      <c r="Z66" s="30">
        <f t="shared" si="10"/>
        <v>4864566</v>
      </c>
      <c r="AA66" s="30">
        <f t="shared" si="7"/>
        <v>683453</v>
      </c>
      <c r="AB66" s="30">
        <v>1979121</v>
      </c>
      <c r="AC66" s="30">
        <v>103723</v>
      </c>
      <c r="AD66" s="30">
        <v>4185</v>
      </c>
      <c r="AE66" s="30">
        <v>69556</v>
      </c>
      <c r="AF66" s="30">
        <f t="shared" si="11"/>
        <v>1983306</v>
      </c>
      <c r="AG66" s="30">
        <f>AC66+AE66</f>
        <v>173279</v>
      </c>
      <c r="AH66" s="30">
        <v>6486514</v>
      </c>
      <c r="AI66" s="30">
        <v>103111</v>
      </c>
      <c r="AJ66" s="30"/>
      <c r="AK66" s="30"/>
      <c r="AL66" s="30">
        <f t="shared" si="18"/>
        <v>6486514</v>
      </c>
      <c r="AM66" s="30">
        <f t="shared" si="18"/>
        <v>103111</v>
      </c>
    </row>
    <row r="67" spans="1:39" s="1" customFormat="1" ht="9.75" customHeight="1">
      <c r="A67" s="28"/>
      <c r="B67" s="43"/>
      <c r="C67" s="41"/>
      <c r="D67" s="30"/>
      <c r="E67" s="30"/>
      <c r="F67" s="30"/>
      <c r="G67" s="30"/>
      <c r="H67" s="30"/>
      <c r="I67" s="30"/>
      <c r="J67" s="30"/>
      <c r="K67" s="30"/>
      <c r="M67" s="30"/>
      <c r="O67" s="30"/>
      <c r="P67" s="30"/>
      <c r="Q67" s="30"/>
      <c r="R67" s="30"/>
      <c r="S67" s="71"/>
      <c r="T67" s="28"/>
      <c r="U67" s="43"/>
      <c r="V67" s="30"/>
      <c r="W67" s="30"/>
      <c r="X67" s="30"/>
      <c r="Y67" s="30"/>
      <c r="Z67" s="30"/>
      <c r="AA67" s="30"/>
      <c r="AB67" s="30"/>
      <c r="AD67" s="30"/>
      <c r="AE67" s="30"/>
      <c r="AF67" s="30"/>
      <c r="AG67" s="30"/>
      <c r="AH67" s="30"/>
      <c r="AJ67" s="30"/>
      <c r="AK67" s="30"/>
      <c r="AL67" s="30"/>
      <c r="AM67" s="30"/>
    </row>
    <row r="68" spans="1:39" s="1" customFormat="1" ht="15.75" customHeight="1">
      <c r="A68" s="28">
        <v>33</v>
      </c>
      <c r="B68" s="43" t="s">
        <v>68</v>
      </c>
      <c r="C68" s="41"/>
      <c r="D68" s="30">
        <v>35249329</v>
      </c>
      <c r="E68" s="30">
        <v>15648300</v>
      </c>
      <c r="F68" s="30">
        <v>10679551</v>
      </c>
      <c r="G68" s="30">
        <v>1166990</v>
      </c>
      <c r="H68" s="30">
        <v>4484860</v>
      </c>
      <c r="I68" s="30">
        <v>136384</v>
      </c>
      <c r="J68" s="30">
        <v>1779012</v>
      </c>
      <c r="K68" s="30"/>
      <c r="L68" s="30">
        <v>13527596</v>
      </c>
      <c r="M68" s="30">
        <v>15636215</v>
      </c>
      <c r="N68" s="30">
        <v>173377</v>
      </c>
      <c r="O68" s="30">
        <v>1692875</v>
      </c>
      <c r="P68" s="30">
        <v>4152</v>
      </c>
      <c r="Q68" s="30">
        <v>976816</v>
      </c>
      <c r="R68" s="30">
        <v>639801</v>
      </c>
      <c r="S68" s="71">
        <v>33</v>
      </c>
      <c r="T68" s="28"/>
      <c r="U68" s="43" t="s">
        <v>68</v>
      </c>
      <c r="V68" s="30">
        <v>10698545</v>
      </c>
      <c r="W68" s="30">
        <v>1168612</v>
      </c>
      <c r="X68" s="30">
        <v>0</v>
      </c>
      <c r="Y68" s="30">
        <v>0</v>
      </c>
      <c r="Z68" s="30">
        <f t="shared" si="10"/>
        <v>10698545</v>
      </c>
      <c r="AA68" s="30">
        <f t="shared" si="7"/>
        <v>1168612</v>
      </c>
      <c r="AB68" s="30">
        <v>4483068</v>
      </c>
      <c r="AC68" s="30">
        <v>135962</v>
      </c>
      <c r="AD68" s="30">
        <v>0</v>
      </c>
      <c r="AE68" s="30">
        <v>0</v>
      </c>
      <c r="AF68" s="30">
        <f>AB68+AD68</f>
        <v>4483068</v>
      </c>
      <c r="AG68" s="30">
        <f>AC68+AE68</f>
        <v>135962</v>
      </c>
      <c r="AH68" s="30">
        <v>15677603</v>
      </c>
      <c r="AI68" s="30">
        <v>173918</v>
      </c>
      <c r="AJ68" s="30"/>
      <c r="AK68" s="30"/>
      <c r="AL68" s="30">
        <f aca="true" t="shared" si="19" ref="AL68:AL77">AH68+AJ68</f>
        <v>15677603</v>
      </c>
      <c r="AM68" s="30">
        <f aca="true" t="shared" si="20" ref="AM68:AM77">AI68+AK68</f>
        <v>173918</v>
      </c>
    </row>
    <row r="69" spans="1:39" s="1" customFormat="1" ht="15.75" customHeight="1">
      <c r="A69" s="28">
        <v>34</v>
      </c>
      <c r="B69" s="43" t="s">
        <v>69</v>
      </c>
      <c r="C69" s="41"/>
      <c r="D69" s="30">
        <v>35941653</v>
      </c>
      <c r="E69" s="30">
        <v>14502507</v>
      </c>
      <c r="F69" s="30">
        <v>5822878</v>
      </c>
      <c r="G69" s="30">
        <v>709243</v>
      </c>
      <c r="H69" s="30">
        <v>10392217</v>
      </c>
      <c r="I69" s="30">
        <v>349692</v>
      </c>
      <c r="J69" s="30">
        <v>2384726</v>
      </c>
      <c r="K69" s="30"/>
      <c r="L69" s="30">
        <v>12896851</v>
      </c>
      <c r="M69" s="30">
        <v>15094125</v>
      </c>
      <c r="N69" s="30">
        <v>276004</v>
      </c>
      <c r="O69" s="30">
        <v>1751468</v>
      </c>
      <c r="P69" s="30">
        <v>20137</v>
      </c>
      <c r="Q69" s="30">
        <v>496239</v>
      </c>
      <c r="R69" s="30">
        <v>250580</v>
      </c>
      <c r="S69" s="71">
        <v>34</v>
      </c>
      <c r="T69" s="28"/>
      <c r="U69" s="43" t="s">
        <v>69</v>
      </c>
      <c r="V69" s="30">
        <v>5827568</v>
      </c>
      <c r="W69" s="30">
        <v>700837</v>
      </c>
      <c r="X69" s="30">
        <v>0</v>
      </c>
      <c r="Y69" s="30">
        <v>0</v>
      </c>
      <c r="Z69" s="30">
        <f t="shared" si="10"/>
        <v>5827568</v>
      </c>
      <c r="AA69" s="30">
        <f t="shared" si="7"/>
        <v>700837</v>
      </c>
      <c r="AB69" s="30">
        <v>10429664</v>
      </c>
      <c r="AC69" s="30">
        <v>350761</v>
      </c>
      <c r="AD69" s="30">
        <v>0</v>
      </c>
      <c r="AE69" s="30">
        <v>0</v>
      </c>
      <c r="AF69" s="30">
        <f t="shared" si="11"/>
        <v>10429664</v>
      </c>
      <c r="AG69" s="30">
        <f>AC69+AE69</f>
        <v>350761</v>
      </c>
      <c r="AH69" s="30">
        <v>15123765</v>
      </c>
      <c r="AI69" s="30">
        <v>276546</v>
      </c>
      <c r="AJ69" s="30"/>
      <c r="AK69" s="30"/>
      <c r="AL69" s="30">
        <f t="shared" si="19"/>
        <v>15123765</v>
      </c>
      <c r="AM69" s="30">
        <f t="shared" si="20"/>
        <v>276546</v>
      </c>
    </row>
    <row r="70" spans="1:39" s="1" customFormat="1" ht="15.75" customHeight="1">
      <c r="A70" s="28">
        <v>35</v>
      </c>
      <c r="B70" s="43" t="s">
        <v>70</v>
      </c>
      <c r="C70" s="41"/>
      <c r="D70" s="30">
        <v>30395318</v>
      </c>
      <c r="E70" s="30">
        <v>7824830</v>
      </c>
      <c r="F70" s="30">
        <v>5792052</v>
      </c>
      <c r="G70" s="30">
        <v>612403</v>
      </c>
      <c r="H70" s="30">
        <v>8320614</v>
      </c>
      <c r="I70" s="30">
        <v>241573</v>
      </c>
      <c r="J70" s="30">
        <v>1274026</v>
      </c>
      <c r="K70" s="30"/>
      <c r="L70" s="30">
        <v>6596367</v>
      </c>
      <c r="M70" s="30">
        <v>8920146</v>
      </c>
      <c r="N70" s="30">
        <v>150268</v>
      </c>
      <c r="O70" s="30">
        <v>5665933</v>
      </c>
      <c r="P70" s="30">
        <v>57510</v>
      </c>
      <c r="Q70" s="30">
        <v>422547</v>
      </c>
      <c r="R70" s="30">
        <v>166709</v>
      </c>
      <c r="S70" s="71">
        <v>35</v>
      </c>
      <c r="T70" s="28"/>
      <c r="U70" s="43" t="s">
        <v>70</v>
      </c>
      <c r="V70" s="30">
        <v>5797191</v>
      </c>
      <c r="W70" s="30">
        <v>612992</v>
      </c>
      <c r="X70" s="30">
        <v>0</v>
      </c>
      <c r="Y70" s="30">
        <v>0</v>
      </c>
      <c r="Z70" s="30">
        <f t="shared" si="10"/>
        <v>5797191</v>
      </c>
      <c r="AA70" s="30">
        <f t="shared" si="7"/>
        <v>612992</v>
      </c>
      <c r="AB70" s="30">
        <v>8338570</v>
      </c>
      <c r="AC70" s="30">
        <v>242344</v>
      </c>
      <c r="AD70" s="30">
        <v>0</v>
      </c>
      <c r="AE70" s="30">
        <v>0</v>
      </c>
      <c r="AF70" s="30">
        <f t="shared" si="11"/>
        <v>8338570</v>
      </c>
      <c r="AG70" s="30">
        <f>AC70+AE70</f>
        <v>242344</v>
      </c>
      <c r="AH70" s="30">
        <v>8977671</v>
      </c>
      <c r="AI70" s="30">
        <v>151296</v>
      </c>
      <c r="AJ70" s="30"/>
      <c r="AK70" s="30"/>
      <c r="AL70" s="30">
        <f t="shared" si="19"/>
        <v>8977671</v>
      </c>
      <c r="AM70" s="30">
        <f t="shared" si="20"/>
        <v>151296</v>
      </c>
    </row>
    <row r="71" spans="1:39" s="1" customFormat="1" ht="8.25" customHeight="1">
      <c r="A71" s="28"/>
      <c r="B71" s="43"/>
      <c r="C71" s="41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Q71" s="30"/>
      <c r="R71" s="30"/>
      <c r="S71" s="71"/>
      <c r="T71" s="28"/>
      <c r="U71" s="43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>
        <f t="shared" si="11"/>
        <v>0</v>
      </c>
      <c r="AG71" s="30">
        <f t="shared" si="8"/>
        <v>0</v>
      </c>
      <c r="AH71" s="30"/>
      <c r="AI71" s="30"/>
      <c r="AJ71" s="30"/>
      <c r="AK71" s="30"/>
      <c r="AL71" s="30">
        <f t="shared" si="19"/>
        <v>0</v>
      </c>
      <c r="AM71" s="30">
        <f t="shared" si="20"/>
        <v>0</v>
      </c>
    </row>
    <row r="72" spans="1:39" s="35" customFormat="1" ht="15.75" customHeight="1">
      <c r="A72" s="66" t="s">
        <v>71</v>
      </c>
      <c r="B72" s="54" t="s">
        <v>72</v>
      </c>
      <c r="C72" s="39"/>
      <c r="D72" s="32">
        <v>260086199</v>
      </c>
      <c r="E72" s="32">
        <v>31712147</v>
      </c>
      <c r="F72" s="32">
        <v>31736237</v>
      </c>
      <c r="G72" s="32">
        <v>3410600</v>
      </c>
      <c r="H72" s="32">
        <v>8527431</v>
      </c>
      <c r="I72" s="32">
        <v>280157</v>
      </c>
      <c r="J72" s="32">
        <v>4771038</v>
      </c>
      <c r="K72" s="32">
        <v>0</v>
      </c>
      <c r="L72" s="32">
        <v>22875833</v>
      </c>
      <c r="M72" s="32">
        <v>185185772</v>
      </c>
      <c r="N72" s="32">
        <v>1747633</v>
      </c>
      <c r="O72" s="32">
        <v>26680202</v>
      </c>
      <c r="P72" s="32">
        <v>221674</v>
      </c>
      <c r="Q72" s="32">
        <v>3185519</v>
      </c>
      <c r="R72" s="32">
        <v>3176250</v>
      </c>
      <c r="S72" s="72" t="s">
        <v>71</v>
      </c>
      <c r="T72" s="34"/>
      <c r="U72" s="54" t="s">
        <v>72</v>
      </c>
      <c r="V72" s="32" t="e">
        <f>SUM(V74:V80)</f>
        <v>#REF!</v>
      </c>
      <c r="W72" s="32" t="e">
        <f>SUM(W74:W80)</f>
        <v>#REF!</v>
      </c>
      <c r="X72" s="32" t="e">
        <f>SUM(X74:X80)</f>
        <v>#REF!</v>
      </c>
      <c r="Y72" s="32" t="e">
        <f>SUM(Y74:Y80)</f>
        <v>#REF!</v>
      </c>
      <c r="Z72" s="30" t="e">
        <f t="shared" si="10"/>
        <v>#REF!</v>
      </c>
      <c r="AA72" s="30" t="e">
        <f t="shared" si="7"/>
        <v>#REF!</v>
      </c>
      <c r="AB72" s="32" t="e">
        <f>SUM(AB74:AB80)</f>
        <v>#REF!</v>
      </c>
      <c r="AC72" s="32">
        <f>SUM(AC74:AC77)</f>
        <v>278168</v>
      </c>
      <c r="AD72" s="32" t="e">
        <f>SUM(AD74:AD80)</f>
        <v>#REF!</v>
      </c>
      <c r="AE72" s="32" t="e">
        <f>SUM(AE74:AE80)</f>
        <v>#REF!</v>
      </c>
      <c r="AF72" s="30" t="e">
        <f t="shared" si="11"/>
        <v>#REF!</v>
      </c>
      <c r="AG72" s="30" t="e">
        <f>AC72+AE72</f>
        <v>#REF!</v>
      </c>
      <c r="AH72" s="32" t="e">
        <f>SUM(AH74:AH80)</f>
        <v>#REF!</v>
      </c>
      <c r="AI72" s="32">
        <f>SUM(AI74:AI77)</f>
        <v>1752994</v>
      </c>
      <c r="AJ72" s="32" t="e">
        <f>SUM(AJ74:AJ80)</f>
        <v>#REF!</v>
      </c>
      <c r="AK72" s="32" t="e">
        <f>SUM(AK74:AK80)</f>
        <v>#REF!</v>
      </c>
      <c r="AL72" s="30" t="e">
        <f t="shared" si="19"/>
        <v>#REF!</v>
      </c>
      <c r="AM72" s="30" t="e">
        <f t="shared" si="20"/>
        <v>#REF!</v>
      </c>
    </row>
    <row r="73" spans="1:39" s="1" customFormat="1" ht="8.25" customHeight="1">
      <c r="A73" s="68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73"/>
      <c r="T73" s="28"/>
      <c r="U73" s="61"/>
      <c r="V73" s="63"/>
      <c r="W73" s="63"/>
      <c r="X73" s="63"/>
      <c r="Y73" s="63"/>
      <c r="Z73" s="30"/>
      <c r="AA73" s="30"/>
      <c r="AB73" s="63"/>
      <c r="AC73" s="63"/>
      <c r="AD73" s="63"/>
      <c r="AE73" s="63"/>
      <c r="AF73" s="30">
        <f t="shared" si="11"/>
        <v>0</v>
      </c>
      <c r="AG73" s="30">
        <f t="shared" si="8"/>
        <v>0</v>
      </c>
      <c r="AH73" s="63"/>
      <c r="AI73" s="63"/>
      <c r="AJ73" s="63"/>
      <c r="AK73" s="63"/>
      <c r="AL73" s="30">
        <f t="shared" si="19"/>
        <v>0</v>
      </c>
      <c r="AM73" s="30">
        <f t="shared" si="20"/>
        <v>0</v>
      </c>
    </row>
    <row r="74" spans="1:39" s="1" customFormat="1" ht="15.75" customHeight="1">
      <c r="A74" s="28">
        <v>36</v>
      </c>
      <c r="B74" s="43" t="s">
        <v>73</v>
      </c>
      <c r="C74" s="41"/>
      <c r="D74" s="30">
        <v>119408487</v>
      </c>
      <c r="E74" s="30">
        <v>7951112</v>
      </c>
      <c r="F74" s="30">
        <f>14345426+442</f>
        <v>14345868</v>
      </c>
      <c r="G74" s="30">
        <f>1520876+319</f>
        <v>1521195</v>
      </c>
      <c r="H74" s="30">
        <f>2672000+560</f>
        <v>2672560</v>
      </c>
      <c r="I74" s="30">
        <f>69381+526</f>
        <v>69907</v>
      </c>
      <c r="J74" s="30">
        <v>1594978</v>
      </c>
      <c r="K74" s="30"/>
      <c r="L74" s="30">
        <v>4658515</v>
      </c>
      <c r="M74" s="30">
        <v>92375342</v>
      </c>
      <c r="N74" s="30">
        <v>975248</v>
      </c>
      <c r="O74" s="30">
        <v>7904494</v>
      </c>
      <c r="P74" s="30">
        <v>84599</v>
      </c>
      <c r="Q74" s="30">
        <v>515245</v>
      </c>
      <c r="R74" s="30">
        <v>641648</v>
      </c>
      <c r="S74" s="71">
        <v>36</v>
      </c>
      <c r="T74" s="28"/>
      <c r="U74" s="43" t="s">
        <v>73</v>
      </c>
      <c r="V74" s="30">
        <v>14358926</v>
      </c>
      <c r="W74" s="30">
        <v>1522093</v>
      </c>
      <c r="X74" s="30">
        <v>442</v>
      </c>
      <c r="Y74" s="30">
        <v>345</v>
      </c>
      <c r="Z74" s="30">
        <f t="shared" si="10"/>
        <v>14359368</v>
      </c>
      <c r="AA74" s="30">
        <f t="shared" si="7"/>
        <v>1522438</v>
      </c>
      <c r="AB74" s="30">
        <v>2683896</v>
      </c>
      <c r="AC74" s="30">
        <v>69650</v>
      </c>
      <c r="AD74" s="30">
        <v>560</v>
      </c>
      <c r="AE74" s="30">
        <v>537</v>
      </c>
      <c r="AF74" s="30">
        <f t="shared" si="11"/>
        <v>2684456</v>
      </c>
      <c r="AG74" s="30">
        <f t="shared" si="8"/>
        <v>70187</v>
      </c>
      <c r="AH74" s="30">
        <v>93157697</v>
      </c>
      <c r="AI74" s="30">
        <v>979524</v>
      </c>
      <c r="AJ74" s="30"/>
      <c r="AK74" s="30"/>
      <c r="AL74" s="30">
        <f t="shared" si="19"/>
        <v>93157697</v>
      </c>
      <c r="AM74" s="30">
        <f t="shared" si="20"/>
        <v>979524</v>
      </c>
    </row>
    <row r="75" spans="1:39" s="1" customFormat="1" ht="15.75" customHeight="1">
      <c r="A75" s="28">
        <v>37</v>
      </c>
      <c r="B75" s="43" t="s">
        <v>74</v>
      </c>
      <c r="C75" s="41"/>
      <c r="D75" s="30">
        <v>45005271</v>
      </c>
      <c r="E75" s="30">
        <v>6193946</v>
      </c>
      <c r="F75" s="30">
        <v>4471134</v>
      </c>
      <c r="G75" s="30">
        <v>387616</v>
      </c>
      <c r="H75" s="30">
        <f>1548214+21108</f>
        <v>1569322</v>
      </c>
      <c r="I75" s="30">
        <f>41011+1885</f>
        <v>42896</v>
      </c>
      <c r="J75" s="30">
        <v>924248</v>
      </c>
      <c r="K75" s="30"/>
      <c r="L75" s="30">
        <v>5437625</v>
      </c>
      <c r="M75" s="30">
        <v>34503729</v>
      </c>
      <c r="N75" s="30">
        <v>204732</v>
      </c>
      <c r="O75" s="30">
        <v>3283776</v>
      </c>
      <c r="P75" s="30">
        <v>18638</v>
      </c>
      <c r="Q75" s="30">
        <v>253062</v>
      </c>
      <c r="R75" s="30">
        <v>102439</v>
      </c>
      <c r="S75" s="71">
        <v>37</v>
      </c>
      <c r="T75" s="28"/>
      <c r="U75" s="43" t="s">
        <v>74</v>
      </c>
      <c r="V75" s="30">
        <v>4483427</v>
      </c>
      <c r="W75" s="30">
        <v>388223</v>
      </c>
      <c r="X75" s="30">
        <v>0</v>
      </c>
      <c r="Y75" s="30">
        <v>0</v>
      </c>
      <c r="Z75" s="30">
        <f t="shared" si="10"/>
        <v>4483427</v>
      </c>
      <c r="AA75" s="30">
        <f t="shared" si="7"/>
        <v>388223</v>
      </c>
      <c r="AB75" s="30">
        <v>1552860</v>
      </c>
      <c r="AC75" s="30">
        <v>41198</v>
      </c>
      <c r="AD75" s="30">
        <v>21222</v>
      </c>
      <c r="AE75" s="30">
        <v>1895</v>
      </c>
      <c r="AF75" s="30">
        <f t="shared" si="11"/>
        <v>1574082</v>
      </c>
      <c r="AG75" s="30">
        <f t="shared" si="8"/>
        <v>43093</v>
      </c>
      <c r="AH75" s="30">
        <v>34676646</v>
      </c>
      <c r="AI75" s="30">
        <v>205556</v>
      </c>
      <c r="AJ75" s="30"/>
      <c r="AK75" s="30"/>
      <c r="AL75" s="30">
        <f t="shared" si="19"/>
        <v>34676646</v>
      </c>
      <c r="AM75" s="30">
        <f t="shared" si="20"/>
        <v>205556</v>
      </c>
    </row>
    <row r="76" spans="1:39" s="1" customFormat="1" ht="15.75" customHeight="1">
      <c r="A76" s="28">
        <v>38</v>
      </c>
      <c r="B76" s="43" t="s">
        <v>75</v>
      </c>
      <c r="C76" s="41"/>
      <c r="D76" s="30">
        <v>41658115</v>
      </c>
      <c r="E76" s="30">
        <v>4661870</v>
      </c>
      <c r="F76" s="30">
        <f>5702907+697</f>
        <v>5703604</v>
      </c>
      <c r="G76" s="30">
        <f>679778+2978</f>
        <v>682756</v>
      </c>
      <c r="H76" s="30">
        <f>1621007+171</f>
        <v>1621178</v>
      </c>
      <c r="I76" s="30">
        <f>59374+911</f>
        <v>60285</v>
      </c>
      <c r="J76" s="30">
        <v>730545</v>
      </c>
      <c r="K76" s="30"/>
      <c r="L76" s="30">
        <v>3469566</v>
      </c>
      <c r="M76" s="30">
        <v>24446518</v>
      </c>
      <c r="N76" s="30">
        <v>189380</v>
      </c>
      <c r="O76" s="30">
        <v>8384769</v>
      </c>
      <c r="P76" s="30">
        <v>40035</v>
      </c>
      <c r="Q76" s="30">
        <v>771501</v>
      </c>
      <c r="R76" s="30">
        <v>219848</v>
      </c>
      <c r="S76" s="71">
        <v>38</v>
      </c>
      <c r="T76" s="28"/>
      <c r="U76" s="43" t="s">
        <v>75</v>
      </c>
      <c r="V76" s="30">
        <v>5712167</v>
      </c>
      <c r="W76" s="30">
        <v>680282</v>
      </c>
      <c r="X76" s="30">
        <v>697</v>
      </c>
      <c r="Y76" s="30">
        <v>2978</v>
      </c>
      <c r="Z76" s="30">
        <f t="shared" si="10"/>
        <v>5712864</v>
      </c>
      <c r="AA76" s="30">
        <f t="shared" si="7"/>
        <v>683260</v>
      </c>
      <c r="AB76" s="30">
        <v>1636690</v>
      </c>
      <c r="AC76" s="30">
        <v>59917</v>
      </c>
      <c r="AD76" s="30">
        <v>171</v>
      </c>
      <c r="AE76" s="30">
        <v>911</v>
      </c>
      <c r="AF76" s="30">
        <f t="shared" si="11"/>
        <v>1636861</v>
      </c>
      <c r="AG76" s="30">
        <f t="shared" si="8"/>
        <v>60828</v>
      </c>
      <c r="AH76" s="30">
        <v>24471409</v>
      </c>
      <c r="AI76" s="30">
        <v>189604</v>
      </c>
      <c r="AJ76" s="30"/>
      <c r="AK76" s="30"/>
      <c r="AL76" s="30">
        <f t="shared" si="19"/>
        <v>24471409</v>
      </c>
      <c r="AM76" s="30">
        <f t="shared" si="20"/>
        <v>189604</v>
      </c>
    </row>
    <row r="77" spans="1:39" s="1" customFormat="1" ht="15.75" customHeight="1">
      <c r="A77" s="28">
        <v>39</v>
      </c>
      <c r="B77" s="43" t="s">
        <v>76</v>
      </c>
      <c r="C77" s="41"/>
      <c r="D77" s="74">
        <v>54014326</v>
      </c>
      <c r="E77" s="74">
        <v>12905219</v>
      </c>
      <c r="F77" s="30">
        <v>7215631</v>
      </c>
      <c r="G77" s="30">
        <v>819033</v>
      </c>
      <c r="H77" s="30">
        <v>2664371</v>
      </c>
      <c r="I77" s="30">
        <v>107069</v>
      </c>
      <c r="J77" s="74">
        <v>1521267</v>
      </c>
      <c r="K77" s="74"/>
      <c r="L77" s="74">
        <v>9310127</v>
      </c>
      <c r="M77" s="30">
        <v>33860183</v>
      </c>
      <c r="N77" s="30">
        <v>378273</v>
      </c>
      <c r="O77" s="74">
        <v>7107163</v>
      </c>
      <c r="P77" s="74">
        <v>78402</v>
      </c>
      <c r="Q77" s="30">
        <v>1645711</v>
      </c>
      <c r="R77" s="30">
        <v>2212315</v>
      </c>
      <c r="S77" s="71">
        <v>39</v>
      </c>
      <c r="T77" s="28"/>
      <c r="U77" s="43" t="s">
        <v>76</v>
      </c>
      <c r="V77" s="74">
        <v>7245115</v>
      </c>
      <c r="W77" s="74">
        <v>822174</v>
      </c>
      <c r="X77" s="74">
        <v>0</v>
      </c>
      <c r="Y77" s="74">
        <v>0</v>
      </c>
      <c r="Z77" s="30">
        <f t="shared" si="10"/>
        <v>7245115</v>
      </c>
      <c r="AA77" s="30">
        <f t="shared" si="7"/>
        <v>822174</v>
      </c>
      <c r="AB77" s="74">
        <v>2672848</v>
      </c>
      <c r="AC77" s="30">
        <v>107403</v>
      </c>
      <c r="AD77" s="74">
        <v>0</v>
      </c>
      <c r="AE77" s="74">
        <v>0</v>
      </c>
      <c r="AF77" s="30">
        <f t="shared" si="11"/>
        <v>2672848</v>
      </c>
      <c r="AG77" s="30">
        <f t="shared" si="8"/>
        <v>107403</v>
      </c>
      <c r="AH77" s="74">
        <v>33862898</v>
      </c>
      <c r="AI77" s="30">
        <v>378310</v>
      </c>
      <c r="AJ77" s="74"/>
      <c r="AK77" s="74"/>
      <c r="AL77" s="30">
        <f t="shared" si="19"/>
        <v>33862898</v>
      </c>
      <c r="AM77" s="30">
        <f t="shared" si="20"/>
        <v>378310</v>
      </c>
    </row>
    <row r="78" spans="1:39" s="1" customFormat="1" ht="7.5" customHeight="1">
      <c r="A78" s="28"/>
      <c r="B78" s="43"/>
      <c r="C78" s="41"/>
      <c r="D78" s="74"/>
      <c r="E78" s="74"/>
      <c r="F78" s="30"/>
      <c r="G78" s="30"/>
      <c r="H78" s="30"/>
      <c r="I78" s="30"/>
      <c r="J78" s="74"/>
      <c r="K78" s="74"/>
      <c r="L78" s="74"/>
      <c r="M78" s="30"/>
      <c r="N78" s="30"/>
      <c r="O78" s="74"/>
      <c r="P78" s="74"/>
      <c r="Q78" s="30"/>
      <c r="R78" s="30"/>
      <c r="S78" s="71"/>
      <c r="T78" s="28"/>
      <c r="U78" s="43"/>
      <c r="V78" s="74"/>
      <c r="W78" s="74"/>
      <c r="X78" s="74"/>
      <c r="Y78" s="74"/>
      <c r="Z78" s="30"/>
      <c r="AA78" s="30"/>
      <c r="AB78" s="74"/>
      <c r="AC78" s="30"/>
      <c r="AD78" s="74"/>
      <c r="AE78" s="74"/>
      <c r="AF78" s="30"/>
      <c r="AG78" s="30"/>
      <c r="AH78" s="74"/>
      <c r="AI78" s="30"/>
      <c r="AJ78" s="74"/>
      <c r="AK78" s="74"/>
      <c r="AL78" s="30"/>
      <c r="AM78" s="30"/>
    </row>
    <row r="79" spans="1:39" s="1" customFormat="1" ht="15.75" customHeight="1">
      <c r="A79" s="113">
        <v>37987</v>
      </c>
      <c r="B79" s="114"/>
      <c r="C79" s="115"/>
      <c r="D79" s="32">
        <v>1339517210</v>
      </c>
      <c r="E79" s="32">
        <v>2782187441</v>
      </c>
      <c r="F79" s="32">
        <v>261421212</v>
      </c>
      <c r="G79" s="32">
        <v>101219525</v>
      </c>
      <c r="H79" s="32">
        <v>159123665</v>
      </c>
      <c r="I79" s="32">
        <v>100882819</v>
      </c>
      <c r="J79" s="32">
        <v>102437641</v>
      </c>
      <c r="K79" s="32">
        <v>0</v>
      </c>
      <c r="L79" s="32">
        <v>2396242369</v>
      </c>
      <c r="M79" s="32">
        <v>653303405</v>
      </c>
      <c r="N79" s="32">
        <v>11933059</v>
      </c>
      <c r="O79" s="32">
        <v>132027960</v>
      </c>
      <c r="P79" s="32">
        <v>1147589</v>
      </c>
      <c r="Q79" s="32">
        <v>31203327</v>
      </c>
      <c r="R79" s="32">
        <v>170762080</v>
      </c>
      <c r="S79" s="27" t="s">
        <v>101</v>
      </c>
      <c r="T79" s="28" t="s">
        <v>86</v>
      </c>
      <c r="V79" s="30" t="e">
        <f>#REF!+V81</f>
        <v>#REF!</v>
      </c>
      <c r="W79" s="30" t="e">
        <f>#REF!+W81</f>
        <v>#REF!</v>
      </c>
      <c r="X79" s="30" t="e">
        <f>#REF!+X81</f>
        <v>#REF!</v>
      </c>
      <c r="Y79" s="30" t="e">
        <f>#REF!+Y81</f>
        <v>#REF!</v>
      </c>
      <c r="Z79" s="30" t="e">
        <f>#REF!+Z81</f>
        <v>#REF!</v>
      </c>
      <c r="AA79" s="30" t="e">
        <f>#REF!+AA81</f>
        <v>#REF!</v>
      </c>
      <c r="AB79" s="30" t="e">
        <f>#REF!+AB81</f>
        <v>#REF!</v>
      </c>
      <c r="AC79" s="30" t="e">
        <f>#REF!+AC81</f>
        <v>#REF!</v>
      </c>
      <c r="AD79" s="30" t="e">
        <f>#REF!+AD81</f>
        <v>#REF!</v>
      </c>
      <c r="AE79" s="30" t="e">
        <f>#REF!+AE81</f>
        <v>#REF!</v>
      </c>
      <c r="AF79" s="30" t="e">
        <f>#REF!+AF81</f>
        <v>#REF!</v>
      </c>
      <c r="AG79" s="30" t="e">
        <f>#REF!+AG81</f>
        <v>#REF!</v>
      </c>
      <c r="AH79" s="30" t="e">
        <f>#REF!+AH81</f>
        <v>#REF!</v>
      </c>
      <c r="AI79" s="30" t="e">
        <f>#REF!+AI81</f>
        <v>#REF!</v>
      </c>
      <c r="AJ79" s="30" t="e">
        <f>#REF!+AJ81</f>
        <v>#REF!</v>
      </c>
      <c r="AK79" s="30" t="e">
        <f>#REF!+AK81</f>
        <v>#REF!</v>
      </c>
      <c r="AL79" s="30" t="e">
        <f>#REF!+AL81</f>
        <v>#REF!</v>
      </c>
      <c r="AM79" s="30" t="e">
        <f>#REF!+AM81</f>
        <v>#REF!</v>
      </c>
    </row>
    <row r="80" spans="1:39" ht="6" customHeight="1" thickBot="1">
      <c r="A80" s="75"/>
      <c r="B80" s="76"/>
      <c r="C80" s="77"/>
      <c r="D80" s="78"/>
      <c r="E80" s="78"/>
      <c r="F80" s="78"/>
      <c r="G80" s="78"/>
      <c r="H80" s="78"/>
      <c r="I80" s="78"/>
      <c r="J80" s="78"/>
      <c r="K80" s="50"/>
      <c r="L80" s="79"/>
      <c r="M80" s="79"/>
      <c r="N80" s="79"/>
      <c r="O80" s="79"/>
      <c r="P80" s="79"/>
      <c r="Q80" s="79"/>
      <c r="R80" s="79"/>
      <c r="S80" s="80"/>
      <c r="T80" s="75"/>
      <c r="U80" s="76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20" ht="14.25" thickTop="1">
      <c r="A81" s="52"/>
      <c r="B81" s="15"/>
      <c r="C81" s="15"/>
      <c r="D81" s="81"/>
      <c r="E81" s="81"/>
      <c r="F81" s="81"/>
      <c r="G81" s="81"/>
      <c r="H81" s="81"/>
      <c r="I81" s="81"/>
      <c r="J81" s="81"/>
      <c r="K81" s="50"/>
      <c r="L81" s="82"/>
      <c r="M81" s="82"/>
      <c r="N81" s="82"/>
      <c r="O81" s="82"/>
      <c r="P81" s="82"/>
      <c r="Q81" s="82"/>
      <c r="R81" s="82"/>
      <c r="S81" s="83"/>
      <c r="T81" s="52"/>
    </row>
  </sheetData>
  <mergeCells count="33">
    <mergeCell ref="A79:C79"/>
    <mergeCell ref="A9:C9"/>
    <mergeCell ref="AL6:AM6"/>
    <mergeCell ref="AD6:AE6"/>
    <mergeCell ref="AF6:AG6"/>
    <mergeCell ref="AH6:AI6"/>
    <mergeCell ref="AJ6:AK6"/>
    <mergeCell ref="V6:W6"/>
    <mergeCell ref="X6:Y6"/>
    <mergeCell ref="Z6:AA6"/>
    <mergeCell ref="AB6:AC6"/>
    <mergeCell ref="S16:T16"/>
    <mergeCell ref="D6:E6"/>
    <mergeCell ref="L1:N1"/>
    <mergeCell ref="O1:P1"/>
    <mergeCell ref="S6:T6"/>
    <mergeCell ref="S7:T7"/>
    <mergeCell ref="A4:E4"/>
    <mergeCell ref="A3:F3"/>
    <mergeCell ref="R4:T4"/>
    <mergeCell ref="E1:J1"/>
    <mergeCell ref="A16:B16"/>
    <mergeCell ref="F6:G6"/>
    <mergeCell ref="A12:C12"/>
    <mergeCell ref="A10:C10"/>
    <mergeCell ref="A11:C11"/>
    <mergeCell ref="S14:T14"/>
    <mergeCell ref="A6:C7"/>
    <mergeCell ref="O6:P6"/>
    <mergeCell ref="Q6:R6"/>
    <mergeCell ref="H6:I6"/>
    <mergeCell ref="M6:N6"/>
    <mergeCell ref="A14:B14"/>
  </mergeCells>
  <printOptions/>
  <pageMargins left="0.6" right="0.19" top="0.68" bottom="0" header="10.83" footer="0"/>
  <pageSetup horizontalDpi="600" verticalDpi="600" orientation="portrait" paperSize="9" scale="74"/>
  <colBreaks count="1" manualBreakCount="1">
    <brk id="1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2005-11-28T01:20:38Z</cp:lastPrinted>
  <dcterms:created xsi:type="dcterms:W3CDTF">2005-07-14T05:07:16Z</dcterms:created>
  <dcterms:modified xsi:type="dcterms:W3CDTF">2006-12-28T04:56:57Z</dcterms:modified>
  <cp:category/>
  <cp:version/>
  <cp:contentType/>
  <cp:contentStatus/>
</cp:coreProperties>
</file>