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企画担当\03_とっとり住まいる支援事業\01 交付要綱\R6.1（様式修正）\"/>
    </mc:Choice>
  </mc:AlternateContent>
  <bookViews>
    <workbookView xWindow="0" yWindow="0" windowWidth="19500" windowHeight="10850" tabRatio="920"/>
  </bookViews>
  <sheets>
    <sheet name="【様式第６号の２】事業報告書兼チェックシート" sheetId="11" r:id="rId1"/>
    <sheet name="実績報告書鑑（申請日、交付決定日及び番号要入力）" sheetId="12" r:id="rId2"/>
    <sheet name="要入力　交付決定状況入力シート" sheetId="16" r:id="rId3"/>
    <sheet name="台帳コピー" sheetId="18" r:id="rId4"/>
    <sheet name="【様式第６号の２】（別紙）補助金併用一覧" sheetId="17" state="hidden" r:id="rId5"/>
  </sheets>
  <definedNames>
    <definedName name="_xlnm.Print_Area" localSheetId="4">'【様式第６号の２】（別紙）補助金併用一覧'!$A$1:$E$33</definedName>
    <definedName name="_xlnm.Print_Area" localSheetId="0">【様式第６号の２】事業報告書兼チェックシート!$A$1:$AA$227</definedName>
    <definedName name="_xlnm.Print_Area" localSheetId="1">'実績報告書鑑（申請日、交付決定日及び番号要入力）'!$A$1:$Z$47</definedName>
    <definedName name="_xlnm.Print_Area" localSheetId="2">'要入力　交付決定状況入力シート'!$A$1:$K$15</definedName>
  </definedNames>
  <calcPr calcId="162913"/>
</workbook>
</file>

<file path=xl/calcChain.xml><?xml version="1.0" encoding="utf-8"?>
<calcChain xmlns="http://schemas.openxmlformats.org/spreadsheetml/2006/main">
  <c r="FX11" i="18" l="1"/>
  <c r="FW11" i="18"/>
  <c r="FV11" i="18"/>
  <c r="FD11" i="18" l="1"/>
  <c r="FF11" i="18"/>
  <c r="FC11" i="18" l="1"/>
  <c r="FH11" i="18"/>
  <c r="FI11" i="18"/>
  <c r="FN11" i="18"/>
  <c r="FT11" i="18"/>
  <c r="FU11" i="18"/>
  <c r="FZ11" i="18"/>
  <c r="GA11" i="18"/>
  <c r="GI11" i="18"/>
  <c r="GC11" i="18" l="1"/>
  <c r="GD11" i="18" s="1"/>
  <c r="FY11" i="18"/>
  <c r="AY13" i="18"/>
  <c r="GJ11" i="18" l="1"/>
  <c r="GK11" i="18" s="1"/>
  <c r="D59" i="11"/>
  <c r="D37" i="11" l="1"/>
  <c r="EW13" i="18" l="1"/>
  <c r="D9" i="16" l="1"/>
  <c r="GA13" i="18"/>
  <c r="FX13" i="18"/>
  <c r="FW13" i="18"/>
  <c r="FE13" i="18"/>
  <c r="FC13" i="18"/>
  <c r="W2" i="12"/>
  <c r="T2" i="12"/>
  <c r="Q2" i="12"/>
  <c r="GB13" i="18"/>
  <c r="FG13" i="18"/>
  <c r="EZ13" i="18"/>
  <c r="EY13" i="18"/>
  <c r="EX13" i="18"/>
  <c r="EC13" i="18"/>
  <c r="DW13" i="18"/>
  <c r="DU13" i="18"/>
  <c r="DO13" i="18"/>
  <c r="DJ13" i="18"/>
  <c r="DE13" i="18"/>
  <c r="CV13" i="18"/>
  <c r="CM13" i="18"/>
  <c r="CL13" i="18"/>
  <c r="CK13" i="18"/>
  <c r="CI13" i="18"/>
  <c r="BS13" i="18"/>
  <c r="BQ13" i="18"/>
  <c r="BP13" i="18"/>
  <c r="BO13" i="18"/>
  <c r="BL13" i="18"/>
  <c r="BK13" i="18"/>
  <c r="BJ13" i="18"/>
  <c r="BG13" i="18"/>
  <c r="BF13" i="18"/>
  <c r="BE13" i="18"/>
  <c r="BC13" i="18"/>
  <c r="BB13" i="18"/>
  <c r="BA13" i="18"/>
  <c r="AX13" i="18"/>
  <c r="AW13" i="18"/>
  <c r="AT13" i="18"/>
  <c r="AS13" i="18"/>
  <c r="AR13" i="18"/>
  <c r="AQ13" i="18"/>
  <c r="AP13" i="18"/>
  <c r="AO13" i="18"/>
  <c r="AN13" i="18"/>
  <c r="AK13" i="18"/>
  <c r="AJ13" i="18"/>
  <c r="AG13" i="18"/>
  <c r="AF13" i="18"/>
  <c r="AC13" i="18"/>
  <c r="Y13" i="18"/>
  <c r="X13" i="18"/>
  <c r="V13" i="18"/>
  <c r="S13" i="18"/>
  <c r="P13" i="18"/>
  <c r="O13" i="18"/>
  <c r="K13" i="18"/>
  <c r="DB13" i="18"/>
  <c r="G13" i="18"/>
  <c r="D13" i="18"/>
  <c r="EV13" i="18"/>
  <c r="EU13" i="18"/>
  <c r="ER13" i="18"/>
  <c r="EQ13" i="18"/>
  <c r="EP13" i="18"/>
  <c r="EO13" i="18"/>
  <c r="EN13" i="18"/>
  <c r="EM13" i="18"/>
  <c r="EJ13" i="18"/>
  <c r="EG13" i="18"/>
  <c r="EE13" i="18"/>
  <c r="EB13" i="18"/>
  <c r="EA13" i="18"/>
  <c r="DZ13" i="18"/>
  <c r="DV13" i="18"/>
  <c r="DS13" i="18"/>
  <c r="DR13" i="18"/>
  <c r="DQ13" i="18"/>
  <c r="DM13" i="18"/>
  <c r="DL13" i="18"/>
  <c r="DI13" i="18"/>
  <c r="DH13" i="18"/>
  <c r="DD13" i="18"/>
  <c r="DC13" i="18"/>
  <c r="BT13" i="18"/>
  <c r="BI13" i="18"/>
  <c r="BD13" i="18"/>
  <c r="AU13" i="18"/>
  <c r="AM13" i="18"/>
  <c r="AI13" i="18"/>
  <c r="AE13" i="18"/>
  <c r="AD13" i="18"/>
  <c r="AB13" i="18"/>
  <c r="Z13" i="18"/>
  <c r="W13" i="18"/>
  <c r="U13" i="18"/>
  <c r="T13" i="18"/>
  <c r="R13" i="18"/>
  <c r="Q13" i="18"/>
  <c r="E11" i="18"/>
  <c r="E13" i="18" s="1"/>
  <c r="B11" i="18"/>
  <c r="B13" i="18" s="1"/>
  <c r="GJ10" i="18"/>
  <c r="GI10" i="18"/>
  <c r="GC10" i="18"/>
  <c r="FU10" i="18"/>
  <c r="FO10" i="18"/>
  <c r="FJ10" i="18"/>
  <c r="FH10" i="18"/>
  <c r="FA10" i="18"/>
  <c r="ES10" i="18"/>
  <c r="EK10" i="18" s="1"/>
  <c r="EI10" i="18"/>
  <c r="EF10" i="18"/>
  <c r="EA10" i="18"/>
  <c r="DU10" i="18"/>
  <c r="DR10" i="18"/>
  <c r="DM10" i="18"/>
  <c r="DH10" i="18"/>
  <c r="DF10" i="18"/>
  <c r="DT10" i="18" s="1"/>
  <c r="BT10" i="18"/>
  <c r="GD10" i="18" s="1"/>
  <c r="BN10" i="18"/>
  <c r="BI10" i="18"/>
  <c r="BE10" i="18"/>
  <c r="BD10" i="18"/>
  <c r="AZ10" i="18"/>
  <c r="FB10" i="18" s="1"/>
  <c r="AU10" i="18"/>
  <c r="AM10" i="18" s="1"/>
  <c r="AI10" i="18"/>
  <c r="AH10" i="18"/>
  <c r="AE10" i="18"/>
  <c r="AB10" i="18"/>
  <c r="Z10" i="18"/>
  <c r="X10" i="18"/>
  <c r="U10" i="18"/>
  <c r="R10" i="18"/>
  <c r="Q10" i="18"/>
  <c r="DG10" i="18" s="1"/>
  <c r="E10" i="18"/>
  <c r="B10" i="18"/>
  <c r="GC9" i="18"/>
  <c r="FU9" i="18"/>
  <c r="FY9" i="18" s="1"/>
  <c r="FO9" i="18"/>
  <c r="FJ9" i="18"/>
  <c r="FH9" i="18"/>
  <c r="ES9" i="18"/>
  <c r="ET9" i="18" s="1"/>
  <c r="EK9" i="18"/>
  <c r="EF9" i="18"/>
  <c r="EA9" i="18"/>
  <c r="DU9" i="18"/>
  <c r="DR9" i="18"/>
  <c r="DM9" i="18"/>
  <c r="DH9" i="18"/>
  <c r="DF9" i="18"/>
  <c r="DP9" i="18" s="1"/>
  <c r="BT9" i="18"/>
  <c r="GD9" i="18" s="1"/>
  <c r="BN9" i="18"/>
  <c r="BI9" i="18"/>
  <c r="BE9" i="18"/>
  <c r="BD9" i="18"/>
  <c r="FI9" i="18" s="1"/>
  <c r="AU9" i="18"/>
  <c r="AV9" i="18" s="1"/>
  <c r="AI9" i="18"/>
  <c r="AE9" i="18"/>
  <c r="AB9" i="18"/>
  <c r="Z9" i="18"/>
  <c r="X9" i="18"/>
  <c r="U9" i="18"/>
  <c r="R9" i="18"/>
  <c r="Q9" i="18"/>
  <c r="E9" i="18"/>
  <c r="B9" i="18"/>
  <c r="GJ8" i="18"/>
  <c r="GI8" i="18"/>
  <c r="GC8" i="18"/>
  <c r="FU8" i="18"/>
  <c r="FY8" i="18" s="1"/>
  <c r="FO8" i="18"/>
  <c r="FS8" i="18" s="1"/>
  <c r="FJ8" i="18"/>
  <c r="FH8" i="18"/>
  <c r="FA8" i="18"/>
  <c r="ET8" i="18"/>
  <c r="ES8" i="18"/>
  <c r="EK8" i="18" s="1"/>
  <c r="EF8" i="18"/>
  <c r="EA8" i="18"/>
  <c r="DU8" i="18"/>
  <c r="DR8" i="18"/>
  <c r="DM8" i="18"/>
  <c r="DH8" i="18"/>
  <c r="DF8" i="18"/>
  <c r="BT8" i="18"/>
  <c r="BN8" i="18"/>
  <c r="BR8" i="18" s="1"/>
  <c r="BI8" i="18"/>
  <c r="BE8" i="18"/>
  <c r="BD8" i="18"/>
  <c r="FI8" i="18" s="1"/>
  <c r="AU8" i="18"/>
  <c r="AV8" i="18" s="1"/>
  <c r="AI8" i="18"/>
  <c r="AL8" i="18" s="1"/>
  <c r="AE8" i="18"/>
  <c r="AB8" i="18"/>
  <c r="Z8" i="18"/>
  <c r="X8" i="18"/>
  <c r="U8" i="18"/>
  <c r="R8" i="18"/>
  <c r="Q8" i="18"/>
  <c r="AH8" i="18" s="1"/>
  <c r="E8" i="18"/>
  <c r="B8" i="18"/>
  <c r="FU7" i="18"/>
  <c r="FO7" i="18"/>
  <c r="FS7" i="18" s="1"/>
  <c r="FM7" i="18"/>
  <c r="FJ7" i="18"/>
  <c r="FH7" i="18"/>
  <c r="FA7" i="18"/>
  <c r="ES7" i="18"/>
  <c r="ET7" i="18" s="1"/>
  <c r="EF7" i="18"/>
  <c r="EA7" i="18"/>
  <c r="DU7" i="18"/>
  <c r="DR7" i="18"/>
  <c r="DM7" i="18"/>
  <c r="DH7" i="18"/>
  <c r="DF7" i="18"/>
  <c r="DP7" i="18" s="1"/>
  <c r="BN7" i="18"/>
  <c r="BI7" i="18"/>
  <c r="BE7" i="18"/>
  <c r="BD7" i="18"/>
  <c r="AZ7" i="18"/>
  <c r="AU7" i="18"/>
  <c r="AV7" i="18" s="1"/>
  <c r="AM7" i="18"/>
  <c r="AI7" i="18"/>
  <c r="AE7" i="18"/>
  <c r="AB7" i="18"/>
  <c r="Z7" i="18"/>
  <c r="X7" i="18"/>
  <c r="U7" i="18"/>
  <c r="R7" i="18"/>
  <c r="Q7" i="18"/>
  <c r="AD7" i="18" s="1"/>
  <c r="E7" i="18"/>
  <c r="B7" i="18"/>
  <c r="GC6" i="18"/>
  <c r="FU6" i="18"/>
  <c r="FY6" i="18" s="1"/>
  <c r="FO6" i="18"/>
  <c r="FJ6" i="18"/>
  <c r="FH6" i="18"/>
  <c r="ES6" i="18"/>
  <c r="ET6" i="18" s="1"/>
  <c r="EK6" i="18"/>
  <c r="EF6" i="18"/>
  <c r="EA6" i="18"/>
  <c r="DX6" i="18"/>
  <c r="DU6" i="18"/>
  <c r="DR6" i="18"/>
  <c r="DM6" i="18"/>
  <c r="DK6" i="18"/>
  <c r="DH6" i="18"/>
  <c r="DF6" i="18"/>
  <c r="EI6" i="18" s="1"/>
  <c r="BT6" i="18"/>
  <c r="BN6" i="18"/>
  <c r="BR6" i="18" s="1"/>
  <c r="BI6" i="18"/>
  <c r="BE6" i="18"/>
  <c r="BD6" i="18"/>
  <c r="FI6" i="18" s="1"/>
  <c r="AU6" i="18"/>
  <c r="AV6" i="18" s="1"/>
  <c r="AI6" i="18"/>
  <c r="AE6" i="18"/>
  <c r="AB6" i="18"/>
  <c r="Z6" i="18"/>
  <c r="X6" i="18"/>
  <c r="U6" i="18"/>
  <c r="R6" i="18"/>
  <c r="Q6" i="18"/>
  <c r="DG6" i="18" s="1"/>
  <c r="E6" i="18"/>
  <c r="B6" i="18"/>
  <c r="DP6" i="18" l="1"/>
  <c r="FM8" i="18"/>
  <c r="BM10" i="18"/>
  <c r="FT10" i="18" s="1"/>
  <c r="T7" i="18"/>
  <c r="DG9" i="18"/>
  <c r="BR10" i="18"/>
  <c r="FZ10" i="18" s="1"/>
  <c r="FS10" i="18"/>
  <c r="FZ6" i="18"/>
  <c r="EU7" i="18"/>
  <c r="BR9" i="18"/>
  <c r="FZ9" i="18" s="1"/>
  <c r="W6" i="18"/>
  <c r="DQ6" i="18" s="1"/>
  <c r="AD6" i="18"/>
  <c r="AA6" i="18" s="1"/>
  <c r="GD6" i="18"/>
  <c r="W8" i="18"/>
  <c r="AD8" i="18"/>
  <c r="AA8" i="18" s="1"/>
  <c r="EU8" i="18"/>
  <c r="FZ8" i="18"/>
  <c r="W9" i="18"/>
  <c r="DQ9" i="18" s="1"/>
  <c r="AH9" i="18"/>
  <c r="EE9" i="18" s="1"/>
  <c r="AV10" i="18"/>
  <c r="AL6" i="18"/>
  <c r="EJ6" i="18" s="1"/>
  <c r="DT6" i="18"/>
  <c r="DY6" i="18" s="1"/>
  <c r="ED6" i="18"/>
  <c r="ED7" i="18"/>
  <c r="FY7" i="18"/>
  <c r="GD8" i="18"/>
  <c r="BH9" i="18"/>
  <c r="FN9" i="18" s="1"/>
  <c r="ED9" i="18"/>
  <c r="FS9" i="18"/>
  <c r="AL10" i="18"/>
  <c r="EJ10" i="18" s="1"/>
  <c r="ET10" i="18"/>
  <c r="T6" i="18"/>
  <c r="DL6" i="18" s="1"/>
  <c r="FM6" i="18"/>
  <c r="AA7" i="18"/>
  <c r="T8" i="18"/>
  <c r="AZ8" i="18" s="1"/>
  <c r="BH8" i="18"/>
  <c r="FN8" i="18" s="1"/>
  <c r="ED8" i="18"/>
  <c r="T9" i="18"/>
  <c r="EU9" i="18"/>
  <c r="DT9" i="18"/>
  <c r="EI9" i="18"/>
  <c r="BH10" i="18"/>
  <c r="FN10" i="18" s="1"/>
  <c r="FY10" i="18"/>
  <c r="EU6" i="18"/>
  <c r="GK10" i="18"/>
  <c r="FB7" i="18"/>
  <c r="GK8" i="18"/>
  <c r="FV13" i="18"/>
  <c r="FU13" i="18"/>
  <c r="FF13" i="18"/>
  <c r="EF13" i="18"/>
  <c r="FD13" i="18"/>
  <c r="BR13" i="18"/>
  <c r="DL7" i="18"/>
  <c r="FA13" i="18"/>
  <c r="FB13" i="18"/>
  <c r="EE8" i="18"/>
  <c r="ET13" i="18"/>
  <c r="EK13" i="18"/>
  <c r="ES13" i="18"/>
  <c r="BM13" i="18"/>
  <c r="AH7" i="18"/>
  <c r="EE7" i="18" s="1"/>
  <c r="DG8" i="18"/>
  <c r="DT8" i="18"/>
  <c r="AL9" i="18"/>
  <c r="EJ9" i="18" s="1"/>
  <c r="DK10" i="18"/>
  <c r="DX10" i="18"/>
  <c r="DY10" i="18" s="1"/>
  <c r="FI10" i="18"/>
  <c r="AA13" i="18"/>
  <c r="BN13" i="18"/>
  <c r="DN13" i="18"/>
  <c r="EL13" i="18"/>
  <c r="AH6" i="18"/>
  <c r="EE6" i="18" s="1"/>
  <c r="FS6" i="18"/>
  <c r="W7" i="18"/>
  <c r="DQ7" i="18" s="1"/>
  <c r="BH7" i="18"/>
  <c r="FN7" i="18" s="1"/>
  <c r="DG7" i="18"/>
  <c r="DT7" i="18"/>
  <c r="EI8" i="18"/>
  <c r="EJ8" i="18" s="1"/>
  <c r="AM9" i="18"/>
  <c r="BM9" i="18"/>
  <c r="FT9" i="18" s="1"/>
  <c r="DK9" i="18"/>
  <c r="DL9" i="18" s="1"/>
  <c r="DX9" i="18"/>
  <c r="DY9" i="18" s="1"/>
  <c r="AV13" i="18"/>
  <c r="DG13" i="18"/>
  <c r="BH6" i="18"/>
  <c r="FN6" i="18" s="1"/>
  <c r="AL7" i="18"/>
  <c r="EI7" i="18"/>
  <c r="AM8" i="18"/>
  <c r="BM8" i="18"/>
  <c r="FT8" i="18" s="1"/>
  <c r="DK8" i="18"/>
  <c r="DL8" i="18" s="1"/>
  <c r="DX8" i="18"/>
  <c r="FM10" i="18"/>
  <c r="BH13" i="18"/>
  <c r="BM7" i="18"/>
  <c r="FT7" i="18" s="1"/>
  <c r="DK7" i="18"/>
  <c r="DX7" i="18"/>
  <c r="FI7" i="18"/>
  <c r="FM9" i="18"/>
  <c r="AD10" i="18"/>
  <c r="AA10" i="18" s="1"/>
  <c r="DP10" i="18"/>
  <c r="AM6" i="18"/>
  <c r="BM6" i="18"/>
  <c r="EK7" i="18"/>
  <c r="AD9" i="18"/>
  <c r="AA9" i="18" s="1"/>
  <c r="T10" i="18"/>
  <c r="DL10" i="18" s="1"/>
  <c r="CH10" i="18"/>
  <c r="ED10" i="18"/>
  <c r="EE10" i="18" s="1"/>
  <c r="AH13" i="18"/>
  <c r="EH13" i="18"/>
  <c r="BR7" i="18"/>
  <c r="FZ7" i="18" s="1"/>
  <c r="DP8" i="18"/>
  <c r="W10" i="18"/>
  <c r="AL13" i="18"/>
  <c r="GC7" i="18" l="1"/>
  <c r="GJ7" i="18" s="1"/>
  <c r="DZ9" i="18"/>
  <c r="DZ6" i="18"/>
  <c r="DZ10" i="18"/>
  <c r="EU10" i="18"/>
  <c r="DY7" i="18"/>
  <c r="DZ7" i="18" s="1"/>
  <c r="DQ8" i="18"/>
  <c r="FT6" i="18"/>
  <c r="FH13" i="18"/>
  <c r="FI13" i="18"/>
  <c r="AZ9" i="18"/>
  <c r="DQ10" i="18"/>
  <c r="DY8" i="18"/>
  <c r="DZ8" i="18" s="1"/>
  <c r="BT7" i="18"/>
  <c r="CH8" i="18"/>
  <c r="FB8" i="18"/>
  <c r="AZ6" i="18"/>
  <c r="DP13" i="18"/>
  <c r="ED13" i="18"/>
  <c r="DT13" i="18"/>
  <c r="DK13" i="18"/>
  <c r="DF13" i="18"/>
  <c r="EI13" i="18"/>
  <c r="EJ7" i="18"/>
  <c r="FY13" i="18" l="1"/>
  <c r="FZ13" i="18"/>
  <c r="GD7" i="18"/>
  <c r="CH7" i="18"/>
  <c r="GI7" i="18"/>
  <c r="GK7" i="18" s="1"/>
  <c r="CH13" i="18"/>
  <c r="AZ13" i="18"/>
  <c r="GI9" i="18"/>
  <c r="CH9" i="18"/>
  <c r="FA9" i="18" s="1"/>
  <c r="GJ9" i="18" s="1"/>
  <c r="GI6" i="18"/>
  <c r="CH6" i="18"/>
  <c r="FA6" i="18" s="1"/>
  <c r="GJ6" i="18" s="1"/>
  <c r="DY13" i="18"/>
  <c r="DX13" i="18"/>
  <c r="GK9" i="18" l="1"/>
  <c r="FB9" i="18"/>
  <c r="GK6" i="18"/>
  <c r="FB6" i="18"/>
  <c r="B82" i="11" l="1"/>
  <c r="C52" i="11" l="1"/>
  <c r="H45" i="12" l="1"/>
  <c r="H32" i="12"/>
  <c r="H33" i="12"/>
  <c r="C207" i="11"/>
  <c r="H38" i="12" s="1"/>
  <c r="C200" i="11"/>
  <c r="H31" i="12" s="1"/>
  <c r="C199" i="11"/>
  <c r="H30" i="12" s="1"/>
  <c r="C198" i="11"/>
  <c r="H29" i="12" s="1"/>
  <c r="E72" i="11"/>
  <c r="E48" i="11" l="1"/>
  <c r="AB47" i="11"/>
  <c r="AB46" i="11"/>
  <c r="AB45" i="11"/>
  <c r="D8" i="17" l="1"/>
  <c r="D7" i="17"/>
  <c r="AB11" i="11" l="1"/>
  <c r="C212" i="11" l="1"/>
  <c r="H43" i="12" s="1"/>
  <c r="C211" i="11"/>
  <c r="H42" i="12" s="1"/>
  <c r="C210" i="11"/>
  <c r="H41" i="12" s="1"/>
  <c r="C209" i="11"/>
  <c r="H40" i="12" s="1"/>
  <c r="C204" i="11"/>
  <c r="C9" i="16" l="1"/>
  <c r="Q23" i="12" l="1"/>
  <c r="C203" i="11"/>
  <c r="H34" i="12" s="1"/>
  <c r="GI13" i="18" l="1"/>
  <c r="H23" i="12"/>
  <c r="AA23" i="12" s="1"/>
  <c r="F12" i="16"/>
  <c r="AA17" i="12" l="1"/>
  <c r="C213" i="11"/>
  <c r="H44" i="12" s="1"/>
  <c r="AA2" i="12"/>
  <c r="AB211" i="11" l="1"/>
  <c r="C197" i="11" l="1"/>
  <c r="Y162" i="11" l="1"/>
  <c r="AB221" i="11" l="1"/>
  <c r="Y87" i="11" l="1"/>
  <c r="H28" i="12" l="1"/>
  <c r="AB167" i="11"/>
  <c r="AB168" i="11"/>
  <c r="Y179" i="11" l="1"/>
  <c r="Y172" i="11"/>
  <c r="AB225" i="11" l="1"/>
  <c r="AB224" i="11"/>
  <c r="AB223" i="11"/>
  <c r="AB222" i="11"/>
  <c r="AB29" i="11" l="1"/>
  <c r="AB179" i="11"/>
  <c r="AC156" i="11"/>
  <c r="AC173" i="11"/>
  <c r="AC164" i="11"/>
  <c r="AB161" i="11"/>
  <c r="Y88" i="11" l="1"/>
  <c r="Y89" i="11" s="1"/>
  <c r="AB31" i="11"/>
  <c r="Y118" i="11" l="1"/>
  <c r="O11" i="12"/>
  <c r="O12" i="12"/>
  <c r="O10" i="12"/>
  <c r="P9" i="12"/>
  <c r="BG29" i="11"/>
  <c r="B5" i="12" s="1"/>
  <c r="FP11" i="18" l="1"/>
  <c r="FQ11" i="18"/>
  <c r="FR11" i="18"/>
  <c r="FR13" i="18" s="1"/>
  <c r="FS11" i="18"/>
  <c r="AB36" i="11"/>
  <c r="AB35" i="11"/>
  <c r="AB61" i="11"/>
  <c r="FO11" i="18" l="1"/>
  <c r="FQ13" i="18"/>
  <c r="FP13" i="18"/>
  <c r="U85" i="11"/>
  <c r="AB78" i="11"/>
  <c r="AB42" i="11"/>
  <c r="AB41" i="11"/>
  <c r="AB40" i="11"/>
  <c r="Y37" i="11"/>
  <c r="AB34" i="11"/>
  <c r="AB33" i="11"/>
  <c r="AB32" i="11"/>
  <c r="AB30" i="11"/>
  <c r="AB13" i="11"/>
  <c r="AB12" i="11"/>
  <c r="AB10" i="11"/>
  <c r="AB8" i="11"/>
  <c r="FO13" i="18" l="1"/>
  <c r="Y100" i="11"/>
  <c r="H3" i="16"/>
  <c r="G3" i="16"/>
  <c r="AB141" i="11"/>
  <c r="Y149" i="11"/>
  <c r="AB89" i="11"/>
  <c r="FK11" i="18" l="1"/>
  <c r="FL11" i="18"/>
  <c r="FL13" i="18" s="1"/>
  <c r="FM11" i="18"/>
  <c r="C205" i="11"/>
  <c r="H36" i="12" s="1"/>
  <c r="C206" i="11"/>
  <c r="FS13" i="18"/>
  <c r="FT13" i="18"/>
  <c r="FI11" i="11"/>
  <c r="K185" i="11"/>
  <c r="H6" i="16"/>
  <c r="J6" i="16" s="1"/>
  <c r="G6" i="16"/>
  <c r="H4" i="16"/>
  <c r="J4" i="16" s="1"/>
  <c r="G4" i="16"/>
  <c r="H5" i="16"/>
  <c r="J5" i="16" s="1"/>
  <c r="G5" i="16"/>
  <c r="J3" i="16"/>
  <c r="C208" i="11"/>
  <c r="H39" i="12" s="1"/>
  <c r="AB185" i="11"/>
  <c r="AB140" i="11"/>
  <c r="AB138" i="11"/>
  <c r="AB139" i="11"/>
  <c r="AB137" i="11"/>
  <c r="FJ11" i="18" l="1"/>
  <c r="H37" i="12"/>
  <c r="AB206" i="11"/>
  <c r="H9" i="16"/>
  <c r="Q24" i="12" s="1"/>
  <c r="Q25" i="12" s="1"/>
  <c r="FK13" i="18"/>
  <c r="G9" i="16"/>
  <c r="H24" i="12" s="1"/>
  <c r="H25" i="12" s="1"/>
  <c r="FJ13" i="18" l="1"/>
  <c r="FM13" i="18" l="1"/>
  <c r="FN13" i="18" l="1"/>
  <c r="GC13" i="18" l="1"/>
  <c r="GD13" i="18"/>
  <c r="GJ13" i="18" l="1"/>
  <c r="GK13" i="18"/>
</calcChain>
</file>

<file path=xl/comments1.xml><?xml version="1.0" encoding="utf-8"?>
<comments xmlns="http://schemas.openxmlformats.org/spreadsheetml/2006/main">
  <authors>
    <author>鳥取県庁</author>
  </authors>
  <commentList>
    <comment ref="N11" authorId="0" shapeId="0">
      <text>
        <r>
          <rPr>
            <b/>
            <sz val="9"/>
            <color indexed="81"/>
            <rFont val="ＭＳ Ｐゴシック"/>
            <family val="3"/>
            <charset val="128"/>
          </rPr>
          <t>実績報告では転居後の住所を記載して下さい。</t>
        </r>
      </text>
    </comment>
    <comment ref="J221" authorId="0" shapeId="0">
      <text>
        <r>
          <rPr>
            <b/>
            <sz val="9"/>
            <color indexed="81"/>
            <rFont val="ＭＳ Ｐゴシック"/>
            <family val="3"/>
            <charset val="128"/>
          </rPr>
          <t>工事監理者が不要な場合は、工事施工者氏名を選択してください。</t>
        </r>
      </text>
    </comment>
  </commentList>
</comments>
</file>

<file path=xl/sharedStrings.xml><?xml version="1.0" encoding="utf-8"?>
<sst xmlns="http://schemas.openxmlformats.org/spreadsheetml/2006/main" count="675" uniqueCount="446">
  <si>
    <t>万円</t>
    <rPh sb="0" eb="2">
      <t>マンエン</t>
    </rPh>
    <phoneticPr fontId="1"/>
  </si>
  <si>
    <t>建設地</t>
    <rPh sb="0" eb="3">
      <t>ケンセツチ</t>
    </rPh>
    <phoneticPr fontId="1"/>
  </si>
  <si>
    <t>工期</t>
    <rPh sb="0" eb="2">
      <t>コウキ</t>
    </rPh>
    <phoneticPr fontId="1"/>
  </si>
  <si>
    <t>事業者名</t>
    <rPh sb="0" eb="3">
      <t>ジギョウシャ</t>
    </rPh>
    <rPh sb="3" eb="4">
      <t>メイ</t>
    </rPh>
    <phoneticPr fontId="1"/>
  </si>
  <si>
    <t>所在地</t>
    <rPh sb="0" eb="3">
      <t>ショザイチ</t>
    </rPh>
    <phoneticPr fontId="1"/>
  </si>
  <si>
    <t>所管団体</t>
    <rPh sb="0" eb="2">
      <t>ショカン</t>
    </rPh>
    <rPh sb="2" eb="4">
      <t>ダンタイ</t>
    </rPh>
    <phoneticPr fontId="1"/>
  </si>
  <si>
    <t>氏名</t>
    <rPh sb="0" eb="2">
      <t>シメイ</t>
    </rPh>
    <phoneticPr fontId="1"/>
  </si>
  <si>
    <t>申請者世帯</t>
    <rPh sb="0" eb="3">
      <t>シンセイシャ</t>
    </rPh>
    <rPh sb="3" eb="5">
      <t>セタイ</t>
    </rPh>
    <phoneticPr fontId="1"/>
  </si>
  <si>
    <t>日</t>
    <rPh sb="0" eb="1">
      <t>ニチ</t>
    </rPh>
    <phoneticPr fontId="1"/>
  </si>
  <si>
    <t>年</t>
    <rPh sb="0" eb="1">
      <t>ネン</t>
    </rPh>
    <phoneticPr fontId="1"/>
  </si>
  <si>
    <t>電話</t>
    <rPh sb="0" eb="2">
      <t>デンワ</t>
    </rPh>
    <phoneticPr fontId="1"/>
  </si>
  <si>
    <t>〒</t>
    <phoneticPr fontId="1"/>
  </si>
  <si>
    <t>　－　　　－　</t>
    <phoneticPr fontId="1"/>
  </si>
  <si>
    <t>　県が交付する文書は、下記に送付してください。</t>
    <rPh sb="1" eb="2">
      <t>ケン</t>
    </rPh>
    <rPh sb="3" eb="5">
      <t>コウフ</t>
    </rPh>
    <rPh sb="7" eb="9">
      <t>ブンショ</t>
    </rPh>
    <rPh sb="11" eb="13">
      <t>カキ</t>
    </rPh>
    <rPh sb="14" eb="16">
      <t>ソウフ</t>
    </rPh>
    <phoneticPr fontId="1"/>
  </si>
  <si>
    <t>住所</t>
    <rPh sb="0" eb="2">
      <t>ジュウショ</t>
    </rPh>
    <phoneticPr fontId="1"/>
  </si>
  <si>
    <t>申請者</t>
    <rPh sb="0" eb="3">
      <t>シンセイシャ</t>
    </rPh>
    <phoneticPr fontId="1"/>
  </si>
  <si>
    <t>記</t>
    <rPh sb="0" eb="1">
      <t>キ</t>
    </rPh>
    <phoneticPr fontId="1"/>
  </si>
  <si>
    <t>とっとり住まいる支援事業補助金</t>
    <rPh sb="4" eb="5">
      <t>ス</t>
    </rPh>
    <rPh sb="12" eb="15">
      <t>ホジョキン</t>
    </rPh>
    <phoneticPr fontId="1"/>
  </si>
  <si>
    <t>算定基準額</t>
    <rPh sb="0" eb="2">
      <t>サンテイ</t>
    </rPh>
    <rPh sb="2" eb="4">
      <t>キジュン</t>
    </rPh>
    <rPh sb="4" eb="5">
      <t>ガク</t>
    </rPh>
    <phoneticPr fontId="1"/>
  </si>
  <si>
    <t>円</t>
    <rPh sb="0" eb="1">
      <t>エン</t>
    </rPh>
    <phoneticPr fontId="1"/>
  </si>
  <si>
    <t>添付書類</t>
    <rPh sb="0" eb="2">
      <t>テンプ</t>
    </rPh>
    <rPh sb="2" eb="4">
      <t>ショルイ</t>
    </rPh>
    <phoneticPr fontId="1"/>
  </si>
  <si>
    <t>担当者</t>
    <rPh sb="0" eb="3">
      <t>タントウシャ</t>
    </rPh>
    <phoneticPr fontId="1"/>
  </si>
  <si>
    <t>連絡先電話</t>
    <rPh sb="0" eb="3">
      <t>レンラクサキ</t>
    </rPh>
    <rPh sb="3" eb="5">
      <t>デンワ</t>
    </rPh>
    <phoneticPr fontId="1"/>
  </si>
  <si>
    <t>共通事項</t>
    <rPh sb="0" eb="2">
      <t>キョウツウ</t>
    </rPh>
    <rPh sb="2" eb="4">
      <t>ジコウ</t>
    </rPh>
    <phoneticPr fontId="1"/>
  </si>
  <si>
    <t>申請者　</t>
    <rPh sb="0" eb="3">
      <t>シンセイシャ</t>
    </rPh>
    <phoneticPr fontId="1"/>
  </si>
  <si>
    <t>月</t>
    <rPh sb="0" eb="1">
      <t>ツキ</t>
    </rPh>
    <phoneticPr fontId="1"/>
  </si>
  <si>
    <t>連絡先</t>
  </si>
  <si>
    <t>工法</t>
    <rPh sb="0" eb="2">
      <t>コウホウ</t>
    </rPh>
    <phoneticPr fontId="1"/>
  </si>
  <si>
    <t>建築確認の要否</t>
    <rPh sb="0" eb="2">
      <t>ケンチク</t>
    </rPh>
    <rPh sb="2" eb="4">
      <t>カクニン</t>
    </rPh>
    <rPh sb="5" eb="7">
      <t>ヨウヒ</t>
    </rPh>
    <phoneticPr fontId="1"/>
  </si>
  <si>
    <t>１　共通事項</t>
    <rPh sb="2" eb="4">
      <t>キョウツウ</t>
    </rPh>
    <rPh sb="4" eb="6">
      <t>ジコウ</t>
    </rPh>
    <phoneticPr fontId="1"/>
  </si>
  <si>
    <t>補助金名</t>
    <rPh sb="0" eb="3">
      <t>ホジョキン</t>
    </rPh>
    <rPh sb="3" eb="4">
      <t>メイ</t>
    </rPh>
    <phoneticPr fontId="1"/>
  </si>
  <si>
    <t>※他の補助金を利用する場合に、記入してください。</t>
    <rPh sb="1" eb="2">
      <t>ホカ</t>
    </rPh>
    <rPh sb="3" eb="6">
      <t>ホジョキン</t>
    </rPh>
    <rPh sb="7" eb="9">
      <t>リヨウ</t>
    </rPh>
    <rPh sb="11" eb="13">
      <t>バアイ</t>
    </rPh>
    <rPh sb="15" eb="17">
      <t>キニュウ</t>
    </rPh>
    <phoneticPr fontId="1"/>
  </si>
  <si>
    <t>※複数ある場合は、すべて記入してください</t>
    <rPh sb="1" eb="3">
      <t>フクスウ</t>
    </rPh>
    <rPh sb="5" eb="7">
      <t>バアイ</t>
    </rPh>
    <rPh sb="12" eb="14">
      <t>キニュウ</t>
    </rPh>
    <phoneticPr fontId="1"/>
  </si>
  <si>
    <t>２　県産材の使用</t>
    <rPh sb="2" eb="4">
      <t>ケンサン</t>
    </rPh>
    <rPh sb="4" eb="5">
      <t>ザイ</t>
    </rPh>
    <rPh sb="6" eb="8">
      <t>シヨウ</t>
    </rPh>
    <phoneticPr fontId="1"/>
  </si>
  <si>
    <t>例</t>
    <rPh sb="0" eb="1">
      <t>レイ</t>
    </rPh>
    <phoneticPr fontId="1"/>
  </si>
  <si>
    <t>連絡先</t>
    <rPh sb="0" eb="3">
      <t>レンラクサキ</t>
    </rPh>
    <phoneticPr fontId="1"/>
  </si>
  <si>
    <t>申請者　住所：</t>
    <rPh sb="0" eb="3">
      <t>シンセイシャ</t>
    </rPh>
    <rPh sb="4" eb="6">
      <t>ジュウショ</t>
    </rPh>
    <phoneticPr fontId="1"/>
  </si>
  <si>
    <t>氏名：</t>
    <rPh sb="0" eb="2">
      <t>シメイ</t>
    </rPh>
    <phoneticPr fontId="1"/>
  </si>
  <si>
    <t>〒</t>
    <phoneticPr fontId="1"/>
  </si>
  <si>
    <t>各項目をよくお読みいただき、該当する項目の□に✔を記入してください。</t>
    <rPh sb="0" eb="3">
      <t>カクコウモク</t>
    </rPh>
    <rPh sb="7" eb="8">
      <t>ヨ</t>
    </rPh>
    <rPh sb="14" eb="16">
      <t>ガイトウ</t>
    </rPh>
    <rPh sb="18" eb="20">
      <t>コウモク</t>
    </rPh>
    <rPh sb="25" eb="27">
      <t>キニュウ</t>
    </rPh>
    <phoneticPr fontId="1"/>
  </si>
  <si>
    <t>＜記入方法＞</t>
    <rPh sb="1" eb="3">
      <t>キニュウ</t>
    </rPh>
    <rPh sb="3" eb="5">
      <t>ホウホウ</t>
    </rPh>
    <phoneticPr fontId="1"/>
  </si>
  <si>
    <t>他の補助金の利用有無</t>
    <rPh sb="0" eb="1">
      <t>ホカ</t>
    </rPh>
    <rPh sb="2" eb="5">
      <t>ホジョキン</t>
    </rPh>
    <rPh sb="6" eb="8">
      <t>リヨウ</t>
    </rPh>
    <rPh sb="8" eb="10">
      <t>ウム</t>
    </rPh>
    <phoneticPr fontId="1"/>
  </si>
  <si>
    <t>併用する補助金の内容によっては、とっとり住まいる支援事業補助金の全部または一部が受けられないことがあります。</t>
    <rPh sb="0" eb="2">
      <t>ヘイヨウ</t>
    </rPh>
    <rPh sb="4" eb="7">
      <t>ホジョキン</t>
    </rPh>
    <rPh sb="8" eb="10">
      <t>ナイヨウ</t>
    </rPh>
    <rPh sb="20" eb="21">
      <t>ス</t>
    </rPh>
    <rPh sb="24" eb="28">
      <t>シエンジギョウ</t>
    </rPh>
    <rPh sb="28" eb="31">
      <t>ホジョキン</t>
    </rPh>
    <rPh sb="32" eb="34">
      <t>ゼンブ</t>
    </rPh>
    <rPh sb="37" eb="39">
      <t>イチブ</t>
    </rPh>
    <rPh sb="40" eb="41">
      <t>ウ</t>
    </rPh>
    <phoneticPr fontId="1"/>
  </si>
  <si>
    <t>＜注意事項＞</t>
    <rPh sb="1" eb="3">
      <t>チュウイ</t>
    </rPh>
    <rPh sb="3" eb="5">
      <t>ジコウ</t>
    </rPh>
    <phoneticPr fontId="1"/>
  </si>
  <si>
    <t>併用できない補助金を利用していることが判明した場合、とっとり住まいる支援事業補助金の交付決定をを取り消すことがあります。既にとっとり住まいる支援事業補助金を支給済みの場合は、補助金の全部または一部の返還を求めることがあります。</t>
    <rPh sb="0" eb="2">
      <t>ヘイヨウ</t>
    </rPh>
    <rPh sb="6" eb="9">
      <t>ホジョキン</t>
    </rPh>
    <rPh sb="10" eb="12">
      <t>リヨウ</t>
    </rPh>
    <rPh sb="19" eb="21">
      <t>ハンメイ</t>
    </rPh>
    <rPh sb="23" eb="25">
      <t>バアイ</t>
    </rPh>
    <rPh sb="30" eb="31">
      <t>ス</t>
    </rPh>
    <rPh sb="34" eb="41">
      <t>シエンジギョウホジョキン</t>
    </rPh>
    <rPh sb="42" eb="44">
      <t>コウフ</t>
    </rPh>
    <rPh sb="44" eb="46">
      <t>ケッテイ</t>
    </rPh>
    <rPh sb="48" eb="49">
      <t>ト</t>
    </rPh>
    <rPh sb="50" eb="51">
      <t>ケ</t>
    </rPh>
    <rPh sb="60" eb="61">
      <t>スデ</t>
    </rPh>
    <rPh sb="66" eb="67">
      <t>ス</t>
    </rPh>
    <rPh sb="70" eb="77">
      <t>シエンジギョウホジョキン</t>
    </rPh>
    <rPh sb="78" eb="80">
      <t>シキュウ</t>
    </rPh>
    <rPh sb="80" eb="81">
      <t>ズ</t>
    </rPh>
    <rPh sb="83" eb="85">
      <t>バアイ</t>
    </rPh>
    <rPh sb="87" eb="90">
      <t>ホジョキン</t>
    </rPh>
    <rPh sb="91" eb="93">
      <t>ゼンブ</t>
    </rPh>
    <rPh sb="96" eb="98">
      <t>イチブ</t>
    </rPh>
    <rPh sb="99" eb="101">
      <t>ヘンカン</t>
    </rPh>
    <rPh sb="102" eb="103">
      <t>モト</t>
    </rPh>
    <phoneticPr fontId="1"/>
  </si>
  <si>
    <t>＜留意点＞</t>
    <rPh sb="1" eb="4">
      <t>リュウイテン</t>
    </rPh>
    <phoneticPr fontId="1"/>
  </si>
  <si>
    <t>交付申請の時点で婚姻していない場合は対象外です。</t>
    <rPh sb="0" eb="2">
      <t>コウフ</t>
    </rPh>
    <rPh sb="2" eb="4">
      <t>シンセイ</t>
    </rPh>
    <rPh sb="5" eb="7">
      <t>ジテン</t>
    </rPh>
    <rPh sb="8" eb="10">
      <t>コンイン</t>
    </rPh>
    <rPh sb="15" eb="17">
      <t>バアイ</t>
    </rPh>
    <rPh sb="18" eb="21">
      <t>タイショウガイ</t>
    </rPh>
    <phoneticPr fontId="1"/>
  </si>
  <si>
    <t>使用量</t>
    <rPh sb="0" eb="2">
      <t>シヨウ</t>
    </rPh>
    <rPh sb="2" eb="3">
      <t>リョウ</t>
    </rPh>
    <phoneticPr fontId="1"/>
  </si>
  <si>
    <t>区分</t>
    <rPh sb="0" eb="2">
      <t>クブン</t>
    </rPh>
    <phoneticPr fontId="1"/>
  </si>
  <si>
    <t>交付申請の時点で子が生まれていない場合は対象外です。</t>
    <rPh sb="0" eb="4">
      <t>コウフシンセイ</t>
    </rPh>
    <rPh sb="5" eb="7">
      <t>ジテン</t>
    </rPh>
    <rPh sb="8" eb="9">
      <t>コ</t>
    </rPh>
    <rPh sb="10" eb="11">
      <t>ウ</t>
    </rPh>
    <rPh sb="17" eb="19">
      <t>バアイ</t>
    </rPh>
    <rPh sb="20" eb="23">
      <t>タイショウガイ</t>
    </rPh>
    <phoneticPr fontId="1"/>
  </si>
  <si>
    <t>① 18歳に達して以後の最初の3月31日まで</t>
    <rPh sb="4" eb="5">
      <t>サイ</t>
    </rPh>
    <rPh sb="6" eb="7">
      <t>タッ</t>
    </rPh>
    <rPh sb="9" eb="11">
      <t>イゴ</t>
    </rPh>
    <rPh sb="12" eb="14">
      <t>サイショ</t>
    </rPh>
    <rPh sb="16" eb="17">
      <t>ガツ</t>
    </rPh>
    <rPh sb="19" eb="20">
      <t>ニチ</t>
    </rPh>
    <phoneticPr fontId="1"/>
  </si>
  <si>
    <t>　にある子を養育している世帯</t>
    <rPh sb="4" eb="5">
      <t>コ</t>
    </rPh>
    <rPh sb="6" eb="8">
      <t>ヨウイク</t>
    </rPh>
    <rPh sb="12" eb="14">
      <t>セタイ</t>
    </rPh>
    <phoneticPr fontId="1"/>
  </si>
  <si>
    <t>② 婚姻後10年以内の世帯</t>
    <rPh sb="2" eb="4">
      <t>コンイン</t>
    </rPh>
    <rPh sb="4" eb="5">
      <t>ゴ</t>
    </rPh>
    <rPh sb="7" eb="8">
      <t>ネン</t>
    </rPh>
    <rPh sb="8" eb="10">
      <t>イナイ</t>
    </rPh>
    <rPh sb="11" eb="13">
      <t>セタイ</t>
    </rPh>
    <phoneticPr fontId="1"/>
  </si>
  <si>
    <t>次の①②のどちらかに該当すること。</t>
    <phoneticPr fontId="1"/>
  </si>
  <si>
    <t>万円</t>
    <rPh sb="0" eb="2">
      <t>マンエン</t>
    </rPh>
    <phoneticPr fontId="1"/>
  </si>
  <si>
    <t>３　子育て世帯等　（補助金額：１０万円）</t>
    <rPh sb="2" eb="4">
      <t>コソダ</t>
    </rPh>
    <rPh sb="5" eb="7">
      <t>セタイ</t>
    </rPh>
    <rPh sb="7" eb="8">
      <t>トウ</t>
    </rPh>
    <rPh sb="10" eb="14">
      <t>ホジョキンガク</t>
    </rPh>
    <rPh sb="17" eb="19">
      <t>マンエン</t>
    </rPh>
    <phoneticPr fontId="1"/>
  </si>
  <si>
    <t>　　補助対象となる建具・・・・・・・・・</t>
    <rPh sb="2" eb="4">
      <t>ホジョ</t>
    </rPh>
    <rPh sb="4" eb="6">
      <t>タイショウ</t>
    </rPh>
    <rPh sb="9" eb="11">
      <t>タテグ</t>
    </rPh>
    <phoneticPr fontId="1"/>
  </si>
  <si>
    <t>　　補助対象とならない建具・・・・・・</t>
    <rPh sb="2" eb="4">
      <t>ホジョ</t>
    </rPh>
    <rPh sb="4" eb="6">
      <t>タイショウ</t>
    </rPh>
    <rPh sb="11" eb="13">
      <t>タテグ</t>
    </rPh>
    <phoneticPr fontId="1"/>
  </si>
  <si>
    <t>框戸、格子戸、障子、襖、欄間　　等</t>
    <rPh sb="0" eb="2">
      <t>カマチド</t>
    </rPh>
    <rPh sb="3" eb="6">
      <t>コウシド</t>
    </rPh>
    <rPh sb="7" eb="9">
      <t>ショウジ</t>
    </rPh>
    <rPh sb="10" eb="11">
      <t>フスマ</t>
    </rPh>
    <rPh sb="12" eb="14">
      <t>ランマ</t>
    </rPh>
    <rPh sb="16" eb="17">
      <t>トウ</t>
    </rPh>
    <phoneticPr fontId="1"/>
  </si>
  <si>
    <t>戸襖、フラッシュ戸　等</t>
    <rPh sb="0" eb="1">
      <t>ト</t>
    </rPh>
    <rPh sb="1" eb="2">
      <t>フスマ</t>
    </rPh>
    <rPh sb="8" eb="9">
      <t>ト</t>
    </rPh>
    <rPh sb="10" eb="11">
      <t>トウ</t>
    </rPh>
    <phoneticPr fontId="1"/>
  </si>
  <si>
    <t>４　三世代同居等世帯　（補助金額：１０万円）</t>
    <rPh sb="2" eb="3">
      <t>サン</t>
    </rPh>
    <rPh sb="3" eb="5">
      <t>セダイ</t>
    </rPh>
    <rPh sb="5" eb="7">
      <t>ドウキョ</t>
    </rPh>
    <rPh sb="7" eb="8">
      <t>トウ</t>
    </rPh>
    <rPh sb="8" eb="10">
      <t>セタイ</t>
    </rPh>
    <phoneticPr fontId="1"/>
  </si>
  <si>
    <t>あなたの補助金申請額は</t>
    <rPh sb="4" eb="7">
      <t>ホジョキン</t>
    </rPh>
    <rPh sb="7" eb="9">
      <t>シンセイ</t>
    </rPh>
    <rPh sb="9" eb="10">
      <t>ガク</t>
    </rPh>
    <phoneticPr fontId="1"/>
  </si>
  <si>
    <t>万円です。</t>
    <rPh sb="0" eb="2">
      <t>マンエン</t>
    </rPh>
    <phoneticPr fontId="1"/>
  </si>
  <si>
    <t>←住所・氏名・電話はチェックシートから引用します</t>
    <rPh sb="1" eb="3">
      <t>ジュウショ</t>
    </rPh>
    <rPh sb="4" eb="6">
      <t>シメイ</t>
    </rPh>
    <rPh sb="7" eb="9">
      <t>デンワ</t>
    </rPh>
    <rPh sb="19" eb="21">
      <t>インヨウ</t>
    </rPh>
    <phoneticPr fontId="1"/>
  </si>
  <si>
    <t>←金額はチェックシートに連動して表示します。</t>
    <rPh sb="1" eb="3">
      <t>キンガク</t>
    </rPh>
    <rPh sb="12" eb="14">
      <t>レンドウ</t>
    </rPh>
    <rPh sb="16" eb="18">
      <t>ヒョウジ</t>
    </rPh>
    <phoneticPr fontId="1"/>
  </si>
  <si>
    <t>←添付書類はチェックシートに連動して表示します。</t>
    <rPh sb="1" eb="3">
      <t>テンプ</t>
    </rPh>
    <rPh sb="3" eb="5">
      <t>ショルイ</t>
    </rPh>
    <rPh sb="14" eb="16">
      <t>レンドウ</t>
    </rPh>
    <rPh sb="18" eb="20">
      <t>ヒョウジ</t>
    </rPh>
    <phoneticPr fontId="1"/>
  </si>
  <si>
    <t>とっとり住まいる支援事業補助金　提出書類　一覧表</t>
    <rPh sb="4" eb="5">
      <t>ス</t>
    </rPh>
    <rPh sb="8" eb="15">
      <t>シエンジギョウホジョキン</t>
    </rPh>
    <rPh sb="16" eb="18">
      <t>テイシュツ</t>
    </rPh>
    <rPh sb="18" eb="20">
      <t>ショルイ</t>
    </rPh>
    <rPh sb="21" eb="23">
      <t>イチラン</t>
    </rPh>
    <rPh sb="23" eb="24">
      <t>ヒョウ</t>
    </rPh>
    <phoneticPr fontId="1"/>
  </si>
  <si>
    <t>入力すると色が消えます。</t>
    <rPh sb="0" eb="2">
      <t>ニュウリョク</t>
    </rPh>
    <rPh sb="5" eb="6">
      <t>イロ</t>
    </rPh>
    <rPh sb="7" eb="8">
      <t>キ</t>
    </rPh>
    <phoneticPr fontId="1"/>
  </si>
  <si>
    <t>県産材使用に関する補助金額　計：</t>
    <rPh sb="0" eb="2">
      <t>ケンサン</t>
    </rPh>
    <rPh sb="2" eb="3">
      <t>ザイ</t>
    </rPh>
    <rPh sb="3" eb="5">
      <t>シヨウ</t>
    </rPh>
    <rPh sb="6" eb="7">
      <t>カン</t>
    </rPh>
    <rPh sb="9" eb="11">
      <t>ホジョ</t>
    </rPh>
    <rPh sb="11" eb="13">
      <t>キンガク</t>
    </rPh>
    <rPh sb="14" eb="15">
      <t>ケイ</t>
    </rPh>
    <phoneticPr fontId="1"/>
  </si>
  <si>
    <t>【次ページに続く】</t>
    <rPh sb="1" eb="2">
      <t>ジ</t>
    </rPh>
    <rPh sb="6" eb="7">
      <t>ツヅ</t>
    </rPh>
    <phoneticPr fontId="1"/>
  </si>
  <si>
    <t>該当する項目の□に✔を記入してください（リストから選択）</t>
    <rPh sb="0" eb="2">
      <t>ガイトウ</t>
    </rPh>
    <rPh sb="4" eb="6">
      <t>コウモク</t>
    </rPh>
    <rPh sb="11" eb="13">
      <t>キニュウ</t>
    </rPh>
    <rPh sb="25" eb="27">
      <t>センタク</t>
    </rPh>
    <phoneticPr fontId="1"/>
  </si>
  <si>
    <t>入力欄がある項目は、色付きの欄に記入してください。</t>
    <rPh sb="0" eb="2">
      <t>ニュウリョク</t>
    </rPh>
    <rPh sb="2" eb="3">
      <t>ラン</t>
    </rPh>
    <rPh sb="6" eb="8">
      <t>コウモク</t>
    </rPh>
    <rPh sb="10" eb="12">
      <t>イロツ</t>
    </rPh>
    <rPh sb="14" eb="15">
      <t>ラン</t>
    </rPh>
    <rPh sb="16" eb="18">
      <t>キニュウ</t>
    </rPh>
    <phoneticPr fontId="1"/>
  </si>
  <si>
    <t>該当する場合は、該当する項目の□に✔を記入してください（リストから選択）</t>
    <rPh sb="0" eb="2">
      <t>ガイトウ</t>
    </rPh>
    <rPh sb="4" eb="6">
      <t>バアイ</t>
    </rPh>
    <rPh sb="8" eb="10">
      <t>ガイトウ</t>
    </rPh>
    <rPh sb="12" eb="14">
      <t>コウモク</t>
    </rPh>
    <rPh sb="19" eb="21">
      <t>キニュウ</t>
    </rPh>
    <rPh sb="33" eb="35">
      <t>センタク</t>
    </rPh>
    <phoneticPr fontId="1"/>
  </si>
  <si>
    <t>※①②とも、住民票では申請者と配偶者・子との続柄がわからない場合は、戸籍謄本等の提出をお願いすることがあります。（例：申請者が単身赴任中で別居している場合　など）</t>
    <rPh sb="6" eb="9">
      <t>ジュウミンヒョウ</t>
    </rPh>
    <rPh sb="11" eb="14">
      <t>シンセイシャ</t>
    </rPh>
    <rPh sb="15" eb="18">
      <t>ハイグウシャ</t>
    </rPh>
    <rPh sb="19" eb="20">
      <t>コ</t>
    </rPh>
    <rPh sb="22" eb="24">
      <t>ツヅキガラ</t>
    </rPh>
    <rPh sb="30" eb="32">
      <t>バアイ</t>
    </rPh>
    <rPh sb="34" eb="36">
      <t>コセキ</t>
    </rPh>
    <rPh sb="36" eb="38">
      <t>トウホン</t>
    </rPh>
    <rPh sb="38" eb="39">
      <t>ナド</t>
    </rPh>
    <rPh sb="40" eb="42">
      <t>テイシュツ</t>
    </rPh>
    <rPh sb="44" eb="45">
      <t>ネガ</t>
    </rPh>
    <rPh sb="67" eb="68">
      <t>ナカ</t>
    </rPh>
    <phoneticPr fontId="1"/>
  </si>
  <si>
    <t>※県産材使用量の減少等により、住宅完成後に実際に交付する補助金額が交付決定額を下回ることがあります。</t>
    <rPh sb="1" eb="3">
      <t>ケンサン</t>
    </rPh>
    <rPh sb="3" eb="4">
      <t>ザイ</t>
    </rPh>
    <rPh sb="4" eb="6">
      <t>シヨウ</t>
    </rPh>
    <rPh sb="6" eb="7">
      <t>リョウ</t>
    </rPh>
    <rPh sb="8" eb="10">
      <t>ゲンショウ</t>
    </rPh>
    <rPh sb="10" eb="11">
      <t>トウ</t>
    </rPh>
    <rPh sb="15" eb="17">
      <t>ジュウタク</t>
    </rPh>
    <rPh sb="17" eb="19">
      <t>カンセイ</t>
    </rPh>
    <rPh sb="19" eb="20">
      <t>ゴ</t>
    </rPh>
    <rPh sb="21" eb="23">
      <t>ジッサイ</t>
    </rPh>
    <rPh sb="24" eb="26">
      <t>コウフ</t>
    </rPh>
    <rPh sb="28" eb="30">
      <t>ホジョ</t>
    </rPh>
    <rPh sb="30" eb="32">
      <t>キンガク</t>
    </rPh>
    <rPh sb="33" eb="35">
      <t>コウフ</t>
    </rPh>
    <rPh sb="35" eb="37">
      <t>ケッテイ</t>
    </rPh>
    <rPh sb="37" eb="38">
      <t>ガク</t>
    </rPh>
    <rPh sb="39" eb="41">
      <t>シタマワ</t>
    </rPh>
    <phoneticPr fontId="1"/>
  </si>
  <si>
    <t>③交付申請の時点では、直系親族世帯と近居ではないこと。</t>
    <rPh sb="1" eb="3">
      <t>コウフ</t>
    </rPh>
    <rPh sb="3" eb="5">
      <t>シンセイ</t>
    </rPh>
    <rPh sb="6" eb="8">
      <t>ジテン</t>
    </rPh>
    <rPh sb="11" eb="13">
      <t>チョッケイ</t>
    </rPh>
    <rPh sb="13" eb="15">
      <t>シンゾク</t>
    </rPh>
    <rPh sb="15" eb="17">
      <t>セタイ</t>
    </rPh>
    <rPh sb="18" eb="20">
      <t>キンキョ</t>
    </rPh>
    <phoneticPr fontId="1"/>
  </si>
  <si>
    <t>万円</t>
    <rPh sb="0" eb="2">
      <t>マンエン</t>
    </rPh>
    <phoneticPr fontId="1"/>
  </si>
  <si>
    <t>②交付申請の時点では、直系親族世帯と同居でないこと。</t>
    <rPh sb="1" eb="5">
      <t>コウフシンセイ</t>
    </rPh>
    <rPh sb="6" eb="8">
      <t>ジテン</t>
    </rPh>
    <rPh sb="11" eb="13">
      <t>チョッケイ</t>
    </rPh>
    <rPh sb="13" eb="15">
      <t>シンゾク</t>
    </rPh>
    <rPh sb="15" eb="17">
      <t>セタイ</t>
    </rPh>
    <rPh sb="18" eb="20">
      <t>ドウキョ</t>
    </rPh>
    <phoneticPr fontId="1"/>
  </si>
  <si>
    <t>①子育て世帯等であること。</t>
    <rPh sb="1" eb="3">
      <t>コソダ</t>
    </rPh>
    <rPh sb="4" eb="6">
      <t>セタイ</t>
    </rPh>
    <rPh sb="6" eb="7">
      <t>トウ</t>
    </rPh>
    <phoneticPr fontId="1"/>
  </si>
  <si>
    <t>プレカット工場名</t>
    <rPh sb="5" eb="7">
      <t>コウジョウ</t>
    </rPh>
    <rPh sb="7" eb="8">
      <t>メイ</t>
    </rPh>
    <phoneticPr fontId="1"/>
  </si>
  <si>
    <t>m2</t>
    <phoneticPr fontId="1"/>
  </si>
  <si>
    <r>
      <t>補助金額　(</t>
    </r>
    <r>
      <rPr>
        <sz val="9"/>
        <color theme="1"/>
        <rFont val="ＭＳ Ｐ明朝"/>
        <family val="1"/>
        <charset val="128"/>
      </rPr>
      <t>自動計算)</t>
    </r>
    <rPh sb="0" eb="2">
      <t>ホジョ</t>
    </rPh>
    <rPh sb="2" eb="4">
      <t>キンガク</t>
    </rPh>
    <rPh sb="6" eb="8">
      <t>ジドウ</t>
    </rPh>
    <rPh sb="8" eb="10">
      <t>ケイサン</t>
    </rPh>
    <phoneticPr fontId="1"/>
  </si>
  <si>
    <r>
      <t>①木材使用材積合計</t>
    </r>
    <r>
      <rPr>
        <sz val="10"/>
        <color theme="1"/>
        <rFont val="ＭＳ Ｐ明朝"/>
        <family val="1"/>
        <charset val="128"/>
      </rPr>
      <t>（</t>
    </r>
    <r>
      <rPr>
        <sz val="10"/>
        <color rgb="FFFF0000"/>
        <rFont val="ＭＳ Ｐ明朝"/>
        <family val="1"/>
        <charset val="128"/>
      </rPr>
      <t>県産材以外の木材を含む</t>
    </r>
    <r>
      <rPr>
        <sz val="10"/>
        <color theme="1"/>
        <rFont val="ＭＳ Ｐ明朝"/>
        <family val="1"/>
        <charset val="128"/>
      </rPr>
      <t>材積）</t>
    </r>
    <rPh sb="1" eb="3">
      <t>モクザイ</t>
    </rPh>
    <rPh sb="3" eb="5">
      <t>シヨウ</t>
    </rPh>
    <rPh sb="5" eb="7">
      <t>ザイセキ</t>
    </rPh>
    <rPh sb="7" eb="9">
      <t>ゴウケイ</t>
    </rPh>
    <rPh sb="10" eb="12">
      <t>ケンサン</t>
    </rPh>
    <rPh sb="12" eb="13">
      <t>ザイ</t>
    </rPh>
    <rPh sb="13" eb="15">
      <t>イガイ</t>
    </rPh>
    <rPh sb="16" eb="18">
      <t>モクザイ</t>
    </rPh>
    <rPh sb="19" eb="20">
      <t>フク</t>
    </rPh>
    <rPh sb="21" eb="23">
      <t>ザイセキ</t>
    </rPh>
    <phoneticPr fontId="1"/>
  </si>
  <si>
    <t>木製建具の見付面積</t>
    <rPh sb="0" eb="2">
      <t>モクセイ</t>
    </rPh>
    <rPh sb="2" eb="4">
      <t>タテグ</t>
    </rPh>
    <rPh sb="5" eb="7">
      <t>ミツケ</t>
    </rPh>
    <rPh sb="7" eb="9">
      <t>メンセキ</t>
    </rPh>
    <phoneticPr fontId="1"/>
  </si>
  <si>
    <t>その他必要に応じて別途書類を求められる場合があります。</t>
    <rPh sb="2" eb="3">
      <t>タ</t>
    </rPh>
    <rPh sb="3" eb="5">
      <t>ヒツヨウ</t>
    </rPh>
    <rPh sb="6" eb="7">
      <t>オウ</t>
    </rPh>
    <rPh sb="9" eb="11">
      <t>ベット</t>
    </rPh>
    <rPh sb="11" eb="13">
      <t>ショルイ</t>
    </rPh>
    <rPh sb="14" eb="15">
      <t>モト</t>
    </rPh>
    <rPh sb="19" eb="21">
      <t>バアイ</t>
    </rPh>
    <phoneticPr fontId="1"/>
  </si>
  <si>
    <t>市町村名</t>
    <rPh sb="0" eb="4">
      <t>シチョウソンメイ</t>
    </rPh>
    <phoneticPr fontId="1"/>
  </si>
  <si>
    <t>プレカットを行う場合は、県内のプレカット工場で加工すること。</t>
    <rPh sb="6" eb="7">
      <t>オコナ</t>
    </rPh>
    <rPh sb="8" eb="10">
      <t>バアイ</t>
    </rPh>
    <rPh sb="12" eb="14">
      <t>ケンナイ</t>
    </rPh>
    <rPh sb="20" eb="22">
      <t>コウジョウ</t>
    </rPh>
    <rPh sb="23" eb="25">
      <t>カコウ</t>
    </rPh>
    <phoneticPr fontId="1"/>
  </si>
  <si>
    <t>プレカットを一切使用しない。</t>
    <rPh sb="6" eb="8">
      <t>イッサイ</t>
    </rPh>
    <rPh sb="8" eb="10">
      <t>シヨウ</t>
    </rPh>
    <phoneticPr fontId="1"/>
  </si>
  <si>
    <t>＜実績報告時の提出書類＞</t>
    <rPh sb="1" eb="3">
      <t>ジッセキ</t>
    </rPh>
    <rPh sb="3" eb="5">
      <t>ホウコク</t>
    </rPh>
    <rPh sb="5" eb="6">
      <t>ジ</t>
    </rPh>
    <rPh sb="7" eb="9">
      <t>テイシュツ</t>
    </rPh>
    <rPh sb="9" eb="11">
      <t>ショルイ</t>
    </rPh>
    <phoneticPr fontId="1"/>
  </si>
  <si>
    <t>工事費</t>
    <rPh sb="0" eb="3">
      <t>コウジヒ</t>
    </rPh>
    <phoneticPr fontId="1"/>
  </si>
  <si>
    <t>＜実績報告時の提出書類＞県産材の産地証明書の写し</t>
    <rPh sb="1" eb="3">
      <t>ジッセキ</t>
    </rPh>
    <rPh sb="3" eb="5">
      <t>ホウコク</t>
    </rPh>
    <rPh sb="5" eb="6">
      <t>ジ</t>
    </rPh>
    <rPh sb="7" eb="9">
      <t>テイシュツ</t>
    </rPh>
    <rPh sb="9" eb="11">
      <t>ショルイ</t>
    </rPh>
    <rPh sb="12" eb="13">
      <t>ケン</t>
    </rPh>
    <rPh sb="13" eb="15">
      <t>サンザイ</t>
    </rPh>
    <rPh sb="16" eb="18">
      <t>サンチ</t>
    </rPh>
    <rPh sb="18" eb="21">
      <t>ショウメイショ</t>
    </rPh>
    <rPh sb="22" eb="23">
      <t>ウツ</t>
    </rPh>
    <phoneticPr fontId="1"/>
  </si>
  <si>
    <t>鳥取市</t>
    <rPh sb="0" eb="3">
      <t>トットリシ</t>
    </rPh>
    <phoneticPr fontId="1"/>
  </si>
  <si>
    <t>米子市</t>
    <rPh sb="0" eb="3">
      <t>ヨナゴシ</t>
    </rPh>
    <phoneticPr fontId="1"/>
  </si>
  <si>
    <t>倉吉市</t>
    <rPh sb="0" eb="3">
      <t>クラヨシシ</t>
    </rPh>
    <phoneticPr fontId="1"/>
  </si>
  <si>
    <t>境港市</t>
    <rPh sb="0" eb="3">
      <t>サカイミナトシ</t>
    </rPh>
    <phoneticPr fontId="1"/>
  </si>
  <si>
    <t>岩美町</t>
    <rPh sb="0" eb="3">
      <t>イワミチョウ</t>
    </rPh>
    <phoneticPr fontId="1"/>
  </si>
  <si>
    <t>若桜町</t>
    <rPh sb="0" eb="3">
      <t>ワカサチョウ</t>
    </rPh>
    <phoneticPr fontId="1"/>
  </si>
  <si>
    <t>智頭町</t>
    <rPh sb="0" eb="3">
      <t>チズチョウ</t>
    </rPh>
    <phoneticPr fontId="1"/>
  </si>
  <si>
    <t>三朝町</t>
    <rPh sb="0" eb="3">
      <t>ミササチョウ</t>
    </rPh>
    <phoneticPr fontId="1"/>
  </si>
  <si>
    <t>湯梨浜町</t>
    <rPh sb="0" eb="3">
      <t>ユリハマ</t>
    </rPh>
    <rPh sb="3" eb="4">
      <t>チョウ</t>
    </rPh>
    <phoneticPr fontId="1"/>
  </si>
  <si>
    <t>琴浦町</t>
    <rPh sb="0" eb="3">
      <t>コトウラチョウ</t>
    </rPh>
    <phoneticPr fontId="1"/>
  </si>
  <si>
    <t>北栄町</t>
    <rPh sb="0" eb="3">
      <t>ホクエイチョウ</t>
    </rPh>
    <phoneticPr fontId="1"/>
  </si>
  <si>
    <t>大山町</t>
    <rPh sb="0" eb="3">
      <t>ダイセンチョウ</t>
    </rPh>
    <phoneticPr fontId="1"/>
  </si>
  <si>
    <t>伯耆町</t>
    <rPh sb="0" eb="3">
      <t>ホウキチョウ</t>
    </rPh>
    <phoneticPr fontId="1"/>
  </si>
  <si>
    <t>南部町</t>
    <rPh sb="0" eb="3">
      <t>ナンブチョウ</t>
    </rPh>
    <phoneticPr fontId="1"/>
  </si>
  <si>
    <t>日吉津村</t>
    <rPh sb="0" eb="4">
      <t>ヒエヅソン</t>
    </rPh>
    <phoneticPr fontId="1"/>
  </si>
  <si>
    <t>江府町</t>
    <rPh sb="0" eb="3">
      <t>コウフチョウ</t>
    </rPh>
    <phoneticPr fontId="1"/>
  </si>
  <si>
    <t>日野町</t>
    <rPh sb="0" eb="3">
      <t>ヒノチョウ</t>
    </rPh>
    <phoneticPr fontId="1"/>
  </si>
  <si>
    <t>日南町</t>
    <rPh sb="0" eb="3">
      <t>ニチナンチョウ</t>
    </rPh>
    <phoneticPr fontId="1"/>
  </si>
  <si>
    <t>鳥取県東部建築住宅事務所長</t>
    <rPh sb="0" eb="3">
      <t>トットリケン</t>
    </rPh>
    <rPh sb="3" eb="5">
      <t>トウブ</t>
    </rPh>
    <rPh sb="5" eb="7">
      <t>ケンチク</t>
    </rPh>
    <rPh sb="7" eb="9">
      <t>ジュウタク</t>
    </rPh>
    <rPh sb="9" eb="12">
      <t>ジムショ</t>
    </rPh>
    <rPh sb="12" eb="13">
      <t>チョウ</t>
    </rPh>
    <phoneticPr fontId="1"/>
  </si>
  <si>
    <t>鳥取県西部総合事務所長</t>
    <rPh sb="0" eb="3">
      <t>トットリケン</t>
    </rPh>
    <rPh sb="5" eb="7">
      <t>ソウゴウ</t>
    </rPh>
    <rPh sb="7" eb="10">
      <t>ジムショ</t>
    </rPh>
    <rPh sb="10" eb="11">
      <t>チョウ</t>
    </rPh>
    <phoneticPr fontId="1"/>
  </si>
  <si>
    <t>鳥取県中部総合事務所長</t>
    <rPh sb="0" eb="3">
      <t>トットリケン</t>
    </rPh>
    <rPh sb="3" eb="5">
      <t>チュウブ</t>
    </rPh>
    <rPh sb="5" eb="7">
      <t>ソウゴウ</t>
    </rPh>
    <rPh sb="7" eb="10">
      <t>ジムショ</t>
    </rPh>
    <rPh sb="10" eb="11">
      <t>チョウ</t>
    </rPh>
    <phoneticPr fontId="1"/>
  </si>
  <si>
    <t>八頭町</t>
    <rPh sb="0" eb="3">
      <t>ヤズチョウ</t>
    </rPh>
    <phoneticPr fontId="1"/>
  </si>
  <si>
    <t>建築基準法に適合していること。</t>
    <rPh sb="0" eb="2">
      <t>ケンチク</t>
    </rPh>
    <rPh sb="2" eb="5">
      <t>キジュンホウ</t>
    </rPh>
    <rPh sb="6" eb="8">
      <t>テキゴウ</t>
    </rPh>
    <phoneticPr fontId="1"/>
  </si>
  <si>
    <t>県内に本拠を置く事業者の施工であること。</t>
    <rPh sb="0" eb="2">
      <t>ケンナイ</t>
    </rPh>
    <rPh sb="3" eb="5">
      <t>ホンキョ</t>
    </rPh>
    <rPh sb="6" eb="7">
      <t>オ</t>
    </rPh>
    <rPh sb="8" eb="11">
      <t>ジギョウシャ</t>
    </rPh>
    <rPh sb="12" eb="14">
      <t>セコウ</t>
    </rPh>
    <phoneticPr fontId="1"/>
  </si>
  <si>
    <r>
      <t>　※近居とは</t>
    </r>
    <r>
      <rPr>
        <sz val="10"/>
        <color rgb="FFFF0000"/>
        <rFont val="ＭＳ Ｐ明朝"/>
        <family val="1"/>
        <charset val="128"/>
      </rPr>
      <t>同一小学校区内</t>
    </r>
    <r>
      <rPr>
        <sz val="10"/>
        <color theme="1"/>
        <rFont val="ＭＳ Ｐ明朝"/>
        <family val="1"/>
        <charset val="128"/>
      </rPr>
      <t>に居住することをいいます。</t>
    </r>
    <rPh sb="2" eb="4">
      <t>キンキョ</t>
    </rPh>
    <rPh sb="6" eb="8">
      <t>ドウイツ</t>
    </rPh>
    <rPh sb="8" eb="11">
      <t>ショウガッコウ</t>
    </rPh>
    <rPh sb="11" eb="12">
      <t>ク</t>
    </rPh>
    <rPh sb="12" eb="13">
      <t>ナイ</t>
    </rPh>
    <rPh sb="14" eb="16">
      <t>キョジュウ</t>
    </rPh>
    <phoneticPr fontId="1"/>
  </si>
  <si>
    <t>他に利用する補助金一覧表</t>
    <rPh sb="0" eb="1">
      <t>ホカ</t>
    </rPh>
    <rPh sb="2" eb="4">
      <t>リヨウ</t>
    </rPh>
    <rPh sb="6" eb="9">
      <t>ホジョキン</t>
    </rPh>
    <rPh sb="9" eb="11">
      <t>イチラン</t>
    </rPh>
    <rPh sb="11" eb="12">
      <t>ヒョウ</t>
    </rPh>
    <phoneticPr fontId="1"/>
  </si>
  <si>
    <t>延べ面積</t>
    <rPh sb="0" eb="1">
      <t>ノ</t>
    </rPh>
    <rPh sb="2" eb="4">
      <t>メンセキ</t>
    </rPh>
    <phoneticPr fontId="1"/>
  </si>
  <si>
    <t>着手（予定）年月日</t>
    <rPh sb="0" eb="2">
      <t>チャクシュ</t>
    </rPh>
    <rPh sb="3" eb="5">
      <t>ヨテイ</t>
    </rPh>
    <rPh sb="6" eb="7">
      <t>ネン</t>
    </rPh>
    <rPh sb="7" eb="8">
      <t>ツキ</t>
    </rPh>
    <rPh sb="8" eb="9">
      <t>ヒ</t>
    </rPh>
    <phoneticPr fontId="1"/>
  </si>
  <si>
    <t>完了（予定）年月日</t>
    <rPh sb="0" eb="2">
      <t>カンリョウ</t>
    </rPh>
    <rPh sb="3" eb="5">
      <t>ヨテイ</t>
    </rPh>
    <rPh sb="6" eb="7">
      <t>ネン</t>
    </rPh>
    <rPh sb="7" eb="8">
      <t>ツキ</t>
    </rPh>
    <rPh sb="8" eb="9">
      <t>ヒ</t>
    </rPh>
    <phoneticPr fontId="1"/>
  </si>
  <si>
    <t>自ら居住（改修後に居住する場合を含む。）し、所有の権利を有する戸建住宅又は共同住宅の専有部分に係る工事であること。</t>
    <rPh sb="0" eb="1">
      <t>ミズカ</t>
    </rPh>
    <rPh sb="2" eb="4">
      <t>キョジュウ</t>
    </rPh>
    <rPh sb="5" eb="7">
      <t>カイシュウ</t>
    </rPh>
    <rPh sb="7" eb="8">
      <t>ゴ</t>
    </rPh>
    <rPh sb="9" eb="11">
      <t>キョジュウ</t>
    </rPh>
    <rPh sb="13" eb="15">
      <t>バアイ</t>
    </rPh>
    <rPh sb="16" eb="17">
      <t>フク</t>
    </rPh>
    <rPh sb="22" eb="24">
      <t>ショユウ</t>
    </rPh>
    <rPh sb="25" eb="27">
      <t>ケンリ</t>
    </rPh>
    <rPh sb="28" eb="29">
      <t>ユウ</t>
    </rPh>
    <rPh sb="31" eb="33">
      <t>コダテ</t>
    </rPh>
    <rPh sb="33" eb="35">
      <t>ジュウタク</t>
    </rPh>
    <rPh sb="35" eb="36">
      <t>マタ</t>
    </rPh>
    <rPh sb="37" eb="39">
      <t>キョウドウ</t>
    </rPh>
    <rPh sb="39" eb="41">
      <t>ジュウタク</t>
    </rPh>
    <rPh sb="42" eb="44">
      <t>センユウ</t>
    </rPh>
    <rPh sb="44" eb="46">
      <t>ブブン</t>
    </rPh>
    <rPh sb="47" eb="48">
      <t>カカ</t>
    </rPh>
    <rPh sb="49" eb="51">
      <t>コウジ</t>
    </rPh>
    <phoneticPr fontId="1"/>
  </si>
  <si>
    <t>※当該住宅と同一敷地内にあり、一体的に日常生活の用に供される車庫、物置、木塀等に係るものを含む。</t>
    <phoneticPr fontId="1"/>
  </si>
  <si>
    <t>様式第６号の２（第９条、第12条関係）</t>
    <rPh sb="0" eb="2">
      <t>ヨウシキ</t>
    </rPh>
    <rPh sb="2" eb="3">
      <t>ダイ</t>
    </rPh>
    <rPh sb="4" eb="5">
      <t>ゴウ</t>
    </rPh>
    <rPh sb="8" eb="9">
      <t>ダイ</t>
    </rPh>
    <rPh sb="10" eb="11">
      <t>ジョウ</t>
    </rPh>
    <rPh sb="12" eb="13">
      <t>ダイ</t>
    </rPh>
    <rPh sb="15" eb="16">
      <t>ジョウ</t>
    </rPh>
    <rPh sb="16" eb="18">
      <t>カンケイ</t>
    </rPh>
    <phoneticPr fontId="1"/>
  </si>
  <si>
    <t>工事種別</t>
    <rPh sb="0" eb="2">
      <t>コウジ</t>
    </rPh>
    <rPh sb="2" eb="4">
      <t>シュベツ</t>
    </rPh>
    <phoneticPr fontId="1"/>
  </si>
  <si>
    <t>建築工事届の要否</t>
    <rPh sb="0" eb="2">
      <t>ケンチク</t>
    </rPh>
    <rPh sb="2" eb="4">
      <t>コウジ</t>
    </rPh>
    <rPh sb="4" eb="5">
      <t>トドケ</t>
    </rPh>
    <rPh sb="6" eb="8">
      <t>ヨウヒ</t>
    </rPh>
    <phoneticPr fontId="1"/>
  </si>
  <si>
    <t>県産材を構造材若しくは下地材として０．３m3以上使用すること又は内外装材仕上げ材若しくは木塀として１m2以上使用すること。</t>
    <rPh sb="4" eb="7">
      <t>コウゾウザイ</t>
    </rPh>
    <rPh sb="7" eb="8">
      <t>モ</t>
    </rPh>
    <rPh sb="11" eb="14">
      <t>シタジザイ</t>
    </rPh>
    <rPh sb="22" eb="24">
      <t>イジョウ</t>
    </rPh>
    <rPh sb="24" eb="26">
      <t>シヨウ</t>
    </rPh>
    <rPh sb="30" eb="31">
      <t>マタ</t>
    </rPh>
    <rPh sb="32" eb="35">
      <t>ナイガイソウ</t>
    </rPh>
    <rPh sb="35" eb="36">
      <t>ザイ</t>
    </rPh>
    <rPh sb="36" eb="38">
      <t>シア</t>
    </rPh>
    <rPh sb="39" eb="40">
      <t>ザイ</t>
    </rPh>
    <rPh sb="40" eb="41">
      <t>モ</t>
    </rPh>
    <rPh sb="44" eb="45">
      <t>キ</t>
    </rPh>
    <rPh sb="45" eb="46">
      <t>ヘイ</t>
    </rPh>
    <rPh sb="52" eb="54">
      <t>イジョウ</t>
    </rPh>
    <rPh sb="54" eb="56">
      <t>シヨウ</t>
    </rPh>
    <phoneticPr fontId="1"/>
  </si>
  <si>
    <t>見付面積の算出過程及び結果並びに使用場所がわかる立面図、展開図等の書類</t>
  </si>
  <si>
    <r>
      <t>・県産材の構造材又は下地材を0.3m3以上使用する場合、１m3につき２万円が交付されます</t>
    </r>
    <r>
      <rPr>
        <sz val="10"/>
        <color rgb="FFFF0000"/>
        <rFont val="ＭＳ Ｐ明朝"/>
        <family val="1"/>
        <charset val="128"/>
      </rPr>
      <t>(0.1m3未満は切捨て）</t>
    </r>
    <r>
      <rPr>
        <sz val="10"/>
        <color theme="1"/>
        <rFont val="ＭＳ Ｐ明朝"/>
        <family val="1"/>
        <charset val="128"/>
      </rPr>
      <t>。</t>
    </r>
    <rPh sb="1" eb="3">
      <t>ケンサン</t>
    </rPh>
    <rPh sb="3" eb="4">
      <t>ザイ</t>
    </rPh>
    <rPh sb="5" eb="8">
      <t>コウゾウザイ</t>
    </rPh>
    <rPh sb="8" eb="9">
      <t>マタ</t>
    </rPh>
    <rPh sb="10" eb="13">
      <t>シタジザイ</t>
    </rPh>
    <rPh sb="19" eb="21">
      <t>イジョウ</t>
    </rPh>
    <rPh sb="21" eb="23">
      <t>シヨウ</t>
    </rPh>
    <rPh sb="25" eb="27">
      <t>バアイ</t>
    </rPh>
    <rPh sb="35" eb="37">
      <t>マンエン</t>
    </rPh>
    <rPh sb="38" eb="40">
      <t>コウフ</t>
    </rPh>
    <rPh sb="50" eb="52">
      <t>ミマン</t>
    </rPh>
    <rPh sb="53" eb="55">
      <t>キリス</t>
    </rPh>
    <phoneticPr fontId="1"/>
  </si>
  <si>
    <r>
      <t>・県産内外装材、県産木塀を１m2以上使用する場合、</t>
    </r>
    <r>
      <rPr>
        <sz val="10"/>
        <color rgb="FFFF0000"/>
        <rFont val="ＭＳ Ｐ明朝"/>
        <family val="1"/>
        <charset val="128"/>
      </rPr>
      <t>見付面積</t>
    </r>
    <r>
      <rPr>
        <sz val="10"/>
        <color theme="1"/>
        <rFont val="ＭＳ Ｐ明朝"/>
        <family val="1"/>
        <charset val="128"/>
      </rPr>
      <t>１m2につき２千円が交付されます</t>
    </r>
    <r>
      <rPr>
        <sz val="10"/>
        <color rgb="FFFF0000"/>
        <rFont val="ＭＳ Ｐ明朝"/>
        <family val="1"/>
        <charset val="128"/>
      </rPr>
      <t>(1m2未満は切捨て）</t>
    </r>
    <r>
      <rPr>
        <sz val="10"/>
        <color theme="1"/>
        <rFont val="ＭＳ Ｐ明朝"/>
        <family val="1"/>
        <charset val="128"/>
      </rPr>
      <t>。</t>
    </r>
    <rPh sb="1" eb="3">
      <t>ケンサン</t>
    </rPh>
    <rPh sb="3" eb="4">
      <t>ナイ</t>
    </rPh>
    <rPh sb="4" eb="7">
      <t>ガイソウザイ</t>
    </rPh>
    <rPh sb="8" eb="10">
      <t>ケンサン</t>
    </rPh>
    <rPh sb="10" eb="11">
      <t>モク</t>
    </rPh>
    <rPh sb="11" eb="12">
      <t>ベイ</t>
    </rPh>
    <rPh sb="16" eb="18">
      <t>イジョウ</t>
    </rPh>
    <rPh sb="18" eb="20">
      <t>シヨウ</t>
    </rPh>
    <rPh sb="22" eb="24">
      <t>バアイ</t>
    </rPh>
    <rPh sb="25" eb="27">
      <t>ミツケ</t>
    </rPh>
    <rPh sb="27" eb="29">
      <t>メンセキ</t>
    </rPh>
    <rPh sb="36" eb="38">
      <t>センエン</t>
    </rPh>
    <rPh sb="39" eb="41">
      <t>コウフ</t>
    </rPh>
    <phoneticPr fontId="1"/>
  </si>
  <si>
    <t>・県産材の構造材又は下地材、県産内外装材、県産木塀の補助上限額は25万円になります。</t>
    <rPh sb="1" eb="2">
      <t>ケン</t>
    </rPh>
    <rPh sb="2" eb="4">
      <t>サンザイ</t>
    </rPh>
    <rPh sb="5" eb="8">
      <t>コウゾウザイ</t>
    </rPh>
    <rPh sb="8" eb="9">
      <t>マタ</t>
    </rPh>
    <rPh sb="10" eb="13">
      <t>シタジザイ</t>
    </rPh>
    <rPh sb="14" eb="16">
      <t>ケンサン</t>
    </rPh>
    <rPh sb="16" eb="17">
      <t>ナイ</t>
    </rPh>
    <rPh sb="17" eb="20">
      <t>ガイソウザイ</t>
    </rPh>
    <rPh sb="21" eb="23">
      <t>ケンサン</t>
    </rPh>
    <rPh sb="23" eb="24">
      <t>モク</t>
    </rPh>
    <rPh sb="24" eb="25">
      <t>ベイ</t>
    </rPh>
    <rPh sb="26" eb="28">
      <t>ホジョ</t>
    </rPh>
    <rPh sb="28" eb="31">
      <t>ジョウゲンガク</t>
    </rPh>
    <rPh sb="34" eb="36">
      <t>マンエン</t>
    </rPh>
    <phoneticPr fontId="1"/>
  </si>
  <si>
    <t>②県産材の構造材又は下地材の使用材積</t>
    <rPh sb="5" eb="8">
      <t>コウゾウザイ</t>
    </rPh>
    <rPh sb="8" eb="9">
      <t>マタ</t>
    </rPh>
    <rPh sb="10" eb="13">
      <t>シタジザイ</t>
    </rPh>
    <rPh sb="16" eb="18">
      <t>ザイセキ</t>
    </rPh>
    <phoneticPr fontId="1"/>
  </si>
  <si>
    <r>
      <t>③県産内外装材、県産木塀の</t>
    </r>
    <r>
      <rPr>
        <sz val="11"/>
        <color rgb="FFFF0000"/>
        <rFont val="ＭＳ Ｐ明朝"/>
        <family val="1"/>
        <charset val="128"/>
      </rPr>
      <t>見付面積</t>
    </r>
    <rPh sb="1" eb="3">
      <t>ケンサン</t>
    </rPh>
    <rPh sb="3" eb="4">
      <t>ナイ</t>
    </rPh>
    <rPh sb="4" eb="7">
      <t>ガイソウザイ</t>
    </rPh>
    <rPh sb="8" eb="10">
      <t>ケンサン</t>
    </rPh>
    <rPh sb="10" eb="11">
      <t>モク</t>
    </rPh>
    <rPh sb="11" eb="12">
      <t>ベイ</t>
    </rPh>
    <rPh sb="13" eb="15">
      <t>ミツケ</t>
    </rPh>
    <rPh sb="15" eb="17">
      <t>メンセキ</t>
    </rPh>
    <phoneticPr fontId="1"/>
  </si>
  <si>
    <t>④改修することで直系親族世帯と新たに近居すること。</t>
    <rPh sb="1" eb="3">
      <t>カイシュウ</t>
    </rPh>
    <rPh sb="8" eb="14">
      <t>チョッケイシンゾクセタイ</t>
    </rPh>
    <rPh sb="15" eb="16">
      <t>アラ</t>
    </rPh>
    <phoneticPr fontId="1"/>
  </si>
  <si>
    <t>⑤改修することで直系親族世帯と新たに同居すること。</t>
    <rPh sb="1" eb="3">
      <t>カイシュウ</t>
    </rPh>
    <rPh sb="8" eb="14">
      <t>チョッケイシンゾクセタイ</t>
    </rPh>
    <rPh sb="15" eb="16">
      <t>アラ</t>
    </rPh>
    <phoneticPr fontId="1"/>
  </si>
  <si>
    <t>⑥改修することで直系親族の子育て世帯等と新たに同居する世帯であること。</t>
    <phoneticPr fontId="1"/>
  </si>
  <si>
    <t>①建築大工技能</t>
    <rPh sb="1" eb="3">
      <t>ケンチク</t>
    </rPh>
    <rPh sb="3" eb="5">
      <t>ダイク</t>
    </rPh>
    <rPh sb="5" eb="7">
      <t>ギノウ</t>
    </rPh>
    <phoneticPr fontId="1"/>
  </si>
  <si>
    <t>建築大工技能を活用した見付面積</t>
    <rPh sb="0" eb="2">
      <t>ケンチク</t>
    </rPh>
    <rPh sb="2" eb="4">
      <t>ダイク</t>
    </rPh>
    <rPh sb="4" eb="6">
      <t>ギノウ</t>
    </rPh>
    <rPh sb="7" eb="9">
      <t>カツヨウ</t>
    </rPh>
    <rPh sb="11" eb="13">
      <t>ミツケ</t>
    </rPh>
    <rPh sb="13" eb="15">
      <t>メンセキ</t>
    </rPh>
    <phoneticPr fontId="1"/>
  </si>
  <si>
    <t>m2</t>
  </si>
  <si>
    <t>次の①～③に掲げる伝統技能のうち、いずれか２以上が使用された場合に最大15万円を支援する。</t>
    <rPh sb="0" eb="1">
      <t>ツギ</t>
    </rPh>
    <rPh sb="6" eb="7">
      <t>カカ</t>
    </rPh>
    <rPh sb="9" eb="11">
      <t>デントウ</t>
    </rPh>
    <rPh sb="11" eb="13">
      <t>ギノウ</t>
    </rPh>
    <rPh sb="22" eb="24">
      <t>イジョウ</t>
    </rPh>
    <rPh sb="25" eb="27">
      <t>シヨウ</t>
    </rPh>
    <rPh sb="30" eb="32">
      <t>バアイ</t>
    </rPh>
    <rPh sb="33" eb="35">
      <t>サイダイ</t>
    </rPh>
    <rPh sb="37" eb="39">
      <t>マンエン</t>
    </rPh>
    <rPh sb="40" eb="42">
      <t>シエン</t>
    </rPh>
    <phoneticPr fontId="1"/>
  </si>
  <si>
    <t>見付面積１m2あたり11,000円を支援する。（1m2未満切捨て）</t>
    <rPh sb="0" eb="2">
      <t>ミツケ</t>
    </rPh>
    <rPh sb="2" eb="4">
      <t>メンセキ</t>
    </rPh>
    <rPh sb="16" eb="17">
      <t>エン</t>
    </rPh>
    <rPh sb="18" eb="20">
      <t>シエン</t>
    </rPh>
    <rPh sb="27" eb="29">
      <t>ミマン</t>
    </rPh>
    <rPh sb="29" eb="31">
      <t>キリス</t>
    </rPh>
    <phoneticPr fontId="1"/>
  </si>
  <si>
    <t>見付面積１m2あたり19,000円を支援する。（1m2未満切捨て）</t>
    <rPh sb="0" eb="2">
      <t>ミツケ</t>
    </rPh>
    <rPh sb="2" eb="4">
      <t>メンセキ</t>
    </rPh>
    <rPh sb="16" eb="17">
      <t>エン</t>
    </rPh>
    <rPh sb="18" eb="20">
      <t>シエン</t>
    </rPh>
    <phoneticPr fontId="1"/>
  </si>
  <si>
    <r>
      <t>県産材を使用し、かつ、建築大工技能を活用して室内の見え掛かり部分（床材、壁材、天井材等）の仕上げ改修を行う部分の見付面積（柱、はり等の構造材の見付面積を除く。）と外壁の下見板張りの</t>
    </r>
    <r>
      <rPr>
        <sz val="11"/>
        <color rgb="FFFF0000"/>
        <rFont val="ＭＳ Ｐ明朝"/>
        <family val="1"/>
        <charset val="128"/>
      </rPr>
      <t>見付面積の合計が７m2以上のものに限る</t>
    </r>
    <r>
      <rPr>
        <sz val="11"/>
        <color theme="1"/>
        <rFont val="ＭＳ Ｐ明朝"/>
        <family val="1"/>
        <charset val="128"/>
      </rPr>
      <t>。</t>
    </r>
    <phoneticPr fontId="1"/>
  </si>
  <si>
    <r>
      <t>県内に本拠地を置く建具業者が製作した</t>
    </r>
    <r>
      <rPr>
        <sz val="11"/>
        <color rgb="FFFF0000"/>
        <rFont val="ＭＳ Ｐ明朝"/>
        <family val="1"/>
        <charset val="128"/>
      </rPr>
      <t>木製建具を見付面積３m2以上使用</t>
    </r>
    <r>
      <rPr>
        <sz val="11"/>
        <color theme="1"/>
        <rFont val="ＭＳ Ｐ明朝"/>
        <family val="1"/>
        <charset val="128"/>
      </rPr>
      <t>したもの</t>
    </r>
    <phoneticPr fontId="1"/>
  </si>
  <si>
    <t>②左官仕上げ</t>
    <rPh sb="1" eb="3">
      <t>サカン</t>
    </rPh>
    <rPh sb="3" eb="5">
      <t>シア</t>
    </rPh>
    <phoneticPr fontId="1"/>
  </si>
  <si>
    <t>③木製建具</t>
    <rPh sb="1" eb="3">
      <t>モクセイ</t>
    </rPh>
    <rPh sb="3" eb="5">
      <t>タテグ</t>
    </rPh>
    <phoneticPr fontId="1"/>
  </si>
  <si>
    <t>５　伝統技能活用改修　（補助金額：上限15万円）</t>
    <rPh sb="2" eb="4">
      <t>デントウ</t>
    </rPh>
    <rPh sb="4" eb="6">
      <t>ギノウ</t>
    </rPh>
    <rPh sb="6" eb="8">
      <t>カツヨウ</t>
    </rPh>
    <rPh sb="8" eb="10">
      <t>カイシュウ</t>
    </rPh>
    <rPh sb="17" eb="19">
      <t>ジョウゲン</t>
    </rPh>
    <phoneticPr fontId="1"/>
  </si>
  <si>
    <t>様式第６号及び様式第６号の２　別紙</t>
    <rPh sb="0" eb="2">
      <t>ヨウシキ</t>
    </rPh>
    <rPh sb="2" eb="3">
      <t>ダイ</t>
    </rPh>
    <rPh sb="4" eb="5">
      <t>ゴウ</t>
    </rPh>
    <rPh sb="5" eb="6">
      <t>オヨ</t>
    </rPh>
    <rPh sb="7" eb="9">
      <t>ヨウシキ</t>
    </rPh>
    <rPh sb="9" eb="10">
      <t>ダイ</t>
    </rPh>
    <rPh sb="11" eb="12">
      <t>ゴウ</t>
    </rPh>
    <rPh sb="15" eb="17">
      <t>ベッシ</t>
    </rPh>
    <phoneticPr fontId="1"/>
  </si>
  <si>
    <r>
      <rPr>
        <sz val="9"/>
        <color rgb="FFFF0000"/>
        <rFont val="ＭＳ 明朝"/>
        <family val="1"/>
        <charset val="128"/>
      </rPr>
      <t>含水率の測定結果写真</t>
    </r>
    <r>
      <rPr>
        <sz val="9"/>
        <color rgb="FF0066FF"/>
        <rFont val="ＭＳ 明朝"/>
        <family val="1"/>
        <charset val="128"/>
      </rPr>
      <t>又は</t>
    </r>
    <r>
      <rPr>
        <sz val="9"/>
        <color rgb="FFFF0000"/>
        <rFont val="ＭＳ 明朝"/>
        <family val="1"/>
        <charset val="128"/>
      </rPr>
      <t>日本農林規格県産材（ＪＡＳ格付及び含水率20%以下）であることを証明する書類</t>
    </r>
    <rPh sb="10" eb="11">
      <t>マタ</t>
    </rPh>
    <phoneticPr fontId="1"/>
  </si>
  <si>
    <t>事実婚の場合は、住民票上の続柄に記載があり、かつ、生計を同一にした日から10年以内のときに限る。</t>
    <rPh sb="0" eb="3">
      <t>ジジツコン</t>
    </rPh>
    <rPh sb="4" eb="6">
      <t>バアイ</t>
    </rPh>
    <rPh sb="8" eb="11">
      <t>ジュウミンヒョウ</t>
    </rPh>
    <rPh sb="11" eb="12">
      <t>ジョウ</t>
    </rPh>
    <rPh sb="13" eb="15">
      <t>ツヅキガラ</t>
    </rPh>
    <rPh sb="16" eb="18">
      <t>キサイ</t>
    </rPh>
    <rPh sb="45" eb="46">
      <t>カギ</t>
    </rPh>
    <phoneticPr fontId="1"/>
  </si>
  <si>
    <t>建築士事務所名</t>
    <rPh sb="0" eb="3">
      <t>ケンチクシ</t>
    </rPh>
    <rPh sb="3" eb="6">
      <t>ジムショ</t>
    </rPh>
    <rPh sb="6" eb="7">
      <t>メイ</t>
    </rPh>
    <phoneticPr fontId="1"/>
  </si>
  <si>
    <t>建築士事務所の登録</t>
    <rPh sb="0" eb="3">
      <t>ケンチクシ</t>
    </rPh>
    <rPh sb="3" eb="6">
      <t>ジムショ</t>
    </rPh>
    <rPh sb="7" eb="9">
      <t>トウロク</t>
    </rPh>
    <phoneticPr fontId="1"/>
  </si>
  <si>
    <t>都道府県名</t>
    <rPh sb="0" eb="4">
      <t>トドウフケン</t>
    </rPh>
    <rPh sb="4" eb="5">
      <t>メイ</t>
    </rPh>
    <phoneticPr fontId="1"/>
  </si>
  <si>
    <t>知事</t>
    <rPh sb="0" eb="2">
      <t>チジ</t>
    </rPh>
    <phoneticPr fontId="1"/>
  </si>
  <si>
    <t>登録番号</t>
    <rPh sb="0" eb="2">
      <t>トウロク</t>
    </rPh>
    <rPh sb="2" eb="4">
      <t>バンゴウ</t>
    </rPh>
    <phoneticPr fontId="1"/>
  </si>
  <si>
    <t>※工事監理者　建築士法（昭和25年法律第202号）第２条第８項に規定する工事監理をする者をいう。</t>
    <rPh sb="1" eb="3">
      <t>コウジ</t>
    </rPh>
    <rPh sb="3" eb="6">
      <t>カンリシャ</t>
    </rPh>
    <rPh sb="7" eb="11">
      <t>ケンチクシホウ</t>
    </rPh>
    <rPh sb="12" eb="14">
      <t>ショウワ</t>
    </rPh>
    <rPh sb="16" eb="17">
      <t>ネン</t>
    </rPh>
    <rPh sb="17" eb="19">
      <t>ホウリツ</t>
    </rPh>
    <rPh sb="19" eb="20">
      <t>ダイ</t>
    </rPh>
    <rPh sb="23" eb="24">
      <t>ゴウ</t>
    </rPh>
    <rPh sb="25" eb="26">
      <t>ダイ</t>
    </rPh>
    <rPh sb="27" eb="28">
      <t>ジョウ</t>
    </rPh>
    <rPh sb="28" eb="29">
      <t>ダイ</t>
    </rPh>
    <rPh sb="30" eb="31">
      <t>コウ</t>
    </rPh>
    <rPh sb="32" eb="34">
      <t>キテイ</t>
    </rPh>
    <rPh sb="36" eb="38">
      <t>コウジ</t>
    </rPh>
    <rPh sb="38" eb="40">
      <t>カンリ</t>
    </rPh>
    <rPh sb="43" eb="44">
      <t>モノ</t>
    </rPh>
    <phoneticPr fontId="1"/>
  </si>
  <si>
    <t>申請時住所の小学校区</t>
    <rPh sb="0" eb="3">
      <t>シンセイジ</t>
    </rPh>
    <rPh sb="3" eb="5">
      <t>ジュウショ</t>
    </rPh>
    <rPh sb="6" eb="9">
      <t>ショウガッコウ</t>
    </rPh>
    <rPh sb="9" eb="10">
      <t>ク</t>
    </rPh>
    <phoneticPr fontId="1"/>
  </si>
  <si>
    <t>建設地の小学校区</t>
    <rPh sb="0" eb="3">
      <t>ケンセツチ</t>
    </rPh>
    <rPh sb="4" eb="7">
      <t>ショウガッコウ</t>
    </rPh>
    <rPh sb="7" eb="8">
      <t>ク</t>
    </rPh>
    <phoneticPr fontId="1"/>
  </si>
  <si>
    <t>同居、近居対象の親族世帯</t>
    <rPh sb="0" eb="2">
      <t>ドウキョ</t>
    </rPh>
    <rPh sb="3" eb="5">
      <t>キンキョ</t>
    </rPh>
    <rPh sb="5" eb="7">
      <t>タイショウ</t>
    </rPh>
    <rPh sb="8" eb="10">
      <t>シンゾク</t>
    </rPh>
    <rPh sb="10" eb="12">
      <t>セタイ</t>
    </rPh>
    <phoneticPr fontId="1"/>
  </si>
  <si>
    <t>小学校区</t>
    <rPh sb="0" eb="3">
      <t>ショウガッコウ</t>
    </rPh>
    <rPh sb="3" eb="4">
      <t>ク</t>
    </rPh>
    <phoneticPr fontId="1"/>
  </si>
  <si>
    <t>※改修費の１／２（千円未満切捨て）又は補助金計算額のうちどちらか低い額が上限額になります。</t>
    <rPh sb="1" eb="4">
      <t>カイシュウヒ</t>
    </rPh>
    <rPh sb="9" eb="11">
      <t>センエン</t>
    </rPh>
    <rPh sb="11" eb="13">
      <t>ミマン</t>
    </rPh>
    <rPh sb="13" eb="15">
      <t>キリス</t>
    </rPh>
    <rPh sb="17" eb="18">
      <t>マタ</t>
    </rPh>
    <rPh sb="19" eb="22">
      <t>ホジョキン</t>
    </rPh>
    <rPh sb="22" eb="24">
      <t>ケイサン</t>
    </rPh>
    <rPh sb="24" eb="25">
      <t>ガク</t>
    </rPh>
    <rPh sb="32" eb="33">
      <t>ヒク</t>
    </rPh>
    <rPh sb="34" eb="35">
      <t>ガク</t>
    </rPh>
    <rPh sb="36" eb="39">
      <t>ジョウゲンガク</t>
    </rPh>
    <phoneticPr fontId="1"/>
  </si>
  <si>
    <r>
      <t>上記左官の</t>
    </r>
    <r>
      <rPr>
        <sz val="11"/>
        <rFont val="ＭＳ Ｐ明朝"/>
        <family val="1"/>
        <charset val="128"/>
      </rPr>
      <t>こて塗り</t>
    </r>
    <r>
      <rPr>
        <sz val="11"/>
        <color theme="1"/>
        <rFont val="ＭＳ Ｐ明朝"/>
        <family val="1"/>
        <charset val="128"/>
      </rPr>
      <t>面積</t>
    </r>
    <rPh sb="0" eb="2">
      <t>ジョウキ</t>
    </rPh>
    <rPh sb="2" eb="4">
      <t>サカン</t>
    </rPh>
    <rPh sb="7" eb="8">
      <t>ヌ</t>
    </rPh>
    <rPh sb="9" eb="11">
      <t>メンセキ</t>
    </rPh>
    <phoneticPr fontId="1"/>
  </si>
  <si>
    <t>＜実績報告時の提出書類＞県内プレカット加工証明書（様式第９号）又はその写し</t>
    <rPh sb="1" eb="3">
      <t>ジッセキ</t>
    </rPh>
    <rPh sb="3" eb="5">
      <t>ホウコク</t>
    </rPh>
    <rPh sb="5" eb="6">
      <t>ジ</t>
    </rPh>
    <rPh sb="7" eb="9">
      <t>テイシュツ</t>
    </rPh>
    <rPh sb="9" eb="11">
      <t>ショルイ</t>
    </rPh>
    <rPh sb="12" eb="14">
      <t>ケンナイ</t>
    </rPh>
    <rPh sb="19" eb="21">
      <t>カコウ</t>
    </rPh>
    <rPh sb="21" eb="24">
      <t>ショウメイショ</t>
    </rPh>
    <rPh sb="25" eb="27">
      <t>ヨウシキ</t>
    </rPh>
    <rPh sb="27" eb="28">
      <t>ダイ</t>
    </rPh>
    <rPh sb="29" eb="30">
      <t>ゴウ</t>
    </rPh>
    <rPh sb="31" eb="32">
      <t>マタ</t>
    </rPh>
    <rPh sb="35" eb="36">
      <t>ウツ</t>
    </rPh>
    <phoneticPr fontId="1"/>
  </si>
  <si>
    <t>（別途提出する県産材の産地証明書で証明できる場合を除く。）</t>
    <rPh sb="1" eb="3">
      <t>ベット</t>
    </rPh>
    <rPh sb="3" eb="5">
      <t>テイシュツ</t>
    </rPh>
    <rPh sb="7" eb="10">
      <t>ケンサンザイ</t>
    </rPh>
    <rPh sb="11" eb="13">
      <t>サンチ</t>
    </rPh>
    <rPh sb="13" eb="16">
      <t>ショウメイショ</t>
    </rPh>
    <rPh sb="17" eb="19">
      <t>ショウメイ</t>
    </rPh>
    <rPh sb="22" eb="24">
      <t>バアイ</t>
    </rPh>
    <rPh sb="25" eb="26">
      <t>ノゾ</t>
    </rPh>
    <phoneticPr fontId="1"/>
  </si>
  <si>
    <t>その他、この住宅の改修にあたり関連法令に適合していること。</t>
    <rPh sb="2" eb="3">
      <t>タ</t>
    </rPh>
    <rPh sb="6" eb="8">
      <t>ジュウタク</t>
    </rPh>
    <rPh sb="9" eb="11">
      <t>カイシュウ</t>
    </rPh>
    <rPh sb="15" eb="17">
      <t>カンレン</t>
    </rPh>
    <rPh sb="17" eb="19">
      <t>ホウレイ</t>
    </rPh>
    <rPh sb="20" eb="22">
      <t>テキゴウ</t>
    </rPh>
    <phoneticPr fontId="1"/>
  </si>
  <si>
    <t>外壁の場合はモルタル塗、漆喰塗、その他のこて塗仕上げ</t>
    <phoneticPr fontId="1"/>
  </si>
  <si>
    <t>内壁の場合はモルタル塗、漆喰塗、土塗壁、じゅらく塗、</t>
    <phoneticPr fontId="1"/>
  </si>
  <si>
    <t>＜実績報告時の提出書類＞こて塗りで施工中の写真（建築主名記載の工事看板入り）</t>
    <rPh sb="14" eb="15">
      <t>ヌ</t>
    </rPh>
    <rPh sb="17" eb="20">
      <t>セコウチュウ</t>
    </rPh>
    <rPh sb="21" eb="23">
      <t>シャシン</t>
    </rPh>
    <phoneticPr fontId="1"/>
  </si>
  <si>
    <t>＜実績報告時の提出書類＞施工状況の写真（建築主名記載の工事看板入り）</t>
    <rPh sb="1" eb="3">
      <t>ジッセキ</t>
    </rPh>
    <rPh sb="3" eb="5">
      <t>ホウコク</t>
    </rPh>
    <rPh sb="5" eb="6">
      <t>ジ</t>
    </rPh>
    <rPh sb="7" eb="9">
      <t>テイシュツ</t>
    </rPh>
    <rPh sb="9" eb="11">
      <t>ショルイ</t>
    </rPh>
    <rPh sb="12" eb="14">
      <t>セコウ</t>
    </rPh>
    <rPh sb="14" eb="16">
      <t>ジョウキョウ</t>
    </rPh>
    <rPh sb="17" eb="19">
      <t>シャシン</t>
    </rPh>
    <rPh sb="20" eb="22">
      <t>ケンチク</t>
    </rPh>
    <rPh sb="22" eb="23">
      <t>ヌシ</t>
    </rPh>
    <rPh sb="23" eb="24">
      <t>メイ</t>
    </rPh>
    <rPh sb="24" eb="26">
      <t>キサイ</t>
    </rPh>
    <rPh sb="27" eb="29">
      <t>コウジ</t>
    </rPh>
    <rPh sb="29" eb="31">
      <t>カンバン</t>
    </rPh>
    <rPh sb="31" eb="32">
      <t>イ</t>
    </rPh>
    <phoneticPr fontId="1"/>
  </si>
  <si>
    <r>
      <rPr>
        <sz val="11"/>
        <color rgb="FF0066FF"/>
        <rFont val="ＭＳ Ｐ明朝"/>
        <family val="1"/>
        <charset val="128"/>
      </rPr>
      <t>青色の欄</t>
    </r>
    <r>
      <rPr>
        <sz val="11"/>
        <color theme="1"/>
        <rFont val="ＭＳ Ｐ明朝"/>
        <family val="1"/>
        <charset val="128"/>
      </rPr>
      <t>に、必要事項を記入してください。</t>
    </r>
    <r>
      <rPr>
        <sz val="11"/>
        <color rgb="FFFF0000"/>
        <rFont val="ＭＳ Ｐ明朝"/>
        <family val="1"/>
        <charset val="128"/>
      </rPr>
      <t>選択項目を消去するときはデリート又はバックスペースキー</t>
    </r>
    <r>
      <rPr>
        <sz val="11"/>
        <rFont val="ＭＳ Ｐ明朝"/>
        <family val="1"/>
        <charset val="128"/>
      </rPr>
      <t>で消去してください（黄色の欄は自動計算です。）。</t>
    </r>
    <rPh sb="0" eb="2">
      <t>アオイロ</t>
    </rPh>
    <rPh sb="3" eb="4">
      <t>ラン</t>
    </rPh>
    <rPh sb="6" eb="8">
      <t>ヒツヨウ</t>
    </rPh>
    <rPh sb="8" eb="10">
      <t>ジコウ</t>
    </rPh>
    <rPh sb="11" eb="13">
      <t>キニュウ</t>
    </rPh>
    <rPh sb="20" eb="22">
      <t>センタク</t>
    </rPh>
    <rPh sb="22" eb="24">
      <t>コウモク</t>
    </rPh>
    <rPh sb="25" eb="27">
      <t>ショウキョ</t>
    </rPh>
    <rPh sb="36" eb="37">
      <t>マタ</t>
    </rPh>
    <rPh sb="48" eb="50">
      <t>ショウキョ</t>
    </rPh>
    <rPh sb="57" eb="59">
      <t>キイロ</t>
    </rPh>
    <rPh sb="60" eb="61">
      <t>ラン</t>
    </rPh>
    <rPh sb="62" eb="64">
      <t>ジドウ</t>
    </rPh>
    <rPh sb="64" eb="66">
      <t>ケイサン</t>
    </rPh>
    <phoneticPr fontId="1"/>
  </si>
  <si>
    <t>　私は、とっとり住まいる支援事業補助金交付要綱を熟読し、交付申請（実績報告）内容について下記のとおり確認しました。</t>
    <rPh sb="1" eb="2">
      <t>ワタシ</t>
    </rPh>
    <rPh sb="8" eb="9">
      <t>ス</t>
    </rPh>
    <rPh sb="12" eb="16">
      <t>シエンジギョウ</t>
    </rPh>
    <rPh sb="16" eb="19">
      <t>ホジョキン</t>
    </rPh>
    <rPh sb="19" eb="21">
      <t>コウフ</t>
    </rPh>
    <rPh sb="21" eb="23">
      <t>ヨウコウ</t>
    </rPh>
    <rPh sb="24" eb="26">
      <t>ジュクドク</t>
    </rPh>
    <rPh sb="28" eb="30">
      <t>コウフ</t>
    </rPh>
    <rPh sb="30" eb="32">
      <t>シンセイ</t>
    </rPh>
    <rPh sb="33" eb="35">
      <t>ジッセキ</t>
    </rPh>
    <rPh sb="35" eb="37">
      <t>ホウコク</t>
    </rPh>
    <rPh sb="38" eb="40">
      <t>ナイヨウ</t>
    </rPh>
    <phoneticPr fontId="1"/>
  </si>
  <si>
    <t>要綱を熟読し、補助対象要件を確認した。</t>
    <phoneticPr fontId="1"/>
  </si>
  <si>
    <r>
      <t>　※同居とは</t>
    </r>
    <r>
      <rPr>
        <sz val="10"/>
        <color rgb="FFFF0000"/>
        <rFont val="ＭＳ Ｐ明朝"/>
        <family val="1"/>
        <charset val="128"/>
      </rPr>
      <t>同一住宅内又は敷地が隣接する住宅</t>
    </r>
    <r>
      <rPr>
        <sz val="10"/>
        <color theme="1"/>
        <rFont val="ＭＳ Ｐ明朝"/>
        <family val="1"/>
        <charset val="128"/>
      </rPr>
      <t>に居住することをいいます。</t>
    </r>
    <rPh sb="11" eb="12">
      <t>マタ</t>
    </rPh>
    <rPh sb="13" eb="15">
      <t>シキチ</t>
    </rPh>
    <rPh sb="16" eb="18">
      <t>リンセツ</t>
    </rPh>
    <rPh sb="20" eb="22">
      <t>ジュウタク</t>
    </rPh>
    <phoneticPr fontId="1"/>
  </si>
  <si>
    <t>過去に環境にやさしい木の住まい建設等資金補助金若しくは本事業の助成を受けていない住宅又は当該補助金を受けた住宅で助成（額の確定日）から10年以上が経過していること。</t>
    <rPh sb="0" eb="2">
      <t>カコ</t>
    </rPh>
    <rPh sb="3" eb="5">
      <t>カンキョウ</t>
    </rPh>
    <rPh sb="10" eb="11">
      <t>キ</t>
    </rPh>
    <rPh sb="12" eb="13">
      <t>ス</t>
    </rPh>
    <rPh sb="15" eb="18">
      <t>ケンセツナド</t>
    </rPh>
    <rPh sb="18" eb="20">
      <t>シキン</t>
    </rPh>
    <rPh sb="20" eb="23">
      <t>ホジョキン</t>
    </rPh>
    <rPh sb="23" eb="24">
      <t>モ</t>
    </rPh>
    <rPh sb="27" eb="28">
      <t>ホン</t>
    </rPh>
    <rPh sb="28" eb="30">
      <t>ジギョウ</t>
    </rPh>
    <rPh sb="31" eb="33">
      <t>ジョセイ</t>
    </rPh>
    <rPh sb="34" eb="35">
      <t>ウ</t>
    </rPh>
    <rPh sb="40" eb="42">
      <t>ジュウタク</t>
    </rPh>
    <rPh sb="42" eb="43">
      <t>マタ</t>
    </rPh>
    <rPh sb="44" eb="46">
      <t>トウガイ</t>
    </rPh>
    <rPh sb="46" eb="49">
      <t>ホジョキン</t>
    </rPh>
    <rPh sb="50" eb="51">
      <t>ウ</t>
    </rPh>
    <rPh sb="53" eb="55">
      <t>ジュウタク</t>
    </rPh>
    <rPh sb="56" eb="58">
      <t>ジョセイ</t>
    </rPh>
    <rPh sb="59" eb="60">
      <t>ガク</t>
    </rPh>
    <rPh sb="61" eb="64">
      <t>カクテイビ</t>
    </rPh>
    <rPh sb="69" eb="70">
      <t>ネン</t>
    </rPh>
    <rPh sb="70" eb="72">
      <t>イジョウ</t>
    </rPh>
    <rPh sb="73" eb="75">
      <t>ケイカ</t>
    </rPh>
    <phoneticPr fontId="1"/>
  </si>
  <si>
    <r>
      <t>珪藻土塗その他のこて塗仕上げで</t>
    </r>
    <r>
      <rPr>
        <sz val="11"/>
        <color rgb="FFFF0000"/>
        <rFont val="ＭＳ Ｐ明朝"/>
        <family val="1"/>
        <charset val="128"/>
      </rPr>
      <t>7m2以上施工</t>
    </r>
    <rPh sb="18" eb="20">
      <t>イジョウ</t>
    </rPh>
    <rPh sb="20" eb="22">
      <t>セコウ</t>
    </rPh>
    <phoneticPr fontId="1"/>
  </si>
  <si>
    <t>こて塗り面積１m2あたり13,000円を支援する。（1m2未満切捨て）</t>
    <rPh sb="2" eb="3">
      <t>ヌ</t>
    </rPh>
    <rPh sb="4" eb="6">
      <t>メンセキ</t>
    </rPh>
    <rPh sb="18" eb="19">
      <t>エン</t>
    </rPh>
    <rPh sb="20" eb="22">
      <t>シエン</t>
    </rPh>
    <phoneticPr fontId="1"/>
  </si>
  <si>
    <t>※延べ面積が100m2以下の場合で、工事監理者が不要なときは工事施工者氏名を選択、記載してください。</t>
    <rPh sb="1" eb="2">
      <t>ノベ</t>
    </rPh>
    <rPh sb="3" eb="5">
      <t>メンセキ</t>
    </rPh>
    <rPh sb="11" eb="13">
      <t>イカ</t>
    </rPh>
    <rPh sb="14" eb="16">
      <t>バアイ</t>
    </rPh>
    <rPh sb="18" eb="20">
      <t>コウジ</t>
    </rPh>
    <rPh sb="20" eb="23">
      <t>カンリシャ</t>
    </rPh>
    <rPh sb="24" eb="26">
      <t>フヨウ</t>
    </rPh>
    <rPh sb="30" eb="32">
      <t>コウジ</t>
    </rPh>
    <rPh sb="32" eb="35">
      <t>セコウシャ</t>
    </rPh>
    <rPh sb="35" eb="37">
      <t>シメイ</t>
    </rPh>
    <rPh sb="38" eb="40">
      <t>センタク</t>
    </rPh>
    <rPh sb="41" eb="43">
      <t>キサイ</t>
    </rPh>
    <phoneticPr fontId="1"/>
  </si>
  <si>
    <t>次の（１）（２）（３）のいずれかに該当すること。</t>
    <rPh sb="0" eb="1">
      <t>ツギ</t>
    </rPh>
    <rPh sb="17" eb="19">
      <t>ガイトウ</t>
    </rPh>
    <phoneticPr fontId="1"/>
  </si>
  <si>
    <t>（１） ①②③④の全てに該当</t>
    <rPh sb="9" eb="10">
      <t>スベ</t>
    </rPh>
    <rPh sb="12" eb="14">
      <t>ガイトウ</t>
    </rPh>
    <phoneticPr fontId="1"/>
  </si>
  <si>
    <t>（２） ①②⑤の全てに該当</t>
    <rPh sb="8" eb="9">
      <t>スベ</t>
    </rPh>
    <rPh sb="11" eb="13">
      <t>ガイトウ</t>
    </rPh>
    <phoneticPr fontId="1"/>
  </si>
  <si>
    <t>（３） ②⑥の両方に該当</t>
    <rPh sb="7" eb="9">
      <t>リョウホウ</t>
    </rPh>
    <rPh sb="10" eb="12">
      <t>ガイトウ</t>
    </rPh>
    <phoneticPr fontId="1"/>
  </si>
  <si>
    <t>工事監理者氏名</t>
  </si>
  <si>
    <t>＜実績報告時の提出書類＞各伝統技能に係る面積等の算出過程及び結果並びに使用場所がわかる立面図、展開図等の書類</t>
    <phoneticPr fontId="1"/>
  </si>
  <si>
    <t>とっとり住まいる支援事業建設等報告書【改修用】</t>
    <rPh sb="4" eb="5">
      <t>ス</t>
    </rPh>
    <rPh sb="8" eb="12">
      <t>シエンジギョウ</t>
    </rPh>
    <rPh sb="12" eb="14">
      <t>ケンセツ</t>
    </rPh>
    <rPh sb="14" eb="15">
      <t>トウ</t>
    </rPh>
    <rPh sb="15" eb="17">
      <t>ホウコク</t>
    </rPh>
    <rPh sb="17" eb="18">
      <t>ショ</t>
    </rPh>
    <rPh sb="19" eb="21">
      <t>カイシュウ</t>
    </rPh>
    <rPh sb="21" eb="22">
      <t>ヨウ</t>
    </rPh>
    <phoneticPr fontId="1"/>
  </si>
  <si>
    <t>実績報告用</t>
    <rPh sb="0" eb="2">
      <t>ジッセキ</t>
    </rPh>
    <rPh sb="2" eb="5">
      <t>ホウコクヨウ</t>
    </rPh>
    <phoneticPr fontId="1"/>
  </si>
  <si>
    <t>とっとり住まいる支援事業補助金　実績報告書</t>
    <rPh sb="4" eb="5">
      <t>ス</t>
    </rPh>
    <rPh sb="8" eb="15">
      <t>シエンジギョウホジョキン</t>
    </rPh>
    <rPh sb="16" eb="18">
      <t>ジッセキ</t>
    </rPh>
    <rPh sb="18" eb="21">
      <t>ホウコクショ</t>
    </rPh>
    <phoneticPr fontId="1"/>
  </si>
  <si>
    <t>とっとり住まいる支援事業建設等報告書【改修用】</t>
    <rPh sb="12" eb="14">
      <t>ケンセツ</t>
    </rPh>
    <rPh sb="14" eb="15">
      <t>ナド</t>
    </rPh>
    <rPh sb="15" eb="17">
      <t>ホウコク</t>
    </rPh>
    <rPh sb="19" eb="21">
      <t>カイシュウ</t>
    </rPh>
    <phoneticPr fontId="1"/>
  </si>
  <si>
    <t>完成写真及び口座振替依頼書</t>
    <rPh sb="0" eb="2">
      <t>カンセイ</t>
    </rPh>
    <rPh sb="2" eb="4">
      <t>シャシン</t>
    </rPh>
    <rPh sb="4" eb="5">
      <t>オヨ</t>
    </rPh>
    <rPh sb="6" eb="8">
      <t>コウザ</t>
    </rPh>
    <rPh sb="8" eb="10">
      <t>フリカエ</t>
    </rPh>
    <rPh sb="10" eb="13">
      <t>イライショ</t>
    </rPh>
    <phoneticPr fontId="1"/>
  </si>
  <si>
    <t>県産材の産地証明書の写し</t>
    <rPh sb="0" eb="3">
      <t>ケンサンザイ</t>
    </rPh>
    <rPh sb="4" eb="6">
      <t>サンチ</t>
    </rPh>
    <rPh sb="6" eb="9">
      <t>ショウメイショ</t>
    </rPh>
    <rPh sb="10" eb="11">
      <t>ウツ</t>
    </rPh>
    <phoneticPr fontId="1"/>
  </si>
  <si>
    <t>あなたが補助金実績報告で提出する書類は次のとおりです。</t>
    <rPh sb="4" eb="7">
      <t>ホジョキン</t>
    </rPh>
    <rPh sb="7" eb="9">
      <t>ジッセキ</t>
    </rPh>
    <rPh sb="9" eb="11">
      <t>ホウコク</t>
    </rPh>
    <rPh sb="12" eb="14">
      <t>テイシュツ</t>
    </rPh>
    <rPh sb="16" eb="18">
      <t>ショルイ</t>
    </rPh>
    <rPh sb="19" eb="20">
      <t>ツギ</t>
    </rPh>
    <phoneticPr fontId="1"/>
  </si>
  <si>
    <t>＜実績報告時の提出書類＞建具の種類及び見付面積が確認できる資料、設置完了時写真（建具の種類ごとに建築主名、建具業者名及び建具の名称を記載した工事看板入り）及び当該木製建具に係る納品書の写し</t>
    <phoneticPr fontId="1"/>
  </si>
  <si>
    <t>・とっとり住まいる支援事業建設等報告書（様式第６号の２）</t>
    <rPh sb="16" eb="18">
      <t>ホウコク</t>
    </rPh>
    <phoneticPr fontId="1"/>
  </si>
  <si>
    <t>とっとり住まいる支援事業補助金実績報告書</t>
    <rPh sb="4" eb="5">
      <t>ス</t>
    </rPh>
    <rPh sb="8" eb="12">
      <t>シエンジギョウ</t>
    </rPh>
    <rPh sb="12" eb="15">
      <t>ホジョキン</t>
    </rPh>
    <rPh sb="15" eb="17">
      <t>ジッセキ</t>
    </rPh>
    <rPh sb="17" eb="20">
      <t>ホウコクショ</t>
    </rPh>
    <phoneticPr fontId="1"/>
  </si>
  <si>
    <t>　令和　　年　　月　　日付第　　　　　　　　号による交付決定に係る事業の実績について、鳥取県補助金等交付規則第17条第１項の規定により、下記のとおり報告します。</t>
    <rPh sb="1" eb="3">
      <t>レイワ</t>
    </rPh>
    <rPh sb="5" eb="6">
      <t>ネン</t>
    </rPh>
    <rPh sb="8" eb="9">
      <t>ガツ</t>
    </rPh>
    <rPh sb="11" eb="12">
      <t>ニチ</t>
    </rPh>
    <rPh sb="12" eb="13">
      <t>ヅ</t>
    </rPh>
    <rPh sb="13" eb="14">
      <t>ダイ</t>
    </rPh>
    <rPh sb="22" eb="23">
      <t>ゴウ</t>
    </rPh>
    <rPh sb="26" eb="28">
      <t>コウフ</t>
    </rPh>
    <rPh sb="28" eb="30">
      <t>ケッテイ</t>
    </rPh>
    <rPh sb="31" eb="32">
      <t>カカ</t>
    </rPh>
    <rPh sb="33" eb="35">
      <t>ジギョウ</t>
    </rPh>
    <rPh sb="36" eb="38">
      <t>ジッセキ</t>
    </rPh>
    <rPh sb="43" eb="46">
      <t>トットリケン</t>
    </rPh>
    <rPh sb="46" eb="49">
      <t>ホジョキン</t>
    </rPh>
    <rPh sb="49" eb="50">
      <t>ナド</t>
    </rPh>
    <rPh sb="50" eb="52">
      <t>コウフ</t>
    </rPh>
    <rPh sb="52" eb="54">
      <t>キソク</t>
    </rPh>
    <rPh sb="54" eb="55">
      <t>ダイ</t>
    </rPh>
    <rPh sb="57" eb="58">
      <t>ジョウ</t>
    </rPh>
    <rPh sb="58" eb="59">
      <t>ダイ</t>
    </rPh>
    <rPh sb="60" eb="61">
      <t>コウ</t>
    </rPh>
    <rPh sb="62" eb="64">
      <t>キテイ</t>
    </rPh>
    <rPh sb="68" eb="70">
      <t>カキ</t>
    </rPh>
    <rPh sb="74" eb="76">
      <t>ホウコク</t>
    </rPh>
    <phoneticPr fontId="1"/>
  </si>
  <si>
    <t>交付決定額</t>
    <rPh sb="0" eb="2">
      <t>コウフ</t>
    </rPh>
    <rPh sb="2" eb="5">
      <t>ケッテイガク</t>
    </rPh>
    <phoneticPr fontId="1"/>
  </si>
  <si>
    <t>補助金等の名称</t>
    <rPh sb="0" eb="2">
      <t>ホジョ</t>
    </rPh>
    <rPh sb="2" eb="3">
      <t>キン</t>
    </rPh>
    <rPh sb="3" eb="4">
      <t>トウ</t>
    </rPh>
    <rPh sb="5" eb="7">
      <t>メイショウ</t>
    </rPh>
    <phoneticPr fontId="1"/>
  </si>
  <si>
    <t>交付決定</t>
    <rPh sb="0" eb="2">
      <t>コウフ</t>
    </rPh>
    <rPh sb="2" eb="4">
      <t>ケッテイ</t>
    </rPh>
    <phoneticPr fontId="1"/>
  </si>
  <si>
    <t>様式第３号（第17条関係）</t>
    <rPh sb="0" eb="2">
      <t>ヨウシキ</t>
    </rPh>
    <rPh sb="2" eb="3">
      <t>ダイ</t>
    </rPh>
    <rPh sb="4" eb="5">
      <t>ゴウ</t>
    </rPh>
    <rPh sb="6" eb="7">
      <t>ダイ</t>
    </rPh>
    <rPh sb="9" eb="10">
      <t>ジョウ</t>
    </rPh>
    <rPh sb="10" eb="12">
      <t>カンケイ</t>
    </rPh>
    <phoneticPr fontId="1"/>
  </si>
  <si>
    <t>実　　績</t>
    <rPh sb="0" eb="1">
      <t>ジツ</t>
    </rPh>
    <rPh sb="3" eb="4">
      <t>イサオ</t>
    </rPh>
    <phoneticPr fontId="1"/>
  </si>
  <si>
    <t>差　　額</t>
    <rPh sb="0" eb="1">
      <t>サ</t>
    </rPh>
    <rPh sb="3" eb="4">
      <t>ガク</t>
    </rPh>
    <phoneticPr fontId="1"/>
  </si>
  <si>
    <r>
      <t>交付決定通知書、額の確定通知書等の県が交付する文書の送付先　</t>
    </r>
    <r>
      <rPr>
        <sz val="9"/>
        <color theme="1"/>
        <rFont val="ＭＳ Ｐ明朝"/>
        <family val="1"/>
        <charset val="128"/>
      </rPr>
      <t>（申請者と同じ場合は記載不要）</t>
    </r>
    <rPh sb="0" eb="2">
      <t>コウフ</t>
    </rPh>
    <rPh sb="2" eb="4">
      <t>ケッテイ</t>
    </rPh>
    <rPh sb="4" eb="6">
      <t>ツウチ</t>
    </rPh>
    <rPh sb="6" eb="7">
      <t>ショ</t>
    </rPh>
    <rPh sb="8" eb="9">
      <t>ガク</t>
    </rPh>
    <rPh sb="10" eb="12">
      <t>カクテイ</t>
    </rPh>
    <rPh sb="12" eb="14">
      <t>ツウチ</t>
    </rPh>
    <rPh sb="14" eb="15">
      <t>ショ</t>
    </rPh>
    <rPh sb="15" eb="16">
      <t>トウ</t>
    </rPh>
    <rPh sb="17" eb="18">
      <t>ケン</t>
    </rPh>
    <rPh sb="19" eb="21">
      <t>コウフ</t>
    </rPh>
    <rPh sb="23" eb="25">
      <t>ブンショ</t>
    </rPh>
    <rPh sb="26" eb="28">
      <t>ソウフ</t>
    </rPh>
    <rPh sb="28" eb="29">
      <t>サキ</t>
    </rPh>
    <phoneticPr fontId="1"/>
  </si>
  <si>
    <r>
      <t>住所</t>
    </r>
    <r>
      <rPr>
        <sz val="8"/>
        <color theme="1"/>
        <rFont val="ＭＳ Ｐ明朝"/>
        <family val="1"/>
        <charset val="128"/>
      </rPr>
      <t xml:space="preserve">
（法人の場合は所在地）</t>
    </r>
    <rPh sb="0" eb="2">
      <t>ジュウショ</t>
    </rPh>
    <rPh sb="4" eb="6">
      <t>ホウジン</t>
    </rPh>
    <rPh sb="7" eb="9">
      <t>バアイ</t>
    </rPh>
    <rPh sb="10" eb="13">
      <t>ショザイチ</t>
    </rPh>
    <phoneticPr fontId="1"/>
  </si>
  <si>
    <r>
      <t>氏名</t>
    </r>
    <r>
      <rPr>
        <sz val="8"/>
        <color theme="1"/>
        <rFont val="ＭＳ Ｐ明朝"/>
        <family val="1"/>
        <charset val="128"/>
      </rPr>
      <t xml:space="preserve">
（法人の場合は名称・代表者）</t>
    </r>
    <rPh sb="0" eb="2">
      <t>シメイ</t>
    </rPh>
    <rPh sb="4" eb="6">
      <t>ホウジン</t>
    </rPh>
    <rPh sb="7" eb="9">
      <t>バアイ</t>
    </rPh>
    <rPh sb="10" eb="12">
      <t>メイショウ</t>
    </rPh>
    <rPh sb="13" eb="16">
      <t>ダイヒョウシャ</t>
    </rPh>
    <phoneticPr fontId="1"/>
  </si>
  <si>
    <t>（独）住宅金融支援機構の融資を受けている</t>
    <rPh sb="1" eb="2">
      <t>ドク</t>
    </rPh>
    <rPh sb="3" eb="5">
      <t>ジュウタク</t>
    </rPh>
    <rPh sb="5" eb="7">
      <t>キンユウ</t>
    </rPh>
    <rPh sb="7" eb="9">
      <t>シエン</t>
    </rPh>
    <rPh sb="9" eb="11">
      <t>キコウ</t>
    </rPh>
    <rPh sb="12" eb="14">
      <t>ユウシ</t>
    </rPh>
    <rPh sb="15" eb="16">
      <t>ウ</t>
    </rPh>
    <phoneticPr fontId="1"/>
  </si>
  <si>
    <t>回答選択</t>
    <rPh sb="0" eb="2">
      <t>カイトウ</t>
    </rPh>
    <rPh sb="2" eb="4">
      <t>センタク</t>
    </rPh>
    <phoneticPr fontId="1"/>
  </si>
  <si>
    <t>　令和　　年　　月　　日付第　　　　　　　　号による交付決定及び令和　年　月　日第　　　　　　号による変更承認に係る事業の実績について、鳥取県補助金等交付規則第17条第１項の規定により、下記のとおり報告します。</t>
    <rPh sb="1" eb="3">
      <t>レイワ</t>
    </rPh>
    <rPh sb="5" eb="6">
      <t>ネン</t>
    </rPh>
    <rPh sb="8" eb="9">
      <t>ガツ</t>
    </rPh>
    <rPh sb="11" eb="12">
      <t>ニチ</t>
    </rPh>
    <rPh sb="12" eb="13">
      <t>ヅ</t>
    </rPh>
    <rPh sb="13" eb="14">
      <t>ダイ</t>
    </rPh>
    <rPh sb="22" eb="23">
      <t>ゴウ</t>
    </rPh>
    <rPh sb="26" eb="28">
      <t>コウフ</t>
    </rPh>
    <rPh sb="28" eb="30">
      <t>ケッテイ</t>
    </rPh>
    <rPh sb="30" eb="31">
      <t>オヨ</t>
    </rPh>
    <rPh sb="32" eb="34">
      <t>レイワ</t>
    </rPh>
    <rPh sb="35" eb="36">
      <t>ネン</t>
    </rPh>
    <rPh sb="37" eb="38">
      <t>ガツ</t>
    </rPh>
    <rPh sb="39" eb="40">
      <t>ニチ</t>
    </rPh>
    <rPh sb="40" eb="41">
      <t>ダイ</t>
    </rPh>
    <rPh sb="47" eb="48">
      <t>ゴウ</t>
    </rPh>
    <rPh sb="51" eb="53">
      <t>ヘンコウ</t>
    </rPh>
    <rPh sb="53" eb="55">
      <t>ショウニン</t>
    </rPh>
    <rPh sb="56" eb="57">
      <t>カカ</t>
    </rPh>
    <rPh sb="58" eb="60">
      <t>ジギョウ</t>
    </rPh>
    <rPh sb="61" eb="63">
      <t>ジッセキ</t>
    </rPh>
    <rPh sb="68" eb="71">
      <t>トットリケン</t>
    </rPh>
    <rPh sb="71" eb="74">
      <t>ホジョキン</t>
    </rPh>
    <rPh sb="74" eb="75">
      <t>ナド</t>
    </rPh>
    <rPh sb="75" eb="77">
      <t>コウフ</t>
    </rPh>
    <rPh sb="77" eb="79">
      <t>キソク</t>
    </rPh>
    <rPh sb="79" eb="80">
      <t>ダイ</t>
    </rPh>
    <rPh sb="82" eb="83">
      <t>ジョウ</t>
    </rPh>
    <rPh sb="83" eb="84">
      <t>ダイ</t>
    </rPh>
    <rPh sb="85" eb="86">
      <t>コウ</t>
    </rPh>
    <rPh sb="87" eb="89">
      <t>キテイ</t>
    </rPh>
    <rPh sb="93" eb="95">
      <t>カキ</t>
    </rPh>
    <rPh sb="99" eb="101">
      <t>ホウコク</t>
    </rPh>
    <phoneticPr fontId="1"/>
  </si>
  <si>
    <t>←この欄で該当するものを選択</t>
    <rPh sb="3" eb="4">
      <t>ラン</t>
    </rPh>
    <rPh sb="5" eb="7">
      <t>ガイトウ</t>
    </rPh>
    <rPh sb="12" eb="14">
      <t>センタク</t>
    </rPh>
    <phoneticPr fontId="1"/>
  </si>
  <si>
    <t>県産材</t>
    <rPh sb="0" eb="3">
      <t>ケンサンザイ</t>
    </rPh>
    <phoneticPr fontId="1"/>
  </si>
  <si>
    <t>伝統技能活用</t>
    <rPh sb="0" eb="2">
      <t>デントウ</t>
    </rPh>
    <rPh sb="2" eb="4">
      <t>ギノウ</t>
    </rPh>
    <rPh sb="4" eb="6">
      <t>カツヨウ</t>
    </rPh>
    <phoneticPr fontId="1"/>
  </si>
  <si>
    <t>子育て世帯等</t>
    <rPh sb="0" eb="2">
      <t>コソダ</t>
    </rPh>
    <rPh sb="3" eb="5">
      <t>セタイ</t>
    </rPh>
    <rPh sb="5" eb="6">
      <t>ナド</t>
    </rPh>
    <phoneticPr fontId="1"/>
  </si>
  <si>
    <t>三世代同居等世帯</t>
    <rPh sb="0" eb="1">
      <t>サン</t>
    </rPh>
    <rPh sb="1" eb="3">
      <t>セダイ</t>
    </rPh>
    <rPh sb="3" eb="5">
      <t>ドウキョ</t>
    </rPh>
    <rPh sb="5" eb="6">
      <t>ナド</t>
    </rPh>
    <rPh sb="6" eb="8">
      <t>セタイ</t>
    </rPh>
    <phoneticPr fontId="1"/>
  </si>
  <si>
    <t>交付対象経費</t>
    <rPh sb="0" eb="2">
      <t>コウフ</t>
    </rPh>
    <rPh sb="2" eb="4">
      <t>タイショウ</t>
    </rPh>
    <rPh sb="4" eb="6">
      <t>ケイヒ</t>
    </rPh>
    <phoneticPr fontId="1"/>
  </si>
  <si>
    <t>交付決定額</t>
    <rPh sb="0" eb="2">
      <t>コウフ</t>
    </rPh>
    <rPh sb="2" eb="5">
      <t>ケッテイガク</t>
    </rPh>
    <phoneticPr fontId="1"/>
  </si>
  <si>
    <t>実績報告額</t>
    <rPh sb="0" eb="2">
      <t>ジッセキ</t>
    </rPh>
    <rPh sb="2" eb="4">
      <t>ホウコク</t>
    </rPh>
    <rPh sb="4" eb="5">
      <t>ガク</t>
    </rPh>
    <phoneticPr fontId="1"/>
  </si>
  <si>
    <t>補助金</t>
    <rPh sb="0" eb="3">
      <t>ホジョキン</t>
    </rPh>
    <phoneticPr fontId="1"/>
  </si>
  <si>
    <t>算定基準額</t>
    <rPh sb="0" eb="2">
      <t>サンテイ</t>
    </rPh>
    <rPh sb="2" eb="5">
      <t>キジュンガク</t>
    </rPh>
    <phoneticPr fontId="1"/>
  </si>
  <si>
    <t>交付申請時の改修工事費</t>
    <rPh sb="0" eb="2">
      <t>コウフ</t>
    </rPh>
    <rPh sb="2" eb="5">
      <t>シンセイジ</t>
    </rPh>
    <rPh sb="6" eb="8">
      <t>カイシュウ</t>
    </rPh>
    <rPh sb="8" eb="11">
      <t>コウジヒ</t>
    </rPh>
    <phoneticPr fontId="1"/>
  </si>
  <si>
    <t>↑単位に注意</t>
    <rPh sb="1" eb="3">
      <t>タンイ</t>
    </rPh>
    <rPh sb="4" eb="6">
      <t>チュウイ</t>
    </rPh>
    <phoneticPr fontId="1"/>
  </si>
  <si>
    <t>実績報告時の改修工事費</t>
    <rPh sb="0" eb="2">
      <t>ジッセキ</t>
    </rPh>
    <rPh sb="2" eb="4">
      <t>ホウコク</t>
    </rPh>
    <rPh sb="4" eb="5">
      <t>ジ</t>
    </rPh>
    <rPh sb="6" eb="8">
      <t>カイシュウ</t>
    </rPh>
    <rPh sb="8" eb="11">
      <t>コウジヒ</t>
    </rPh>
    <phoneticPr fontId="1"/>
  </si>
  <si>
    <t>交付決定額と実績報告額の比較結果</t>
    <rPh sb="0" eb="2">
      <t>コウフ</t>
    </rPh>
    <rPh sb="2" eb="5">
      <t>ケッテイガク</t>
    </rPh>
    <rPh sb="6" eb="8">
      <t>ジッセキ</t>
    </rPh>
    <rPh sb="8" eb="10">
      <t>ホウコク</t>
    </rPh>
    <rPh sb="10" eb="11">
      <t>ガク</t>
    </rPh>
    <rPh sb="12" eb="14">
      <t>ヒカク</t>
    </rPh>
    <rPh sb="14" eb="16">
      <t>ケッカ</t>
    </rPh>
    <phoneticPr fontId="1"/>
  </si>
  <si>
    <r>
      <rPr>
        <sz val="11"/>
        <color rgb="FF0000FF"/>
        <rFont val="ＭＳ 明朝"/>
        <family val="1"/>
        <charset val="128"/>
      </rPr>
      <t>青の欄のみ入力</t>
    </r>
    <r>
      <rPr>
        <sz val="11"/>
        <color theme="1"/>
        <rFont val="ＭＳ 明朝"/>
        <family val="1"/>
        <charset val="128"/>
      </rPr>
      <t>、黄色の欄は自動計算</t>
    </r>
    <rPh sb="0" eb="1">
      <t>アオ</t>
    </rPh>
    <rPh sb="2" eb="3">
      <t>ラン</t>
    </rPh>
    <rPh sb="5" eb="7">
      <t>ニュウリョク</t>
    </rPh>
    <rPh sb="8" eb="10">
      <t>キイロ</t>
    </rPh>
    <rPh sb="11" eb="12">
      <t>ラン</t>
    </rPh>
    <rPh sb="13" eb="15">
      <t>ジドウ</t>
    </rPh>
    <rPh sb="15" eb="17">
      <t>ケイサン</t>
    </rPh>
    <phoneticPr fontId="1"/>
  </si>
  <si>
    <t>いいえ</t>
  </si>
  <si>
    <t>↑単位に注意　万円単位で入力してください（200万円→200で入力、90万3千円→90.3で入力）</t>
    <rPh sb="1" eb="3">
      <t>タンイ</t>
    </rPh>
    <rPh sb="4" eb="6">
      <t>チュウイ</t>
    </rPh>
    <rPh sb="7" eb="9">
      <t>マンエン</t>
    </rPh>
    <rPh sb="9" eb="11">
      <t>タンイ</t>
    </rPh>
    <rPh sb="12" eb="14">
      <t>ニュウリョク</t>
    </rPh>
    <rPh sb="24" eb="26">
      <t>マンエン</t>
    </rPh>
    <rPh sb="31" eb="33">
      <t>ニュウリョク</t>
    </rPh>
    <rPh sb="36" eb="37">
      <t>マン</t>
    </rPh>
    <rPh sb="38" eb="40">
      <t>センエン</t>
    </rPh>
    <rPh sb="46" eb="48">
      <t>ニュウリョク</t>
    </rPh>
    <phoneticPr fontId="1"/>
  </si>
  <si>
    <t>実績報告（事業報告書から自動計算）</t>
    <rPh sb="0" eb="2">
      <t>ジッセキ</t>
    </rPh>
    <rPh sb="2" eb="4">
      <t>ホウコク</t>
    </rPh>
    <rPh sb="5" eb="7">
      <t>ジギョウ</t>
    </rPh>
    <rPh sb="7" eb="10">
      <t>ホウコクショ</t>
    </rPh>
    <rPh sb="12" eb="14">
      <t>ジドウ</t>
    </rPh>
    <rPh sb="14" eb="16">
      <t>ケイサン</t>
    </rPh>
    <phoneticPr fontId="1"/>
  </si>
  <si>
    <t>交付決定通知（変更を行った場合は変更承認通知）記載の額を入力してください（０円も入力、空白不可）。</t>
    <rPh sb="0" eb="2">
      <t>コウフ</t>
    </rPh>
    <rPh sb="2" eb="4">
      <t>ケッテイ</t>
    </rPh>
    <rPh sb="4" eb="6">
      <t>ツウチ</t>
    </rPh>
    <rPh sb="7" eb="9">
      <t>ヘンコウ</t>
    </rPh>
    <rPh sb="10" eb="11">
      <t>オコナ</t>
    </rPh>
    <rPh sb="13" eb="15">
      <t>バアイ</t>
    </rPh>
    <rPh sb="16" eb="18">
      <t>ヘンコウ</t>
    </rPh>
    <rPh sb="18" eb="20">
      <t>ショウニン</t>
    </rPh>
    <rPh sb="20" eb="22">
      <t>ツウチ</t>
    </rPh>
    <rPh sb="23" eb="25">
      <t>キサイ</t>
    </rPh>
    <rPh sb="26" eb="27">
      <t>ガク</t>
    </rPh>
    <rPh sb="28" eb="30">
      <t>ニュウリョク</t>
    </rPh>
    <rPh sb="38" eb="39">
      <t>エン</t>
    </rPh>
    <rPh sb="40" eb="42">
      <t>ニュウリョク</t>
    </rPh>
    <rPh sb="43" eb="45">
      <t>クウハク</t>
    </rPh>
    <rPh sb="45" eb="47">
      <t>フカ</t>
    </rPh>
    <phoneticPr fontId="1"/>
  </si>
  <si>
    <t>変更承認を受けている場合は、以下のAA19の内容をA17にコピペしてください。</t>
    <rPh sb="0" eb="2">
      <t>ヘンコウ</t>
    </rPh>
    <rPh sb="2" eb="4">
      <t>ショウニン</t>
    </rPh>
    <rPh sb="5" eb="6">
      <t>ウ</t>
    </rPh>
    <rPh sb="10" eb="12">
      <t>バアイ</t>
    </rPh>
    <rPh sb="14" eb="16">
      <t>イカ</t>
    </rPh>
    <rPh sb="22" eb="24">
      <t>ナイヨウ</t>
    </rPh>
    <phoneticPr fontId="1"/>
  </si>
  <si>
    <t>令和２年度</t>
    <rPh sb="0" eb="2">
      <t>レイワ</t>
    </rPh>
    <rPh sb="3" eb="5">
      <t>ネンド</t>
    </rPh>
    <phoneticPr fontId="1"/>
  </si>
  <si>
    <t>令和３年度</t>
    <rPh sb="0" eb="2">
      <t>レイワ</t>
    </rPh>
    <rPh sb="3" eb="5">
      <t>ネンド</t>
    </rPh>
    <phoneticPr fontId="1"/>
  </si>
  <si>
    <t>令和４年度</t>
    <rPh sb="0" eb="2">
      <t>レイワ</t>
    </rPh>
    <rPh sb="3" eb="5">
      <t>ネンド</t>
    </rPh>
    <phoneticPr fontId="1"/>
  </si>
  <si>
    <t>令和５年度</t>
    <rPh sb="0" eb="2">
      <t>レイワ</t>
    </rPh>
    <rPh sb="3" eb="5">
      <t>ネンド</t>
    </rPh>
    <phoneticPr fontId="1"/>
  </si>
  <si>
    <t>その他</t>
    <rPh sb="2" eb="3">
      <t>タ</t>
    </rPh>
    <phoneticPr fontId="1"/>
  </si>
  <si>
    <t>・</t>
    <phoneticPr fontId="1"/>
  </si>
  <si>
    <t>地域型グリーン化住宅事業の補助対象経費に含む</t>
    <rPh sb="13" eb="15">
      <t>ホジョ</t>
    </rPh>
    <rPh sb="15" eb="17">
      <t>タイショウ</t>
    </rPh>
    <rPh sb="17" eb="19">
      <t>ケイヒ</t>
    </rPh>
    <rPh sb="20" eb="21">
      <t>フク</t>
    </rPh>
    <phoneticPr fontId="1"/>
  </si>
  <si>
    <t>地域型グリーン化住宅事業の補助対象経費に含まない</t>
    <rPh sb="13" eb="15">
      <t>ホジョ</t>
    </rPh>
    <rPh sb="15" eb="17">
      <t>タイショウ</t>
    </rPh>
    <rPh sb="17" eb="19">
      <t>ケイヒ</t>
    </rPh>
    <rPh sb="20" eb="21">
      <t>フク</t>
    </rPh>
    <phoneticPr fontId="1"/>
  </si>
  <si>
    <r>
      <t xml:space="preserve">・補助対象住宅に転居後の世帯全員の住民票
</t>
    </r>
    <r>
      <rPr>
        <sz val="9"/>
        <color rgb="FFFF0000"/>
        <rFont val="ＭＳ Ｐ明朝"/>
        <family val="1"/>
        <charset val="128"/>
      </rPr>
      <t>　（続柄及び転居前の住所が記載されたもの）</t>
    </r>
    <phoneticPr fontId="1"/>
  </si>
  <si>
    <r>
      <t xml:space="preserve">・補助対象住宅に転居後の世帯全員の住民票
</t>
    </r>
    <r>
      <rPr>
        <sz val="9"/>
        <color rgb="FFFF0000"/>
        <rFont val="ＭＳ Ｐ明朝"/>
        <family val="1"/>
        <charset val="128"/>
      </rPr>
      <t>　（続柄及び転居前の住所が記載されたもの）</t>
    </r>
    <phoneticPr fontId="1"/>
  </si>
  <si>
    <t>・申請者の戸籍抄本又は戸籍謄本</t>
    <rPh sb="1" eb="3">
      <t>シンセイ</t>
    </rPh>
    <rPh sb="3" eb="4">
      <t>シャ</t>
    </rPh>
    <rPh sb="5" eb="7">
      <t>コセキ</t>
    </rPh>
    <rPh sb="7" eb="9">
      <t>ショウホン</t>
    </rPh>
    <rPh sb="9" eb="10">
      <t>マタ</t>
    </rPh>
    <rPh sb="11" eb="13">
      <t>コセキ</t>
    </rPh>
    <rPh sb="13" eb="15">
      <t>トウホン</t>
    </rPh>
    <phoneticPr fontId="1"/>
  </si>
  <si>
    <t>・同居又は近居する直系親族世帯全員の住民票の写し　（補助対象住宅に転居後のもの）</t>
    <rPh sb="1" eb="3">
      <t>ドウキョ</t>
    </rPh>
    <rPh sb="3" eb="4">
      <t>マタ</t>
    </rPh>
    <rPh sb="5" eb="7">
      <t>キンキョ</t>
    </rPh>
    <rPh sb="9" eb="11">
      <t>チョッケイ</t>
    </rPh>
    <rPh sb="11" eb="13">
      <t>シンゾク</t>
    </rPh>
    <rPh sb="13" eb="15">
      <t>セタイ</t>
    </rPh>
    <rPh sb="15" eb="17">
      <t>ゼンイン</t>
    </rPh>
    <rPh sb="18" eb="21">
      <t>ジュウミンヒョウ</t>
    </rPh>
    <rPh sb="22" eb="23">
      <t>ウツ</t>
    </rPh>
    <phoneticPr fontId="1"/>
  </si>
  <si>
    <t>･同居又は近居する直系親族と姓が異なる場合は、申請者の戸籍謄本等直系親族とわかる書類</t>
    <rPh sb="1" eb="3">
      <t>ドウキョ</t>
    </rPh>
    <rPh sb="3" eb="4">
      <t>マタ</t>
    </rPh>
    <rPh sb="5" eb="7">
      <t>キンキョ</t>
    </rPh>
    <rPh sb="9" eb="11">
      <t>チョッケイ</t>
    </rPh>
    <rPh sb="11" eb="13">
      <t>シンゾク</t>
    </rPh>
    <rPh sb="14" eb="15">
      <t>セイ</t>
    </rPh>
    <rPh sb="16" eb="17">
      <t>コト</t>
    </rPh>
    <rPh sb="19" eb="21">
      <t>バアイ</t>
    </rPh>
    <rPh sb="23" eb="26">
      <t>シンセイシャ</t>
    </rPh>
    <rPh sb="27" eb="29">
      <t>コセキ</t>
    </rPh>
    <rPh sb="29" eb="31">
      <t>トウホン</t>
    </rPh>
    <rPh sb="31" eb="32">
      <t>ナド</t>
    </rPh>
    <rPh sb="32" eb="34">
      <t>チョッケイ</t>
    </rPh>
    <rPh sb="34" eb="36">
      <t>シンゾク</t>
    </rPh>
    <rPh sb="40" eb="42">
      <t>ショルイ</t>
    </rPh>
    <phoneticPr fontId="1"/>
  </si>
  <si>
    <t>増改築</t>
    <rPh sb="0" eb="3">
      <t>ゾウカイチク</t>
    </rPh>
    <phoneticPr fontId="1"/>
  </si>
  <si>
    <t>車庫、物置、木塀等の工事</t>
    <rPh sb="0" eb="2">
      <t>シャコ</t>
    </rPh>
    <rPh sb="3" eb="5">
      <t>モノオキ</t>
    </rPh>
    <rPh sb="6" eb="7">
      <t>モク</t>
    </rPh>
    <rPh sb="7" eb="8">
      <t>ベイ</t>
    </rPh>
    <rPh sb="8" eb="9">
      <t>ナド</t>
    </rPh>
    <rPh sb="10" eb="12">
      <t>コウジ</t>
    </rPh>
    <phoneticPr fontId="1"/>
  </si>
  <si>
    <t>建築確認申請又は工事届提出年月日</t>
    <rPh sb="0" eb="2">
      <t>ケンチク</t>
    </rPh>
    <rPh sb="2" eb="4">
      <t>カクニン</t>
    </rPh>
    <rPh sb="4" eb="6">
      <t>シンセイ</t>
    </rPh>
    <rPh sb="6" eb="7">
      <t>マタ</t>
    </rPh>
    <rPh sb="8" eb="10">
      <t>コウジ</t>
    </rPh>
    <rPh sb="10" eb="11">
      <t>トド</t>
    </rPh>
    <rPh sb="11" eb="13">
      <t>テイシュツ</t>
    </rPh>
    <rPh sb="13" eb="16">
      <t>ネンガッピ</t>
    </rPh>
    <phoneticPr fontId="1"/>
  </si>
  <si>
    <t>（実績報告時）交付申請時からの改修部分の図面、配置図の変更がある。</t>
    <rPh sb="1" eb="3">
      <t>ジッセキ</t>
    </rPh>
    <rPh sb="3" eb="5">
      <t>ホウコク</t>
    </rPh>
    <rPh sb="5" eb="6">
      <t>ジ</t>
    </rPh>
    <rPh sb="7" eb="9">
      <t>コウフ</t>
    </rPh>
    <rPh sb="9" eb="11">
      <t>シンセイ</t>
    </rPh>
    <rPh sb="11" eb="12">
      <t>ジ</t>
    </rPh>
    <rPh sb="15" eb="17">
      <t>カイシュウ</t>
    </rPh>
    <rPh sb="17" eb="19">
      <t>ブブン</t>
    </rPh>
    <rPh sb="20" eb="22">
      <t>ズメン</t>
    </rPh>
    <rPh sb="23" eb="26">
      <t>ハイチズ</t>
    </rPh>
    <rPh sb="27" eb="29">
      <t>ヘンコウ</t>
    </rPh>
    <phoneticPr fontId="1"/>
  </si>
  <si>
    <t>姓</t>
    <rPh sb="0" eb="1">
      <t>セイ</t>
    </rPh>
    <phoneticPr fontId="1"/>
  </si>
  <si>
    <t>補助対象を同一とする県費を財源とする他の補助事業を利用していないこと。</t>
    <phoneticPr fontId="1"/>
  </si>
  <si>
    <t>当該改修工事は省エネ改修（Re NE-ST改修）を含む工事である。</t>
    <rPh sb="0" eb="4">
      <t>トウガイカイシュウ</t>
    </rPh>
    <rPh sb="4" eb="6">
      <t>コウジ</t>
    </rPh>
    <rPh sb="7" eb="8">
      <t>ショウ</t>
    </rPh>
    <rPh sb="10" eb="12">
      <t>カイシュウ</t>
    </rPh>
    <rPh sb="21" eb="23">
      <t>カイシュウ</t>
    </rPh>
    <rPh sb="25" eb="26">
      <t>フク</t>
    </rPh>
    <rPh sb="27" eb="29">
      <t>コウジ</t>
    </rPh>
    <phoneticPr fontId="1"/>
  </si>
  <si>
    <t>こどもみらい住宅支援事業</t>
    <rPh sb="6" eb="12">
      <t>ジュウタクシエンジギョウ</t>
    </rPh>
    <phoneticPr fontId="1"/>
  </si>
  <si>
    <t>こどもみらい住宅支援事業事務局</t>
    <rPh sb="6" eb="12">
      <t>ジュウタクシエンジギョウ</t>
    </rPh>
    <rPh sb="12" eb="15">
      <t>ジムキョク</t>
    </rPh>
    <phoneticPr fontId="1"/>
  </si>
  <si>
    <t>0570-033-522</t>
    <phoneticPr fontId="1"/>
  </si>
  <si>
    <t>とっとり健康省エネ住宅改修支援事業補助金</t>
    <rPh sb="4" eb="6">
      <t>ケンコウ</t>
    </rPh>
    <rPh sb="6" eb="7">
      <t>ショウ</t>
    </rPh>
    <rPh sb="9" eb="11">
      <t>ジュウタク</t>
    </rPh>
    <rPh sb="11" eb="13">
      <t>カイシュウ</t>
    </rPh>
    <rPh sb="13" eb="15">
      <t>シエン</t>
    </rPh>
    <rPh sb="15" eb="17">
      <t>ジギョウ</t>
    </rPh>
    <rPh sb="17" eb="20">
      <t>ホジョキン</t>
    </rPh>
    <phoneticPr fontId="1"/>
  </si>
  <si>
    <t>鳥取県生活環境部住まいまちづくり課</t>
    <rPh sb="0" eb="3">
      <t>トットリケン</t>
    </rPh>
    <rPh sb="3" eb="5">
      <t>セイカツ</t>
    </rPh>
    <rPh sb="5" eb="8">
      <t>カンキョウブ</t>
    </rPh>
    <rPh sb="8" eb="9">
      <t>ス</t>
    </rPh>
    <rPh sb="16" eb="17">
      <t>カ</t>
    </rPh>
    <phoneticPr fontId="1"/>
  </si>
  <si>
    <t>0857-26-7398</t>
    <phoneticPr fontId="1"/>
  </si>
  <si>
    <t>行挿入、セル結合、計算式削除厳禁</t>
    <rPh sb="0" eb="1">
      <t>ギョウ</t>
    </rPh>
    <rPh sb="1" eb="3">
      <t>ソウニュウ</t>
    </rPh>
    <rPh sb="6" eb="8">
      <t>ケツゴウ</t>
    </rPh>
    <rPh sb="9" eb="12">
      <t>ケイサンシキ</t>
    </rPh>
    <rPh sb="12" eb="14">
      <t>サクジョ</t>
    </rPh>
    <rPh sb="14" eb="16">
      <t>ゲンキン</t>
    </rPh>
    <phoneticPr fontId="1"/>
  </si>
  <si>
    <t>申請</t>
    <rPh sb="0" eb="2">
      <t>シンセイ</t>
    </rPh>
    <phoneticPr fontId="1"/>
  </si>
  <si>
    <t>実績</t>
    <rPh sb="0" eb="2">
      <t>ジッセキ</t>
    </rPh>
    <phoneticPr fontId="1"/>
  </si>
  <si>
    <t>取消・取下、支払済の別（自動表示）</t>
    <rPh sb="3" eb="5">
      <t>トリサ</t>
    </rPh>
    <rPh sb="6" eb="8">
      <t>シハライ</t>
    </rPh>
    <rPh sb="8" eb="9">
      <t>ズ</t>
    </rPh>
    <rPh sb="10" eb="11">
      <t>ベツ</t>
    </rPh>
    <rPh sb="12" eb="14">
      <t>ジドウ</t>
    </rPh>
    <rPh sb="14" eb="16">
      <t>ヒョウジ</t>
    </rPh>
    <phoneticPr fontId="31"/>
  </si>
  <si>
    <t>通し番号</t>
    <rPh sb="0" eb="1">
      <t>トオ</t>
    </rPh>
    <rPh sb="2" eb="4">
      <t>バンゴウ</t>
    </rPh>
    <phoneticPr fontId="21"/>
  </si>
  <si>
    <t>区分</t>
    <rPh sb="0" eb="2">
      <t>クブン</t>
    </rPh>
    <phoneticPr fontId="21"/>
  </si>
  <si>
    <t>債務負担行為</t>
    <rPh sb="0" eb="2">
      <t>サイム</t>
    </rPh>
    <rPh sb="2" eb="4">
      <t>フタン</t>
    </rPh>
    <rPh sb="4" eb="6">
      <t>コウイ</t>
    </rPh>
    <phoneticPr fontId="31"/>
  </si>
  <si>
    <t>電子申請利用
（交付申請）</t>
    <rPh sb="0" eb="4">
      <t>デンシシンセイ</t>
    </rPh>
    <rPh sb="4" eb="6">
      <t>リヨウ</t>
    </rPh>
    <rPh sb="8" eb="12">
      <t>コウフシンセイ</t>
    </rPh>
    <phoneticPr fontId="1"/>
  </si>
  <si>
    <t>電子申請利用
（実績報告）</t>
    <rPh sb="0" eb="4">
      <t>デンシシンセイ</t>
    </rPh>
    <rPh sb="4" eb="6">
      <t>リヨウ</t>
    </rPh>
    <rPh sb="8" eb="10">
      <t>ジッセキ</t>
    </rPh>
    <rPh sb="10" eb="12">
      <t>ホウコク</t>
    </rPh>
    <phoneticPr fontId="1"/>
  </si>
  <si>
    <t>交付申請日
（登録の場合は、登録申請日）</t>
    <phoneticPr fontId="1"/>
  </si>
  <si>
    <t>申請者</t>
    <rPh sb="0" eb="3">
      <t>シンセイシャ</t>
    </rPh>
    <phoneticPr fontId="21"/>
  </si>
  <si>
    <t>建設地</t>
    <rPh sb="0" eb="3">
      <t>ケンセツチ</t>
    </rPh>
    <phoneticPr fontId="21"/>
  </si>
  <si>
    <t>新築助成（予定）</t>
    <rPh sb="0" eb="2">
      <t>シンチク</t>
    </rPh>
    <rPh sb="2" eb="4">
      <t>ジョセイ</t>
    </rPh>
    <rPh sb="5" eb="7">
      <t>ヨテイ</t>
    </rPh>
    <phoneticPr fontId="21"/>
  </si>
  <si>
    <t>交付決定額
（新築）</t>
    <rPh sb="0" eb="2">
      <t>コウフ</t>
    </rPh>
    <rPh sb="2" eb="4">
      <t>ケッテイ</t>
    </rPh>
    <rPh sb="4" eb="5">
      <t>ガク</t>
    </rPh>
    <rPh sb="7" eb="9">
      <t>シンチク</t>
    </rPh>
    <phoneticPr fontId="31"/>
  </si>
  <si>
    <t>改修助成（予定）</t>
    <rPh sb="0" eb="2">
      <t>カイシュウ</t>
    </rPh>
    <rPh sb="2" eb="4">
      <t>ジョセイ</t>
    </rPh>
    <rPh sb="5" eb="7">
      <t>ヨテイ</t>
    </rPh>
    <phoneticPr fontId="31"/>
  </si>
  <si>
    <t>予定工期</t>
    <rPh sb="0" eb="2">
      <t>ヨテイ</t>
    </rPh>
    <rPh sb="2" eb="4">
      <t>コウキ</t>
    </rPh>
    <phoneticPr fontId="21"/>
  </si>
  <si>
    <t>交付（登録）決定</t>
    <rPh sb="0" eb="2">
      <t>コウフ</t>
    </rPh>
    <rPh sb="3" eb="5">
      <t>トウロク</t>
    </rPh>
    <rPh sb="6" eb="8">
      <t>ケッテイ</t>
    </rPh>
    <phoneticPr fontId="21"/>
  </si>
  <si>
    <t>業者名</t>
    <rPh sb="0" eb="2">
      <t>ギョウシャ</t>
    </rPh>
    <rPh sb="2" eb="3">
      <t>メイ</t>
    </rPh>
    <phoneticPr fontId="21"/>
  </si>
  <si>
    <t>プレカット事業者名</t>
    <rPh sb="5" eb="8">
      <t>ジギョウシャ</t>
    </rPh>
    <rPh sb="8" eb="9">
      <t>メイ</t>
    </rPh>
    <phoneticPr fontId="1"/>
  </si>
  <si>
    <t>延面積</t>
    <rPh sb="0" eb="1">
      <t>ノ</t>
    </rPh>
    <rPh sb="1" eb="3">
      <t>メンセキ</t>
    </rPh>
    <phoneticPr fontId="31"/>
  </si>
  <si>
    <t>工事費</t>
    <rPh sb="0" eb="3">
      <t>コウジヒ</t>
    </rPh>
    <phoneticPr fontId="31"/>
  </si>
  <si>
    <t>建築確認</t>
    <rPh sb="0" eb="2">
      <t>ケンチク</t>
    </rPh>
    <rPh sb="2" eb="4">
      <t>カクニン</t>
    </rPh>
    <phoneticPr fontId="31"/>
  </si>
  <si>
    <t>変更承認</t>
    <rPh sb="0" eb="2">
      <t>ヘンコウ</t>
    </rPh>
    <rPh sb="2" eb="4">
      <t>ショウニン</t>
    </rPh>
    <phoneticPr fontId="31"/>
  </si>
  <si>
    <t>フラット35子育て支援型利用</t>
    <rPh sb="6" eb="8">
      <t>コソダ</t>
    </rPh>
    <rPh sb="9" eb="12">
      <t>シエンガタ</t>
    </rPh>
    <rPh sb="12" eb="14">
      <t>リヨウ</t>
    </rPh>
    <phoneticPr fontId="31"/>
  </si>
  <si>
    <t>補助金併用</t>
    <rPh sb="0" eb="3">
      <t>ホジョキン</t>
    </rPh>
    <rPh sb="3" eb="5">
      <t>ヘイヨウ</t>
    </rPh>
    <phoneticPr fontId="31"/>
  </si>
  <si>
    <t>省エネルギー性能</t>
    <rPh sb="0" eb="1">
      <t>ショウ</t>
    </rPh>
    <rPh sb="6" eb="8">
      <t>セイノウ</t>
    </rPh>
    <phoneticPr fontId="1"/>
  </si>
  <si>
    <t>新築助成（実績）</t>
    <rPh sb="0" eb="2">
      <t>シンチク</t>
    </rPh>
    <rPh sb="2" eb="4">
      <t>ジョセイ</t>
    </rPh>
    <rPh sb="5" eb="7">
      <t>ジッセキ</t>
    </rPh>
    <phoneticPr fontId="21"/>
  </si>
  <si>
    <t>改修助成（実績）</t>
    <rPh sb="0" eb="2">
      <t>カイシュウ</t>
    </rPh>
    <rPh sb="2" eb="4">
      <t>ジョセイ</t>
    </rPh>
    <rPh sb="5" eb="7">
      <t>ジッセキ</t>
    </rPh>
    <phoneticPr fontId="31"/>
  </si>
  <si>
    <t>額の確定</t>
    <rPh sb="0" eb="1">
      <t>ガク</t>
    </rPh>
    <rPh sb="2" eb="4">
      <t>カクテイ</t>
    </rPh>
    <phoneticPr fontId="31"/>
  </si>
  <si>
    <t>氏名</t>
    <rPh sb="0" eb="2">
      <t>シメイ</t>
    </rPh>
    <phoneticPr fontId="21"/>
  </si>
  <si>
    <t>郵便番号</t>
    <rPh sb="0" eb="4">
      <t>ユウビンバンゴウ</t>
    </rPh>
    <phoneticPr fontId="31"/>
  </si>
  <si>
    <t>住所</t>
    <rPh sb="0" eb="2">
      <t>ジュウショ</t>
    </rPh>
    <phoneticPr fontId="31"/>
  </si>
  <si>
    <t>電話</t>
    <rPh sb="0" eb="2">
      <t>デンワ</t>
    </rPh>
    <phoneticPr fontId="21"/>
  </si>
  <si>
    <t>県産材定額</t>
    <rPh sb="0" eb="1">
      <t>ケン</t>
    </rPh>
    <rPh sb="1" eb="3">
      <t>サンザイ</t>
    </rPh>
    <rPh sb="3" eb="5">
      <t>テイガク</t>
    </rPh>
    <phoneticPr fontId="1"/>
  </si>
  <si>
    <t>県産規格材活用</t>
    <rPh sb="0" eb="2">
      <t>ケンサン</t>
    </rPh>
    <rPh sb="2" eb="4">
      <t>キカク</t>
    </rPh>
    <rPh sb="4" eb="5">
      <t>ザイ</t>
    </rPh>
    <rPh sb="5" eb="7">
      <t>カツヨウ</t>
    </rPh>
    <phoneticPr fontId="21"/>
  </si>
  <si>
    <t>機械等級区分構造材</t>
    <rPh sb="0" eb="2">
      <t>キカイ</t>
    </rPh>
    <rPh sb="2" eb="4">
      <t>トウキュウ</t>
    </rPh>
    <rPh sb="4" eb="6">
      <t>クブン</t>
    </rPh>
    <rPh sb="6" eb="9">
      <t>コウゾウザイ</t>
    </rPh>
    <phoneticPr fontId="21"/>
  </si>
  <si>
    <t>県産ＣＬＴ材</t>
    <rPh sb="0" eb="2">
      <t>ケンサン</t>
    </rPh>
    <rPh sb="5" eb="6">
      <t>ザイ</t>
    </rPh>
    <phoneticPr fontId="21"/>
  </si>
  <si>
    <t>県産内外装材</t>
    <rPh sb="0" eb="2">
      <t>ケンサン</t>
    </rPh>
    <rPh sb="2" eb="5">
      <t>ナイガイソウ</t>
    </rPh>
    <rPh sb="5" eb="6">
      <t>ザイ</t>
    </rPh>
    <phoneticPr fontId="21"/>
  </si>
  <si>
    <t>子育て世帯等</t>
    <rPh sb="0" eb="2">
      <t>コソダ</t>
    </rPh>
    <rPh sb="3" eb="5">
      <t>セタイ</t>
    </rPh>
    <rPh sb="5" eb="6">
      <t>トウ</t>
    </rPh>
    <phoneticPr fontId="31"/>
  </si>
  <si>
    <t>三世代同居等</t>
    <rPh sb="0" eb="1">
      <t>サン</t>
    </rPh>
    <rPh sb="1" eb="3">
      <t>セダイ</t>
    </rPh>
    <rPh sb="3" eb="5">
      <t>ドウキョ</t>
    </rPh>
    <rPh sb="5" eb="6">
      <t>トウ</t>
    </rPh>
    <phoneticPr fontId="31"/>
  </si>
  <si>
    <t>伝統技能活用（４ポイント以上該当）</t>
    <rPh sb="0" eb="2">
      <t>デントウ</t>
    </rPh>
    <rPh sb="2" eb="4">
      <t>ギノウ</t>
    </rPh>
    <rPh sb="4" eb="6">
      <t>カツヨウ</t>
    </rPh>
    <rPh sb="12" eb="14">
      <t>イジョウ</t>
    </rPh>
    <rPh sb="14" eb="16">
      <t>ガイトウ</t>
    </rPh>
    <phoneticPr fontId="21"/>
  </si>
  <si>
    <t>県産材</t>
    <rPh sb="0" eb="3">
      <t>ケンサンザイ</t>
    </rPh>
    <phoneticPr fontId="31"/>
  </si>
  <si>
    <t>伝統</t>
    <rPh sb="0" eb="2">
      <t>デントウ</t>
    </rPh>
    <phoneticPr fontId="1"/>
  </si>
  <si>
    <t>交付決定額
（改修）</t>
    <rPh sb="0" eb="2">
      <t>コウフ</t>
    </rPh>
    <rPh sb="2" eb="4">
      <t>ケッテイ</t>
    </rPh>
    <rPh sb="4" eb="5">
      <t>ガク</t>
    </rPh>
    <rPh sb="7" eb="9">
      <t>カイシュウ</t>
    </rPh>
    <phoneticPr fontId="31"/>
  </si>
  <si>
    <t>県産規格材</t>
    <rPh sb="0" eb="2">
      <t>ケンサン</t>
    </rPh>
    <rPh sb="2" eb="4">
      <t>キカク</t>
    </rPh>
    <rPh sb="4" eb="5">
      <t>ザイ</t>
    </rPh>
    <phoneticPr fontId="21"/>
  </si>
  <si>
    <t>確定額
(千円)</t>
    <rPh sb="0" eb="2">
      <t>カクテイ</t>
    </rPh>
    <rPh sb="2" eb="3">
      <t>ガク</t>
    </rPh>
    <rPh sb="3" eb="4">
      <t>キンガク</t>
    </rPh>
    <rPh sb="5" eb="7">
      <t>センエン</t>
    </rPh>
    <phoneticPr fontId="31"/>
  </si>
  <si>
    <t>実績減</t>
    <rPh sb="0" eb="2">
      <t>ジッセキ</t>
    </rPh>
    <rPh sb="2" eb="3">
      <t>ゲン</t>
    </rPh>
    <phoneticPr fontId="1"/>
  </si>
  <si>
    <t>交付確定額
（改修）</t>
    <rPh sb="0" eb="2">
      <t>コウフ</t>
    </rPh>
    <rPh sb="2" eb="4">
      <t>カクテイ</t>
    </rPh>
    <rPh sb="4" eb="5">
      <t>ガク</t>
    </rPh>
    <rPh sb="7" eb="9">
      <t>カイシュウ</t>
    </rPh>
    <phoneticPr fontId="31"/>
  </si>
  <si>
    <t>自動表示</t>
    <rPh sb="0" eb="2">
      <t>ジドウ</t>
    </rPh>
    <rPh sb="2" eb="4">
      <t>ヒョウジ</t>
    </rPh>
    <phoneticPr fontId="1"/>
  </si>
  <si>
    <t>自動表示</t>
    <rPh sb="0" eb="2">
      <t>ジドウ</t>
    </rPh>
    <rPh sb="2" eb="4">
      <t>ヒョウジ</t>
    </rPh>
    <phoneticPr fontId="21"/>
  </si>
  <si>
    <t>支払済取下取消判定</t>
    <rPh sb="0" eb="2">
      <t>シハライ</t>
    </rPh>
    <rPh sb="2" eb="3">
      <t>ズ</t>
    </rPh>
    <rPh sb="3" eb="4">
      <t>ト</t>
    </rPh>
    <rPh sb="4" eb="5">
      <t>サ</t>
    </rPh>
    <rPh sb="5" eb="6">
      <t>ト</t>
    </rPh>
    <rPh sb="6" eb="7">
      <t>ケ</t>
    </rPh>
    <rPh sb="7" eb="9">
      <t>ハンテイ</t>
    </rPh>
    <phoneticPr fontId="1"/>
  </si>
  <si>
    <t>建売住宅の申請判定</t>
    <rPh sb="0" eb="2">
      <t>タテウリ</t>
    </rPh>
    <rPh sb="2" eb="4">
      <t>ジュウタク</t>
    </rPh>
    <rPh sb="5" eb="7">
      <t>シンセイ</t>
    </rPh>
    <rPh sb="7" eb="9">
      <t>ハンテイ</t>
    </rPh>
    <phoneticPr fontId="1"/>
  </si>
  <si>
    <t>選択式</t>
    <rPh sb="0" eb="2">
      <t>センタク</t>
    </rPh>
    <rPh sb="2" eb="3">
      <t>シキ</t>
    </rPh>
    <phoneticPr fontId="1"/>
  </si>
  <si>
    <r>
      <t>市町村名</t>
    </r>
    <r>
      <rPr>
        <sz val="10"/>
        <color rgb="FFFF0000"/>
        <rFont val="ＭＳ Ｐゴシック"/>
        <family val="3"/>
        <charset val="128"/>
        <scheme val="minor"/>
      </rPr>
      <t>（選択式）</t>
    </r>
    <rPh sb="0" eb="4">
      <t>シチョウソンメイ</t>
    </rPh>
    <rPh sb="5" eb="7">
      <t>センタク</t>
    </rPh>
    <rPh sb="7" eb="8">
      <t>シキ</t>
    </rPh>
    <phoneticPr fontId="31"/>
  </si>
  <si>
    <t>大字名、丁目、地番等</t>
    <rPh sb="4" eb="6">
      <t>チョウメ</t>
    </rPh>
    <rPh sb="7" eb="9">
      <t>チバン</t>
    </rPh>
    <rPh sb="9" eb="10">
      <t>トウ</t>
    </rPh>
    <phoneticPr fontId="31"/>
  </si>
  <si>
    <r>
      <t xml:space="preserve">実木材
使用量
</t>
    </r>
    <r>
      <rPr>
        <sz val="10"/>
        <color indexed="10"/>
        <rFont val="ＭＳ Ｐゴシック"/>
        <family val="3"/>
        <charset val="128"/>
      </rPr>
      <t>(m3)</t>
    </r>
    <rPh sb="0" eb="1">
      <t>ジツ</t>
    </rPh>
    <rPh sb="1" eb="3">
      <t>モクザイ</t>
    </rPh>
    <rPh sb="4" eb="7">
      <t>シヨウリョウ</t>
    </rPh>
    <phoneticPr fontId="31"/>
  </si>
  <si>
    <r>
      <rPr>
        <b/>
        <sz val="10"/>
        <color indexed="10"/>
        <rFont val="ＭＳ Ｐゴシック"/>
        <family val="3"/>
        <charset val="128"/>
      </rPr>
      <t>実</t>
    </r>
    <r>
      <rPr>
        <sz val="10"/>
        <color indexed="10"/>
        <rFont val="ＭＳ Ｐゴシック"/>
        <family val="3"/>
        <charset val="128"/>
      </rPr>
      <t xml:space="preserve">
使用量
(m3)</t>
    </r>
    <rPh sb="0" eb="1">
      <t>ジツ</t>
    </rPh>
    <rPh sb="2" eb="5">
      <t>シヨウリョウ</t>
    </rPh>
    <phoneticPr fontId="31"/>
  </si>
  <si>
    <t>補助金額
(千円)</t>
    <rPh sb="0" eb="3">
      <t>ホジョキン</t>
    </rPh>
    <rPh sb="3" eb="4">
      <t>ガク</t>
    </rPh>
    <rPh sb="6" eb="8">
      <t>センエン</t>
    </rPh>
    <phoneticPr fontId="31"/>
  </si>
  <si>
    <t xml:space="preserve">有
</t>
    <rPh sb="0" eb="1">
      <t>ア</t>
    </rPh>
    <phoneticPr fontId="31"/>
  </si>
  <si>
    <t>CLT使用量
(m3)</t>
    <rPh sb="3" eb="6">
      <t>シヨウリョウ</t>
    </rPh>
    <phoneticPr fontId="31"/>
  </si>
  <si>
    <t>算出値
(千円)</t>
    <rPh sb="0" eb="2">
      <t>サンシュツ</t>
    </rPh>
    <rPh sb="2" eb="3">
      <t>チ</t>
    </rPh>
    <rPh sb="5" eb="7">
      <t>センエン</t>
    </rPh>
    <phoneticPr fontId="31"/>
  </si>
  <si>
    <t>補助金額</t>
    <rPh sb="0" eb="3">
      <t>ホジョキン</t>
    </rPh>
    <rPh sb="3" eb="4">
      <t>ガク</t>
    </rPh>
    <phoneticPr fontId="1"/>
  </si>
  <si>
    <t>内外装材使用量
(m3)</t>
    <rPh sb="0" eb="3">
      <t>ナイガイソウ</t>
    </rPh>
    <rPh sb="3" eb="4">
      <t>ザイ</t>
    </rPh>
    <rPh sb="4" eb="7">
      <t>シヨウリョウ</t>
    </rPh>
    <phoneticPr fontId="31"/>
  </si>
  <si>
    <t>18歳以下</t>
    <rPh sb="2" eb="3">
      <t>サイ</t>
    </rPh>
    <rPh sb="3" eb="5">
      <t>イカ</t>
    </rPh>
    <phoneticPr fontId="31"/>
  </si>
  <si>
    <t>18歳以下なしかつ婚姻10年</t>
    <rPh sb="2" eb="3">
      <t>サイ</t>
    </rPh>
    <rPh sb="3" eb="5">
      <t>イカ</t>
    </rPh>
    <rPh sb="9" eb="11">
      <t>コンイン</t>
    </rPh>
    <rPh sb="13" eb="14">
      <t>ネン</t>
    </rPh>
    <phoneticPr fontId="31"/>
  </si>
  <si>
    <t xml:space="preserve">有
</t>
    <rPh sb="0" eb="1">
      <t>ア</t>
    </rPh>
    <phoneticPr fontId="31"/>
  </si>
  <si>
    <t>近居（同居除く）</t>
    <rPh sb="0" eb="2">
      <t>キンキョ</t>
    </rPh>
    <rPh sb="3" eb="5">
      <t>ドウキョ</t>
    </rPh>
    <rPh sb="5" eb="6">
      <t>ノゾ</t>
    </rPh>
    <phoneticPr fontId="31"/>
  </si>
  <si>
    <t>同居</t>
    <rPh sb="0" eb="2">
      <t>ドウキョ</t>
    </rPh>
    <phoneticPr fontId="31"/>
  </si>
  <si>
    <t>手刻み</t>
    <rPh sb="0" eb="1">
      <t>テ</t>
    </rPh>
    <rPh sb="1" eb="2">
      <t>キザ</t>
    </rPh>
    <phoneticPr fontId="31"/>
  </si>
  <si>
    <t>下見板張り</t>
    <rPh sb="0" eb="2">
      <t>シタミ</t>
    </rPh>
    <rPh sb="2" eb="3">
      <t>イタ</t>
    </rPh>
    <rPh sb="3" eb="4">
      <t>バ</t>
    </rPh>
    <phoneticPr fontId="31"/>
  </si>
  <si>
    <t>左官仕上げ</t>
    <rPh sb="0" eb="2">
      <t>サカン</t>
    </rPh>
    <rPh sb="2" eb="4">
      <t>シア</t>
    </rPh>
    <phoneticPr fontId="31"/>
  </si>
  <si>
    <t>国産瓦</t>
    <rPh sb="0" eb="2">
      <t>コクサン</t>
    </rPh>
    <rPh sb="2" eb="3">
      <t>ガワラ</t>
    </rPh>
    <phoneticPr fontId="31"/>
  </si>
  <si>
    <t>木製建具</t>
    <rPh sb="0" eb="2">
      <t>モクセイ</t>
    </rPh>
    <rPh sb="2" eb="4">
      <t>タテグ</t>
    </rPh>
    <phoneticPr fontId="31"/>
  </si>
  <si>
    <t>畳</t>
    <rPh sb="0" eb="1">
      <t>タタミ</t>
    </rPh>
    <phoneticPr fontId="31"/>
  </si>
  <si>
    <t>構造材現し</t>
    <rPh sb="0" eb="2">
      <t>コウゾウ</t>
    </rPh>
    <rPh sb="2" eb="3">
      <t>ザイ</t>
    </rPh>
    <rPh sb="3" eb="4">
      <t>アラワ</t>
    </rPh>
    <phoneticPr fontId="31"/>
  </si>
  <si>
    <t>ポイント数</t>
    <rPh sb="4" eb="5">
      <t>スウ</t>
    </rPh>
    <phoneticPr fontId="31"/>
  </si>
  <si>
    <r>
      <t>瓦の種類</t>
    </r>
    <r>
      <rPr>
        <sz val="10"/>
        <color rgb="FFFF0000"/>
        <rFont val="ＭＳ Ｐゴシック"/>
        <family val="3"/>
        <charset val="128"/>
        <scheme val="minor"/>
      </rPr>
      <t>（選択式）</t>
    </r>
    <rPh sb="0" eb="1">
      <t>カワラ</t>
    </rPh>
    <rPh sb="2" eb="4">
      <t>シュルイ</t>
    </rPh>
    <rPh sb="5" eb="8">
      <t>センタクシキ</t>
    </rPh>
    <phoneticPr fontId="1"/>
  </si>
  <si>
    <r>
      <t>左官材料の種類</t>
    </r>
    <r>
      <rPr>
        <sz val="10"/>
        <color rgb="FFFF0000"/>
        <rFont val="ＭＳ Ｐゴシック"/>
        <family val="3"/>
        <charset val="128"/>
        <scheme val="minor"/>
      </rPr>
      <t>（選択式）</t>
    </r>
    <rPh sb="0" eb="2">
      <t>サカン</t>
    </rPh>
    <rPh sb="2" eb="4">
      <t>ザイリョウ</t>
    </rPh>
    <rPh sb="5" eb="7">
      <t>シュルイ</t>
    </rPh>
    <rPh sb="8" eb="11">
      <t>センタクシキ</t>
    </rPh>
    <phoneticPr fontId="1"/>
  </si>
  <si>
    <t>実木材
使用量</t>
  </si>
  <si>
    <t>構造材使用量m3</t>
    <rPh sb="0" eb="3">
      <t>コウゾウザイ</t>
    </rPh>
    <rPh sb="3" eb="5">
      <t>シヨウ</t>
    </rPh>
    <rPh sb="5" eb="6">
      <t>リョウ</t>
    </rPh>
    <phoneticPr fontId="31"/>
  </si>
  <si>
    <t>内外装使用面積m2</t>
    <rPh sb="0" eb="3">
      <t>ナイガイソウ</t>
    </rPh>
    <rPh sb="3" eb="5">
      <t>シヨウ</t>
    </rPh>
    <rPh sb="5" eb="7">
      <t>メンセキ</t>
    </rPh>
    <phoneticPr fontId="31"/>
  </si>
  <si>
    <t>補助金額
（千円）</t>
    <rPh sb="0" eb="2">
      <t>ホジョ</t>
    </rPh>
    <rPh sb="2" eb="4">
      <t>キンガク</t>
    </rPh>
    <rPh sb="6" eb="8">
      <t>センエン</t>
    </rPh>
    <phoneticPr fontId="31"/>
  </si>
  <si>
    <r>
      <t>18歳以下</t>
    </r>
    <r>
      <rPr>
        <sz val="10"/>
        <color rgb="FFFF0000"/>
        <rFont val="ＭＳ Ｐゴシック"/>
        <family val="3"/>
        <charset val="128"/>
        <scheme val="minor"/>
      </rPr>
      <t>（選択式）</t>
    </r>
    <rPh sb="2" eb="3">
      <t>サイ</t>
    </rPh>
    <rPh sb="3" eb="5">
      <t>イカ</t>
    </rPh>
    <phoneticPr fontId="31"/>
  </si>
  <si>
    <r>
      <t>18歳以下なしかつ婚姻10年</t>
    </r>
    <r>
      <rPr>
        <sz val="8"/>
        <color rgb="FFFF0000"/>
        <rFont val="ＭＳ Ｐゴシック"/>
        <family val="3"/>
        <charset val="128"/>
        <scheme val="minor"/>
      </rPr>
      <t>（選択式）</t>
    </r>
    <rPh sb="2" eb="3">
      <t>サイ</t>
    </rPh>
    <rPh sb="3" eb="5">
      <t>イカ</t>
    </rPh>
    <rPh sb="9" eb="11">
      <t>コンイン</t>
    </rPh>
    <rPh sb="13" eb="14">
      <t>ネン</t>
    </rPh>
    <phoneticPr fontId="31"/>
  </si>
  <si>
    <r>
      <t>近居（子育て世帯）</t>
    </r>
    <r>
      <rPr>
        <sz val="10"/>
        <color rgb="FFFF0000"/>
        <rFont val="ＭＳ Ｐゴシック"/>
        <family val="3"/>
        <charset val="128"/>
        <scheme val="minor"/>
      </rPr>
      <t>（選択式）</t>
    </r>
    <rPh sb="0" eb="2">
      <t>キンキョ</t>
    </rPh>
    <phoneticPr fontId="31"/>
  </si>
  <si>
    <r>
      <t>同居（子育て世帯）</t>
    </r>
    <r>
      <rPr>
        <sz val="10"/>
        <color rgb="FFFF0000"/>
        <rFont val="ＭＳ Ｐゴシック"/>
        <family val="3"/>
        <charset val="128"/>
        <scheme val="minor"/>
      </rPr>
      <t>（選択式）</t>
    </r>
    <rPh sb="0" eb="2">
      <t>ドウキョ</t>
    </rPh>
    <rPh sb="3" eb="5">
      <t>コソダ</t>
    </rPh>
    <rPh sb="6" eb="8">
      <t>セタイ</t>
    </rPh>
    <phoneticPr fontId="31"/>
  </si>
  <si>
    <r>
      <t>同居（親世帯）</t>
    </r>
    <r>
      <rPr>
        <sz val="10"/>
        <color rgb="FFFF0000"/>
        <rFont val="ＭＳ Ｐゴシック"/>
        <family val="3"/>
        <charset val="128"/>
        <scheme val="minor"/>
      </rPr>
      <t>（選択式）</t>
    </r>
    <rPh sb="0" eb="2">
      <t>ドウキョ</t>
    </rPh>
    <rPh sb="3" eb="4">
      <t>オヤ</t>
    </rPh>
    <rPh sb="4" eb="6">
      <t>セタイ</t>
    </rPh>
    <phoneticPr fontId="31"/>
  </si>
  <si>
    <t>大工
面積</t>
    <rPh sb="0" eb="2">
      <t>ダイク</t>
    </rPh>
    <rPh sb="3" eb="5">
      <t>メンセキ</t>
    </rPh>
    <phoneticPr fontId="31"/>
  </si>
  <si>
    <t>左官
面積</t>
    <rPh sb="0" eb="2">
      <t>サカン</t>
    </rPh>
    <rPh sb="3" eb="5">
      <t>メンセキ</t>
    </rPh>
    <phoneticPr fontId="31"/>
  </si>
  <si>
    <t>建具
面積</t>
    <rPh sb="0" eb="2">
      <t>タテグ</t>
    </rPh>
    <rPh sb="3" eb="5">
      <t>メンセキ</t>
    </rPh>
    <phoneticPr fontId="31"/>
  </si>
  <si>
    <t>補助金額計
（千円）</t>
    <rPh sb="0" eb="2">
      <t>ホジョ</t>
    </rPh>
    <rPh sb="2" eb="4">
      <t>キンガク</t>
    </rPh>
    <rPh sb="4" eb="5">
      <t>ケイ</t>
    </rPh>
    <rPh sb="7" eb="9">
      <t>センエン</t>
    </rPh>
    <phoneticPr fontId="31"/>
  </si>
  <si>
    <t>(千円）</t>
    <rPh sb="1" eb="3">
      <t>センエン</t>
    </rPh>
    <phoneticPr fontId="21"/>
  </si>
  <si>
    <t>着工</t>
    <rPh sb="0" eb="2">
      <t>チャッコウ</t>
    </rPh>
    <phoneticPr fontId="21"/>
  </si>
  <si>
    <t>完成</t>
    <rPh sb="0" eb="2">
      <t>カンセイ</t>
    </rPh>
    <phoneticPr fontId="21"/>
  </si>
  <si>
    <t>日付</t>
    <rPh sb="0" eb="2">
      <t>ヒヅケ</t>
    </rPh>
    <phoneticPr fontId="21"/>
  </si>
  <si>
    <t>金額</t>
    <rPh sb="0" eb="2">
      <t>キンガク</t>
    </rPh>
    <phoneticPr fontId="21"/>
  </si>
  <si>
    <t>社名等</t>
    <rPh sb="0" eb="2">
      <t>シャメイ</t>
    </rPh>
    <rPh sb="2" eb="3">
      <t>トウ</t>
    </rPh>
    <phoneticPr fontId="31"/>
  </si>
  <si>
    <t>所在地</t>
    <rPh sb="0" eb="3">
      <t>ショザイチ</t>
    </rPh>
    <phoneticPr fontId="31"/>
  </si>
  <si>
    <r>
      <t>事業者名称</t>
    </r>
    <r>
      <rPr>
        <sz val="10"/>
        <color rgb="FFFF0000"/>
        <rFont val="ＭＳ Ｐゴシック"/>
        <family val="3"/>
        <charset val="128"/>
        <scheme val="minor"/>
      </rPr>
      <t>（選択式）</t>
    </r>
    <rPh sb="0" eb="3">
      <t>ジギョウシャ</t>
    </rPh>
    <rPh sb="3" eb="5">
      <t>メイショウ</t>
    </rPh>
    <phoneticPr fontId="1"/>
  </si>
  <si>
    <t>（m2）</t>
  </si>
  <si>
    <t>（万円）</t>
    <rPh sb="1" eb="2">
      <t>マン</t>
    </rPh>
    <rPh sb="2" eb="3">
      <t>エン</t>
    </rPh>
    <phoneticPr fontId="31"/>
  </si>
  <si>
    <r>
      <t xml:space="preserve">要・不要
</t>
    </r>
    <r>
      <rPr>
        <sz val="10"/>
        <color rgb="FFFF0000"/>
        <rFont val="ＭＳ Ｐゴシック"/>
        <family val="3"/>
        <charset val="128"/>
        <scheme val="minor"/>
      </rPr>
      <t>（選択式）</t>
    </r>
    <rPh sb="0" eb="1">
      <t>ヨウ</t>
    </rPh>
    <rPh sb="2" eb="4">
      <t>フヨウ</t>
    </rPh>
    <phoneticPr fontId="31"/>
  </si>
  <si>
    <t>承認日</t>
    <rPh sb="0" eb="2">
      <t>ショウニン</t>
    </rPh>
    <phoneticPr fontId="31"/>
  </si>
  <si>
    <t>変更内容</t>
    <rPh sb="0" eb="2">
      <t>ヘンコウ</t>
    </rPh>
    <rPh sb="2" eb="4">
      <t>ナイヨウ</t>
    </rPh>
    <phoneticPr fontId="1"/>
  </si>
  <si>
    <r>
      <t>申請区分</t>
    </r>
    <r>
      <rPr>
        <sz val="10"/>
        <color rgb="FFFF0000"/>
        <rFont val="ＭＳ Ｐゴシック"/>
        <family val="3"/>
        <charset val="128"/>
        <scheme val="minor"/>
      </rPr>
      <t>（選択式）</t>
    </r>
    <phoneticPr fontId="1"/>
  </si>
  <si>
    <t>申請受付日</t>
    <phoneticPr fontId="1"/>
  </si>
  <si>
    <t>証明書発行日</t>
    <phoneticPr fontId="1"/>
  </si>
  <si>
    <t>証明書文書番号</t>
    <phoneticPr fontId="1"/>
  </si>
  <si>
    <t>住まいる交付決定通知の文書番号</t>
    <phoneticPr fontId="1"/>
  </si>
  <si>
    <t>補助金名</t>
    <phoneticPr fontId="1"/>
  </si>
  <si>
    <t>交付主体</t>
    <phoneticPr fontId="1"/>
  </si>
  <si>
    <r>
      <t>外皮平均熱貫流率(U</t>
    </r>
    <r>
      <rPr>
        <vertAlign val="subscript"/>
        <sz val="10"/>
        <rFont val="ＭＳ Ｐゴシック"/>
        <family val="3"/>
        <charset val="128"/>
        <scheme val="minor"/>
      </rPr>
      <t>A</t>
    </r>
    <r>
      <rPr>
        <sz val="10"/>
        <rFont val="ＭＳ Ｐゴシック"/>
        <family val="3"/>
        <charset val="128"/>
        <scheme val="minor"/>
      </rPr>
      <t>値)</t>
    </r>
    <rPh sb="0" eb="4">
      <t>ガイヒヘイキン</t>
    </rPh>
    <rPh sb="4" eb="8">
      <t>ネツカンリュウリツ</t>
    </rPh>
    <phoneticPr fontId="1"/>
  </si>
  <si>
    <r>
      <t>冷房期の平均日射熱取得率(η</t>
    </r>
    <r>
      <rPr>
        <vertAlign val="subscript"/>
        <sz val="10"/>
        <rFont val="ＭＳ Ｐゴシック"/>
        <family val="3"/>
        <charset val="128"/>
        <scheme val="minor"/>
      </rPr>
      <t>AC</t>
    </r>
    <r>
      <rPr>
        <sz val="10"/>
        <rFont val="ＭＳ Ｐゴシック"/>
        <family val="3"/>
        <charset val="128"/>
        <scheme val="minor"/>
      </rPr>
      <t>値)</t>
    </r>
    <phoneticPr fontId="1"/>
  </si>
  <si>
    <t>一次エネルギー消費量(BEI)</t>
    <phoneticPr fontId="1"/>
  </si>
  <si>
    <t>県産材を最も多く供給した製材所名</t>
    <rPh sb="0" eb="3">
      <t>ケンサンザイ</t>
    </rPh>
    <rPh sb="4" eb="5">
      <t>モット</t>
    </rPh>
    <rPh sb="6" eb="7">
      <t>オオ</t>
    </rPh>
    <rPh sb="8" eb="10">
      <t>キョウキュウ</t>
    </rPh>
    <rPh sb="12" eb="15">
      <t>セイザイショ</t>
    </rPh>
    <rPh sb="15" eb="16">
      <t>メイ</t>
    </rPh>
    <phoneticPr fontId="1"/>
  </si>
  <si>
    <t>実績補助金額
(千円)</t>
    <rPh sb="0" eb="2">
      <t>ジッセキ</t>
    </rPh>
    <rPh sb="2" eb="5">
      <t>ホジョキン</t>
    </rPh>
    <rPh sb="5" eb="6">
      <t>ガク</t>
    </rPh>
    <rPh sb="8" eb="10">
      <t>センエン</t>
    </rPh>
    <phoneticPr fontId="31"/>
  </si>
  <si>
    <t>確定額(交決と実績の小さい方）</t>
    <rPh sb="0" eb="2">
      <t>カクテイ</t>
    </rPh>
    <rPh sb="2" eb="3">
      <t>ガク</t>
    </rPh>
    <rPh sb="4" eb="5">
      <t>コウ</t>
    </rPh>
    <rPh sb="5" eb="6">
      <t>ケツ</t>
    </rPh>
    <rPh sb="7" eb="9">
      <t>ジッセキ</t>
    </rPh>
    <rPh sb="10" eb="11">
      <t>チイ</t>
    </rPh>
    <rPh sb="13" eb="14">
      <t>ホウ</t>
    </rPh>
    <phoneticPr fontId="1"/>
  </si>
  <si>
    <t>県産規格材を最も多く供給した製材所名</t>
    <rPh sb="0" eb="1">
      <t>アガタ</t>
    </rPh>
    <rPh sb="1" eb="2">
      <t>サン</t>
    </rPh>
    <rPh sb="2" eb="4">
      <t>キカク</t>
    </rPh>
    <rPh sb="4" eb="5">
      <t>ザイ</t>
    </rPh>
    <rPh sb="6" eb="7">
      <t>モット</t>
    </rPh>
    <rPh sb="8" eb="9">
      <t>オオ</t>
    </rPh>
    <rPh sb="10" eb="12">
      <t>キョウキュウ</t>
    </rPh>
    <rPh sb="14" eb="17">
      <t>セイザイショ</t>
    </rPh>
    <rPh sb="17" eb="18">
      <t>メイ</t>
    </rPh>
    <phoneticPr fontId="1"/>
  </si>
  <si>
    <t>機械等級区分を行った事業者名</t>
    <rPh sb="0" eb="2">
      <t>キカイ</t>
    </rPh>
    <rPh sb="2" eb="4">
      <t>トウキュウ</t>
    </rPh>
    <rPh sb="4" eb="6">
      <t>クブン</t>
    </rPh>
    <rPh sb="7" eb="8">
      <t>オコナ</t>
    </rPh>
    <rPh sb="10" eb="13">
      <t>ジギョウシャ</t>
    </rPh>
    <rPh sb="13" eb="14">
      <t>メイ</t>
    </rPh>
    <phoneticPr fontId="1"/>
  </si>
  <si>
    <t>内外装材を最も多く供給した製材所名</t>
    <rPh sb="0" eb="1">
      <t>ナイ</t>
    </rPh>
    <rPh sb="1" eb="4">
      <t>ガイソウザイ</t>
    </rPh>
    <rPh sb="5" eb="6">
      <t>モット</t>
    </rPh>
    <rPh sb="7" eb="8">
      <t>オオ</t>
    </rPh>
    <rPh sb="9" eb="11">
      <t>キョウキュウ</t>
    </rPh>
    <rPh sb="13" eb="16">
      <t>セイザイショ</t>
    </rPh>
    <rPh sb="16" eb="17">
      <t>メイ</t>
    </rPh>
    <phoneticPr fontId="1"/>
  </si>
  <si>
    <t>木製建具事業者名</t>
    <rPh sb="0" eb="2">
      <t>モクセイ</t>
    </rPh>
    <rPh sb="2" eb="4">
      <t>タテグ</t>
    </rPh>
    <rPh sb="4" eb="7">
      <t>ジギョウシャ</t>
    </rPh>
    <rPh sb="7" eb="8">
      <t>メイ</t>
    </rPh>
    <phoneticPr fontId="1"/>
  </si>
  <si>
    <t>畳事業者名</t>
    <rPh sb="0" eb="1">
      <t>タタミ</t>
    </rPh>
    <rPh sb="1" eb="4">
      <t>ジギョウシャ</t>
    </rPh>
    <rPh sb="4" eb="5">
      <t>メイ</t>
    </rPh>
    <phoneticPr fontId="1"/>
  </si>
  <si>
    <t>構造材を最も多く供給した製材所名</t>
    <rPh sb="0" eb="3">
      <t>コウゾウザイ</t>
    </rPh>
    <rPh sb="4" eb="5">
      <t>モット</t>
    </rPh>
    <rPh sb="6" eb="7">
      <t>オオ</t>
    </rPh>
    <rPh sb="8" eb="10">
      <t>キョウキュウ</t>
    </rPh>
    <rPh sb="12" eb="15">
      <t>セイザイショ</t>
    </rPh>
    <rPh sb="15" eb="16">
      <t>メイ</t>
    </rPh>
    <phoneticPr fontId="1"/>
  </si>
  <si>
    <t>18歳未満</t>
    <rPh sb="2" eb="3">
      <t>サイ</t>
    </rPh>
    <rPh sb="3" eb="5">
      <t>ミマン</t>
    </rPh>
    <phoneticPr fontId="31"/>
  </si>
  <si>
    <t>婚姻後10年以内</t>
    <rPh sb="0" eb="3">
      <t>コンインゴ</t>
    </rPh>
    <rPh sb="5" eb="6">
      <t>ネン</t>
    </rPh>
    <rPh sb="6" eb="8">
      <t>イナイ</t>
    </rPh>
    <phoneticPr fontId="31"/>
  </si>
  <si>
    <t>有
有なら1を選択</t>
    <rPh sb="0" eb="1">
      <t>ア</t>
    </rPh>
    <rPh sb="3" eb="4">
      <t>ア</t>
    </rPh>
    <rPh sb="8" eb="10">
      <t>センタク</t>
    </rPh>
    <phoneticPr fontId="31"/>
  </si>
  <si>
    <t>近居（子育て世帯）</t>
    <rPh sb="0" eb="2">
      <t>キンキョ</t>
    </rPh>
    <phoneticPr fontId="31"/>
  </si>
  <si>
    <t>同居（子育て世帯）</t>
    <rPh sb="0" eb="2">
      <t>ドウキョ</t>
    </rPh>
    <rPh sb="3" eb="5">
      <t>コソダ</t>
    </rPh>
    <rPh sb="6" eb="8">
      <t>セタイ</t>
    </rPh>
    <phoneticPr fontId="31"/>
  </si>
  <si>
    <t>同居（親世帯）</t>
    <rPh sb="0" eb="2">
      <t>ドウキョ</t>
    </rPh>
    <rPh sb="3" eb="4">
      <t>オヤ</t>
    </rPh>
    <rPh sb="4" eb="6">
      <t>セタイ</t>
    </rPh>
    <phoneticPr fontId="31"/>
  </si>
  <si>
    <t>(区分）
実績・取消・取下</t>
    <rPh sb="1" eb="3">
      <t>クブン</t>
    </rPh>
    <rPh sb="5" eb="7">
      <t>ジッセキ</t>
    </rPh>
    <rPh sb="8" eb="10">
      <t>トリケシ</t>
    </rPh>
    <rPh sb="11" eb="13">
      <t>トリサ</t>
    </rPh>
    <phoneticPr fontId="31"/>
  </si>
  <si>
    <r>
      <t xml:space="preserve">実績報告日
</t>
    </r>
    <r>
      <rPr>
        <sz val="10"/>
        <color indexed="12"/>
        <rFont val="ＭＳ Ｐゴシック"/>
        <family val="3"/>
        <charset val="128"/>
      </rPr>
      <t>又は取下日等</t>
    </r>
    <rPh sb="0" eb="2">
      <t>ジッセキ</t>
    </rPh>
    <rPh sb="2" eb="4">
      <t>ホウコク</t>
    </rPh>
    <rPh sb="4" eb="5">
      <t>ビ</t>
    </rPh>
    <rPh sb="6" eb="7">
      <t>マタ</t>
    </rPh>
    <rPh sb="8" eb="10">
      <t>トリサ</t>
    </rPh>
    <rPh sb="10" eb="11">
      <t>ヒ</t>
    </rPh>
    <rPh sb="11" eb="12">
      <t>トウ</t>
    </rPh>
    <phoneticPr fontId="31"/>
  </si>
  <si>
    <t>額の
確定日</t>
    <rPh sb="0" eb="1">
      <t>ガク</t>
    </rPh>
    <rPh sb="3" eb="5">
      <t>カクテイ</t>
    </rPh>
    <rPh sb="5" eb="6">
      <t>ビ</t>
    </rPh>
    <phoneticPr fontId="21"/>
  </si>
  <si>
    <t>支払日</t>
    <rPh sb="0" eb="3">
      <t>シハライビ</t>
    </rPh>
    <phoneticPr fontId="31"/>
  </si>
  <si>
    <t>交付決定額</t>
    <rPh sb="0" eb="2">
      <t>コウフ</t>
    </rPh>
    <rPh sb="2" eb="4">
      <t>ケッテイ</t>
    </rPh>
    <rPh sb="4" eb="5">
      <t>ガク</t>
    </rPh>
    <phoneticPr fontId="31"/>
  </si>
  <si>
    <t>確定・支払金額
（千円）</t>
    <rPh sb="0" eb="2">
      <t>カクテイ</t>
    </rPh>
    <rPh sb="3" eb="5">
      <t>シハライ</t>
    </rPh>
    <rPh sb="5" eb="7">
      <t>キンガク</t>
    </rPh>
    <rPh sb="9" eb="11">
      <t>センエン</t>
    </rPh>
    <phoneticPr fontId="21"/>
  </si>
  <si>
    <t>実績減
（千円）</t>
    <rPh sb="0" eb="2">
      <t>ジッセキ</t>
    </rPh>
    <rPh sb="2" eb="3">
      <t>ゲン</t>
    </rPh>
    <rPh sb="5" eb="7">
      <t>センエン</t>
    </rPh>
    <phoneticPr fontId="21"/>
  </si>
  <si>
    <t>例1</t>
    <rPh sb="0" eb="1">
      <t>レイ</t>
    </rPh>
    <phoneticPr fontId="1"/>
  </si>
  <si>
    <t>新築</t>
  </si>
  <si>
    <t>鳥取　一郎</t>
    <rPh sb="0" eb="2">
      <t>トットリ</t>
    </rPh>
    <rPh sb="3" eb="5">
      <t>イチロウ</t>
    </rPh>
    <phoneticPr fontId="1"/>
  </si>
  <si>
    <t>680-8570</t>
    <phoneticPr fontId="1"/>
  </si>
  <si>
    <t>0857-26-7408</t>
    <phoneticPr fontId="1"/>
  </si>
  <si>
    <t>鳥取市</t>
  </si>
  <si>
    <t>東町１丁目271</t>
    <rPh sb="0" eb="2">
      <t>ヒガシマチ</t>
    </rPh>
    <phoneticPr fontId="1"/>
  </si>
  <si>
    <t>和瓦</t>
  </si>
  <si>
    <t>珪藻土塗</t>
  </si>
  <si>
    <t>月</t>
    <rPh sb="0" eb="1">
      <t>ガツ</t>
    </rPh>
    <phoneticPr fontId="1"/>
  </si>
  <si>
    <t>株式会社とっとり</t>
    <rPh sb="0" eb="4">
      <t>カブシキガイシャ</t>
    </rPh>
    <phoneticPr fontId="1"/>
  </si>
  <si>
    <t>鳥取市立川町６丁目176</t>
    <rPh sb="0" eb="3">
      <t>トットリシ</t>
    </rPh>
    <rPh sb="3" eb="5">
      <t>タチカワ</t>
    </rPh>
    <rPh sb="5" eb="6">
      <t>チョウ</t>
    </rPh>
    <rPh sb="7" eb="9">
      <t>チョウメ</t>
    </rPh>
    <phoneticPr fontId="1"/>
  </si>
  <si>
    <t>久大</t>
  </si>
  <si>
    <t>要</t>
  </si>
  <si>
    <t>琴浦製材所</t>
    <rPh sb="0" eb="2">
      <t>コトウラ</t>
    </rPh>
    <rPh sb="2" eb="5">
      <t>セイザイショ</t>
    </rPh>
    <phoneticPr fontId="1"/>
  </si>
  <si>
    <t>境港製材所</t>
    <rPh sb="0" eb="2">
      <t>サカイミナト</t>
    </rPh>
    <rPh sb="2" eb="5">
      <t>セイザイショ</t>
    </rPh>
    <phoneticPr fontId="1"/>
  </si>
  <si>
    <t>北栄製材所</t>
    <rPh sb="0" eb="2">
      <t>ホクエイ</t>
    </rPh>
    <rPh sb="2" eb="5">
      <t>セイザイショ</t>
    </rPh>
    <phoneticPr fontId="1"/>
  </si>
  <si>
    <t>智頭畳店</t>
    <rPh sb="0" eb="2">
      <t>チズ</t>
    </rPh>
    <rPh sb="2" eb="3">
      <t>タタミ</t>
    </rPh>
    <rPh sb="3" eb="4">
      <t>ミセ</t>
    </rPh>
    <phoneticPr fontId="1"/>
  </si>
  <si>
    <t>実績</t>
  </si>
  <si>
    <t>例2</t>
    <rPh sb="0" eb="1">
      <t>レイ</t>
    </rPh>
    <phoneticPr fontId="1"/>
  </si>
  <si>
    <t>改修</t>
  </si>
  <si>
    <t>鳥取　太郎</t>
    <rPh sb="0" eb="2">
      <t>トットリ</t>
    </rPh>
    <rPh sb="3" eb="5">
      <t>タロウ</t>
    </rPh>
    <phoneticPr fontId="1"/>
  </si>
  <si>
    <t>680-0300</t>
    <phoneticPr fontId="1"/>
  </si>
  <si>
    <t>0857-26-7408</t>
  </si>
  <si>
    <t>郡家100番地</t>
    <rPh sb="5" eb="7">
      <t>バンチ</t>
    </rPh>
    <phoneticPr fontId="1"/>
  </si>
  <si>
    <t>大山</t>
  </si>
  <si>
    <t>不要</t>
  </si>
  <si>
    <t>八頭製材所</t>
    <rPh sb="0" eb="2">
      <t>ヤズ</t>
    </rPh>
    <rPh sb="2" eb="5">
      <t>セイザイショ</t>
    </rPh>
    <phoneticPr fontId="1"/>
  </si>
  <si>
    <t>日野製材所</t>
    <rPh sb="0" eb="2">
      <t>ヒノ</t>
    </rPh>
    <rPh sb="2" eb="5">
      <t>セイザイショ</t>
    </rPh>
    <phoneticPr fontId="1"/>
  </si>
  <si>
    <t>日南建具店</t>
    <rPh sb="0" eb="2">
      <t>ニチナン</t>
    </rPh>
    <rPh sb="2" eb="4">
      <t>タテグ</t>
    </rPh>
    <rPh sb="4" eb="5">
      <t>テン</t>
    </rPh>
    <phoneticPr fontId="1"/>
  </si>
  <si>
    <t>例3</t>
    <rPh sb="0" eb="1">
      <t>レイ</t>
    </rPh>
    <phoneticPr fontId="1"/>
  </si>
  <si>
    <t>登録</t>
  </si>
  <si>
    <t>680-8570</t>
  </si>
  <si>
    <t>0857-20-3649</t>
  </si>
  <si>
    <t>糀町１丁目160</t>
    <phoneticPr fontId="1"/>
  </si>
  <si>
    <t>ミヨシ</t>
  </si>
  <si>
    <t>倉吉　次郎</t>
    <rPh sb="0" eb="2">
      <t>クラヨシ</t>
    </rPh>
    <rPh sb="3" eb="5">
      <t>ジロウ</t>
    </rPh>
    <phoneticPr fontId="1"/>
  </si>
  <si>
    <t>658-0072</t>
    <phoneticPr fontId="1"/>
  </si>
  <si>
    <t>078-000-0000</t>
    <phoneticPr fontId="1"/>
  </si>
  <si>
    <t>米子市</t>
  </si>
  <si>
    <t>江府製材所</t>
    <rPh sb="0" eb="2">
      <t>コウフ</t>
    </rPh>
    <rPh sb="2" eb="5">
      <t>セイザイショ</t>
    </rPh>
    <phoneticPr fontId="1"/>
  </si>
  <si>
    <t>倉吉プレカット</t>
    <rPh sb="0" eb="2">
      <t>クラヨシ</t>
    </rPh>
    <phoneticPr fontId="1"/>
  </si>
  <si>
    <t>南部製材所</t>
    <rPh sb="0" eb="2">
      <t>ナンブ</t>
    </rPh>
    <rPh sb="2" eb="5">
      <t>セイザイショ</t>
    </rPh>
    <phoneticPr fontId="1"/>
  </si>
  <si>
    <t/>
  </si>
  <si>
    <t>入力行</t>
    <rPh sb="0" eb="2">
      <t>ニュウリョク</t>
    </rPh>
    <rPh sb="2" eb="3">
      <t>ギョウ</t>
    </rPh>
    <phoneticPr fontId="1"/>
  </si>
  <si>
    <t>↑都道府県欄に全住所を一括掲載（R5の台帳からセル結合</t>
    <rPh sb="1" eb="5">
      <t>トドウフケン</t>
    </rPh>
    <rPh sb="5" eb="6">
      <t>ラン</t>
    </rPh>
    <rPh sb="7" eb="8">
      <t>ゼン</t>
    </rPh>
    <rPh sb="8" eb="10">
      <t>ジュウショ</t>
    </rPh>
    <rPh sb="11" eb="13">
      <t>イッカツ</t>
    </rPh>
    <rPh sb="13" eb="15">
      <t>ケイサイ</t>
    </rPh>
    <rPh sb="19" eb="21">
      <t>ダイチョウ</t>
    </rPh>
    <rPh sb="25" eb="27">
      <t>ケツゴウ</t>
    </rPh>
    <phoneticPr fontId="1"/>
  </si>
  <si>
    <t>合計</t>
    <rPh sb="0" eb="2">
      <t>ゴウケイ</t>
    </rPh>
    <phoneticPr fontId="1"/>
  </si>
  <si>
    <t>令和</t>
    <rPh sb="0" eb="2">
      <t>レイワ</t>
    </rPh>
    <phoneticPr fontId="1"/>
  </si>
  <si>
    <t>国補助事業『こどもエコすまい支援事業』の補助利用者である</t>
    <rPh sb="0" eb="5">
      <t>クニホジョジギョウ</t>
    </rPh>
    <rPh sb="20" eb="22">
      <t>ホジョ</t>
    </rPh>
    <rPh sb="22" eb="24">
      <t>リヨウ</t>
    </rPh>
    <rPh sb="24" eb="25">
      <t>シャ</t>
    </rPh>
    <phoneticPr fontId="1"/>
  </si>
  <si>
    <t>※併用する補助金をすべてを記入してください。</t>
    <rPh sb="1" eb="3">
      <t>ヘイヨウ</t>
    </rPh>
    <rPh sb="5" eb="8">
      <t>ホジョキン</t>
    </rPh>
    <rPh sb="13" eb="15">
      <t>キニュウ</t>
    </rPh>
    <phoneticPr fontId="1"/>
  </si>
  <si>
    <t>補助金の名称</t>
    <rPh sb="0" eb="3">
      <t>ホジョキン</t>
    </rPh>
    <rPh sb="4" eb="6">
      <t>メイショウ</t>
    </rPh>
    <phoneticPr fontId="1"/>
  </si>
  <si>
    <t>　私は、とっとり住まいる支援事業補助金交付要綱を熟読し、実績報告内容について上記のとおり確認しました。</t>
    <rPh sb="1" eb="2">
      <t>ワタシ</t>
    </rPh>
    <rPh sb="8" eb="9">
      <t>ス</t>
    </rPh>
    <rPh sb="12" eb="16">
      <t>シエンジギョウ</t>
    </rPh>
    <rPh sb="16" eb="19">
      <t>ホジョキン</t>
    </rPh>
    <rPh sb="19" eb="21">
      <t>コウフ</t>
    </rPh>
    <rPh sb="21" eb="23">
      <t>ヨウコウ</t>
    </rPh>
    <rPh sb="24" eb="26">
      <t>ジュクドク</t>
    </rPh>
    <rPh sb="28" eb="30">
      <t>ジッセキ</t>
    </rPh>
    <rPh sb="30" eb="32">
      <t>ホウコク</t>
    </rPh>
    <rPh sb="32" eb="34">
      <t>ナイヨウ</t>
    </rPh>
    <rPh sb="38" eb="39">
      <t>ウエ</t>
    </rPh>
    <phoneticPr fontId="1"/>
  </si>
  <si>
    <t>※こどもエコすまい支援事業の補助利用者にあっては０円となります</t>
    <phoneticPr fontId="1"/>
  </si>
  <si>
    <t>国補助利用者のうち、「地域型グリーン化事業」補助利用者である。</t>
    <rPh sb="11" eb="14">
      <t>チイキガタ</t>
    </rPh>
    <rPh sb="18" eb="19">
      <t>カ</t>
    </rPh>
    <rPh sb="19" eb="21">
      <t>ジギョウ</t>
    </rPh>
    <phoneticPr fontId="1"/>
  </si>
  <si>
    <t>「地域型グリーン化事業」の補助対象経費に県産材の材料代を含めていない。</t>
    <rPh sb="1" eb="3">
      <t>チイキ</t>
    </rPh>
    <rPh sb="3" eb="4">
      <t>ガタ</t>
    </rPh>
    <rPh sb="8" eb="9">
      <t>カ</t>
    </rPh>
    <rPh sb="9" eb="11">
      <t>ジギョウ</t>
    </rPh>
    <rPh sb="13" eb="19">
      <t>ホジョタイショウケイヒ</t>
    </rPh>
    <rPh sb="20" eb="23">
      <t>ケンサンザイ</t>
    </rPh>
    <rPh sb="24" eb="27">
      <t>ザイリョウダイ</t>
    </rPh>
    <rPh sb="28" eb="29">
      <t>フク</t>
    </rPh>
    <phoneticPr fontId="1"/>
  </si>
  <si>
    <t>増築</t>
  </si>
  <si>
    <t>令和5年度とっとり住まいる支援事業台帳</t>
    <rPh sb="0" eb="2">
      <t>レイワ</t>
    </rPh>
    <rPh sb="17" eb="19">
      <t>ダイチョウ</t>
    </rPh>
    <phoneticPr fontId="1"/>
  </si>
  <si>
    <t>〇</t>
  </si>
  <si>
    <t>→FC列から範囲選択でコピぺ（列全体をコピペしないこと！）</t>
    <rPh sb="3" eb="4">
      <t>レツ</t>
    </rPh>
    <rPh sb="6" eb="10">
      <t>ハンイセンタク</t>
    </rPh>
    <rPh sb="15" eb="18">
      <t>レツゼンタイ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</si>
</sst>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DBNum3][$-411]#,##0"/>
    <numFmt numFmtId="177" formatCode="[DBNum3][$-411]0"/>
    <numFmt numFmtId="178" formatCode="&quot;令和&quot;General"/>
    <numFmt numFmtId="179" formatCode="General&quot;m3&quot;"/>
    <numFmt numFmtId="180" formatCode="General&quot;m2&quot;"/>
    <numFmt numFmtId="181" formatCode="0.0_ "/>
    <numFmt numFmtId="182" formatCode="0.0_);[Red]\(0.0\)"/>
    <numFmt numFmtId="183" formatCode="0.0&quot;m3&quot;"/>
    <numFmt numFmtId="184" formatCode="&quot;金&quot;#,##0"/>
    <numFmt numFmtId="185" formatCode="0.00_ "/>
    <numFmt numFmtId="186" formatCode="[$-411]ge\.m\.d;@"/>
    <numFmt numFmtId="187" formatCode="0_ "/>
    <numFmt numFmtId="188" formatCode="#,##0_ "/>
    <numFmt numFmtId="189" formatCode="0.000"/>
  </numFmts>
  <fonts count="49" x14ac:knownFonts="1">
    <font>
      <sz val="11"/>
      <color theme="1"/>
      <name val="ＭＳ Ｐゴシック"/>
      <family val="2"/>
      <charset val="128"/>
      <scheme val="minor"/>
    </font>
    <font>
      <sz val="6"/>
      <name val="ＭＳ Ｐゴシック"/>
      <family val="2"/>
      <charset val="128"/>
      <scheme val="minor"/>
    </font>
    <font>
      <sz val="9"/>
      <color theme="1"/>
      <name val="ＭＳ Ｐ明朝"/>
      <family val="1"/>
      <charset val="128"/>
    </font>
    <font>
      <sz val="11"/>
      <color theme="1"/>
      <name val="ＭＳ Ｐ明朝"/>
      <family val="1"/>
      <charset val="128"/>
    </font>
    <font>
      <b/>
      <sz val="16"/>
      <color theme="1"/>
      <name val="ＭＳ Ｐ明朝"/>
      <family val="1"/>
      <charset val="128"/>
    </font>
    <font>
      <sz val="11"/>
      <color rgb="FFFF0000"/>
      <name val="ＭＳ Ｐ明朝"/>
      <family val="1"/>
      <charset val="128"/>
    </font>
    <font>
      <sz val="14"/>
      <color theme="1"/>
      <name val="ＭＳ Ｐ明朝"/>
      <family val="1"/>
      <charset val="128"/>
    </font>
    <font>
      <sz val="10"/>
      <color theme="1"/>
      <name val="ＭＳ Ｐ明朝"/>
      <family val="1"/>
      <charset val="128"/>
    </font>
    <font>
      <sz val="10"/>
      <color rgb="FFFF0000"/>
      <name val="ＭＳ Ｐ明朝"/>
      <family val="1"/>
      <charset val="128"/>
    </font>
    <font>
      <sz val="9"/>
      <color rgb="FFFF0000"/>
      <name val="ＭＳ Ｐ明朝"/>
      <family val="1"/>
      <charset val="128"/>
    </font>
    <font>
      <sz val="8"/>
      <color theme="1"/>
      <name val="ＭＳ Ｐ明朝"/>
      <family val="1"/>
      <charset val="128"/>
    </font>
    <font>
      <sz val="11"/>
      <color rgb="FF0066FF"/>
      <name val="ＭＳ Ｐ明朝"/>
      <family val="1"/>
      <charset val="128"/>
    </font>
    <font>
      <sz val="10"/>
      <color rgb="FF0066FF"/>
      <name val="ＭＳ Ｐ明朝"/>
      <family val="1"/>
      <charset val="128"/>
    </font>
    <font>
      <sz val="9"/>
      <color rgb="FF0066FF"/>
      <name val="ＭＳ Ｐ明朝"/>
      <family val="1"/>
      <charset val="128"/>
    </font>
    <font>
      <sz val="9"/>
      <color rgb="FFFF0000"/>
      <name val="ＭＳ 明朝"/>
      <family val="1"/>
      <charset val="128"/>
    </font>
    <font>
      <sz val="9"/>
      <color rgb="FF0066FF"/>
      <name val="ＭＳ 明朝"/>
      <family val="1"/>
      <charset val="128"/>
    </font>
    <font>
      <sz val="11"/>
      <name val="ＭＳ Ｐ明朝"/>
      <family val="1"/>
      <charset val="128"/>
    </font>
    <font>
      <u/>
      <sz val="10"/>
      <color rgb="FF0066FF"/>
      <name val="ＭＳ 明朝"/>
      <family val="1"/>
      <charset val="128"/>
    </font>
    <font>
      <sz val="10"/>
      <color theme="1"/>
      <name val="ＭＳ 明朝"/>
      <family val="1"/>
      <charset val="128"/>
    </font>
    <font>
      <b/>
      <sz val="9"/>
      <color indexed="81"/>
      <name val="ＭＳ Ｐゴシック"/>
      <family val="3"/>
      <charset val="128"/>
    </font>
    <font>
      <sz val="12"/>
      <color theme="1"/>
      <name val="ＭＳ Ｐ明朝"/>
      <family val="1"/>
      <charset val="128"/>
    </font>
    <font>
      <sz val="11"/>
      <color theme="1"/>
      <name val="ＭＳ Ｐゴシック"/>
      <family val="2"/>
      <charset val="128"/>
      <scheme val="minor"/>
    </font>
    <font>
      <sz val="11"/>
      <color rgb="FF0000FF"/>
      <name val="ＭＳ Ｐ明朝"/>
      <family val="1"/>
      <charset val="128"/>
    </font>
    <font>
      <sz val="10.5"/>
      <color theme="1"/>
      <name val="ＭＳ Ｐ明朝"/>
      <family val="1"/>
      <charset val="128"/>
    </font>
    <font>
      <sz val="11"/>
      <color rgb="FFFFFF00"/>
      <name val="ＭＳ Ｐ明朝"/>
      <family val="1"/>
      <charset val="128"/>
    </font>
    <font>
      <sz val="11"/>
      <color rgb="FFFF0000"/>
      <name val="ＭＳ 明朝"/>
      <family val="1"/>
      <charset val="128"/>
    </font>
    <font>
      <sz val="11"/>
      <color theme="1"/>
      <name val="ＭＳ 明朝"/>
      <family val="1"/>
      <charset val="128"/>
    </font>
    <font>
      <sz val="11"/>
      <color rgb="FF0000FF"/>
      <name val="ＭＳ 明朝"/>
      <family val="1"/>
      <charset val="128"/>
    </font>
    <font>
      <sz val="9"/>
      <color theme="1"/>
      <name val="ＭＳ Ｐゴシック"/>
      <family val="2"/>
      <charset val="128"/>
      <scheme val="minor"/>
    </font>
    <font>
      <sz val="10"/>
      <color theme="1"/>
      <name val="ＭＳ Ｐゴシック"/>
      <family val="2"/>
      <charset val="128"/>
      <scheme val="minor"/>
    </font>
    <font>
      <sz val="10"/>
      <color rgb="FFFF0000"/>
      <name val="ＭＳ Ｐゴシック"/>
      <family val="2"/>
      <charset val="128"/>
      <scheme val="minor"/>
    </font>
    <font>
      <b/>
      <sz val="18"/>
      <color theme="3"/>
      <name val="ＭＳ Ｐゴシック"/>
      <family val="2"/>
      <charset val="128"/>
      <scheme val="major"/>
    </font>
    <font>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9"/>
      <color theme="1"/>
      <name val="ＭＳ Ｐゴシック"/>
      <family val="3"/>
      <charset val="128"/>
      <scheme val="minor"/>
    </font>
    <font>
      <sz val="10"/>
      <color rgb="FFFF0000"/>
      <name val="ＭＳ Ｐゴシック"/>
      <family val="3"/>
      <charset val="128"/>
      <scheme val="minor"/>
    </font>
    <font>
      <sz val="10"/>
      <color indexed="10"/>
      <name val="ＭＳ Ｐゴシック"/>
      <family val="3"/>
      <charset val="128"/>
    </font>
    <font>
      <b/>
      <sz val="10"/>
      <color indexed="10"/>
      <name val="ＭＳ Ｐゴシック"/>
      <family val="3"/>
      <charset val="128"/>
    </font>
    <font>
      <sz val="10"/>
      <color rgb="FFFF0000"/>
      <name val="ＭＳ Ｐゴシック"/>
      <family val="3"/>
      <charset val="128"/>
    </font>
    <font>
      <sz val="8"/>
      <color theme="1"/>
      <name val="ＭＳ Ｐゴシック"/>
      <family val="2"/>
      <charset val="128"/>
      <scheme val="minor"/>
    </font>
    <font>
      <b/>
      <sz val="10"/>
      <color indexed="8"/>
      <name val="ＭＳ Ｐゴシック"/>
      <family val="3"/>
      <charset val="128"/>
    </font>
    <font>
      <sz val="8"/>
      <color rgb="FFFF0000"/>
      <name val="ＭＳ Ｐゴシック"/>
      <family val="3"/>
      <charset val="128"/>
      <scheme val="minor"/>
    </font>
    <font>
      <vertAlign val="subscript"/>
      <sz val="10"/>
      <name val="ＭＳ Ｐゴシック"/>
      <family val="3"/>
      <charset val="128"/>
      <scheme val="minor"/>
    </font>
    <font>
      <sz val="10"/>
      <name val="ＭＳ Ｐゴシック"/>
      <family val="3"/>
      <charset val="128"/>
    </font>
    <font>
      <sz val="10"/>
      <color indexed="12"/>
      <name val="ＭＳ Ｐゴシック"/>
      <family val="3"/>
      <charset val="128"/>
    </font>
    <font>
      <sz val="14"/>
      <color theme="1"/>
      <name val="ＭＳ Ｐゴシック"/>
      <family val="3"/>
      <charset val="128"/>
      <scheme val="minor"/>
    </font>
    <font>
      <b/>
      <sz val="10"/>
      <color rgb="FFFF0000"/>
      <name val="ＭＳ Ｐゴシック"/>
      <family val="3"/>
      <charset val="128"/>
      <scheme val="minor"/>
    </font>
    <font>
      <sz val="11"/>
      <color theme="1"/>
      <name val="ＭＳ ゴシック"/>
      <family val="3"/>
      <charset val="128"/>
    </font>
  </fonts>
  <fills count="15">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8" tint="0.79998168889431442"/>
        <bgColor indexed="64"/>
      </patternFill>
    </fill>
    <fill>
      <patternFill patternType="solid">
        <fgColor rgb="FF66FF66"/>
        <bgColor indexed="64"/>
      </patternFill>
    </fill>
    <fill>
      <patternFill patternType="solid">
        <fgColor rgb="FFFFCCFF"/>
        <bgColor indexed="64"/>
      </patternFill>
    </fill>
    <fill>
      <patternFill patternType="solid">
        <fgColor rgb="FF66FFFF"/>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FFC000"/>
        <bgColor indexed="64"/>
      </patternFill>
    </fill>
    <fill>
      <patternFill patternType="solid">
        <fgColor rgb="FF66CCFF"/>
        <bgColor indexed="64"/>
      </patternFill>
    </fill>
    <fill>
      <patternFill patternType="solid">
        <fgColor rgb="FFCCFFCC"/>
        <bgColor indexed="64"/>
      </patternFill>
    </fill>
    <fill>
      <patternFill patternType="solid">
        <fgColor theme="0" tint="-0.34998626667073579"/>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21" fillId="0" borderId="0" applyFont="0" applyFill="0" applyBorder="0" applyAlignment="0" applyProtection="0">
      <alignment vertical="center"/>
    </xf>
  </cellStyleXfs>
  <cellXfs count="529">
    <xf numFmtId="0" fontId="0" fillId="0" borderId="0" xfId="0">
      <alignment vertical="center"/>
    </xf>
    <xf numFmtId="0" fontId="3" fillId="0" borderId="0" xfId="0" applyFont="1">
      <alignment vertical="center"/>
    </xf>
    <xf numFmtId="0" fontId="4" fillId="0" borderId="0" xfId="0" applyFont="1" applyAlignment="1">
      <alignment vertical="center"/>
    </xf>
    <xf numFmtId="0" fontId="3" fillId="0" borderId="0" xfId="0" applyFont="1" applyBorder="1">
      <alignment vertical="center"/>
    </xf>
    <xf numFmtId="0" fontId="3" fillId="3" borderId="0" xfId="0" applyFont="1" applyFill="1">
      <alignment vertical="center"/>
    </xf>
    <xf numFmtId="0" fontId="5" fillId="3" borderId="0" xfId="0" applyFont="1" applyFill="1">
      <alignment vertical="center"/>
    </xf>
    <xf numFmtId="0" fontId="3" fillId="0" borderId="0" xfId="0" applyFont="1" applyAlignment="1">
      <alignment horizontal="righ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6" xfId="0" applyFont="1" applyBorder="1">
      <alignment vertical="center"/>
    </xf>
    <xf numFmtId="0" fontId="3" fillId="0" borderId="0" xfId="0" applyFont="1" applyBorder="1" applyAlignment="1">
      <alignment vertical="center"/>
    </xf>
    <xf numFmtId="0" fontId="3" fillId="0" borderId="9" xfId="0" applyFont="1" applyBorder="1" applyAlignment="1">
      <alignment vertical="center"/>
    </xf>
    <xf numFmtId="0" fontId="3" fillId="0" borderId="11" xfId="0" applyFont="1" applyBorder="1" applyAlignment="1">
      <alignment vertical="center"/>
    </xf>
    <xf numFmtId="0" fontId="3" fillId="0" borderId="1" xfId="0" applyFont="1" applyBorder="1">
      <alignment vertical="center"/>
    </xf>
    <xf numFmtId="0" fontId="3" fillId="0" borderId="3" xfId="0" applyFont="1" applyBorder="1">
      <alignment vertical="center"/>
    </xf>
    <xf numFmtId="0" fontId="7" fillId="0" borderId="0" xfId="0" applyFont="1" applyBorder="1" applyAlignment="1">
      <alignment horizontal="center" vertical="center"/>
    </xf>
    <xf numFmtId="0" fontId="7" fillId="0" borderId="0" xfId="0" applyFont="1">
      <alignment vertical="center"/>
    </xf>
    <xf numFmtId="0" fontId="2" fillId="0" borderId="0" xfId="0" applyFont="1">
      <alignment vertical="center"/>
    </xf>
    <xf numFmtId="0" fontId="8" fillId="3" borderId="0" xfId="0" applyFont="1" applyFill="1">
      <alignment vertical="center"/>
    </xf>
    <xf numFmtId="0" fontId="3" fillId="0" borderId="10" xfId="0" applyFont="1" applyBorder="1">
      <alignment vertical="center"/>
    </xf>
    <xf numFmtId="0" fontId="3" fillId="0" borderId="11" xfId="0" applyFont="1" applyBorder="1">
      <alignment vertical="center"/>
    </xf>
    <xf numFmtId="0" fontId="5" fillId="0" borderId="0" xfId="0" applyFont="1">
      <alignment vertical="center"/>
    </xf>
    <xf numFmtId="0" fontId="9" fillId="0" borderId="0" xfId="0" applyFont="1">
      <alignment vertical="center"/>
    </xf>
    <xf numFmtId="0" fontId="3" fillId="0" borderId="0" xfId="0" applyFont="1" applyAlignment="1">
      <alignment horizontal="left" vertical="center"/>
    </xf>
    <xf numFmtId="0" fontId="2" fillId="3" borderId="0" xfId="0" applyFont="1" applyFill="1" applyAlignment="1">
      <alignment horizontal="right" vertical="center"/>
    </xf>
    <xf numFmtId="0" fontId="2" fillId="3" borderId="0" xfId="0" applyFont="1" applyFill="1">
      <alignment vertical="center"/>
    </xf>
    <xf numFmtId="0" fontId="3" fillId="0" borderId="8" xfId="0" applyFont="1" applyBorder="1" applyAlignment="1">
      <alignment vertical="center"/>
    </xf>
    <xf numFmtId="0" fontId="10" fillId="0" borderId="3" xfId="0" applyFont="1" applyBorder="1" applyAlignment="1">
      <alignment vertical="center"/>
    </xf>
    <xf numFmtId="0" fontId="7" fillId="0" borderId="0" xfId="0" applyFont="1" applyAlignment="1">
      <alignment horizontal="right" vertical="center"/>
    </xf>
    <xf numFmtId="0" fontId="3" fillId="0" borderId="0" xfId="0" applyFont="1" applyFill="1" applyBorder="1" applyAlignment="1">
      <alignment horizontal="right" vertical="center"/>
    </xf>
    <xf numFmtId="0" fontId="3" fillId="0" borderId="0" xfId="0" applyFont="1" applyFill="1">
      <alignment vertical="center"/>
    </xf>
    <xf numFmtId="0" fontId="3" fillId="0" borderId="0" xfId="0" applyFont="1" applyAlignment="1">
      <alignment vertical="center"/>
    </xf>
    <xf numFmtId="0" fontId="2" fillId="0" borderId="0" xfId="0" applyFont="1" applyAlignment="1">
      <alignment horizontal="left" vertical="center" wrapText="1"/>
    </xf>
    <xf numFmtId="0" fontId="2" fillId="0" borderId="0" xfId="0" applyFont="1" applyAlignment="1">
      <alignment vertical="top" wrapText="1"/>
    </xf>
    <xf numFmtId="0" fontId="2" fillId="0" borderId="0" xfId="0" applyFont="1" applyAlignment="1">
      <alignment vertical="top"/>
    </xf>
    <xf numFmtId="0" fontId="7" fillId="0" borderId="10" xfId="0" applyFont="1" applyBorder="1" applyAlignment="1">
      <alignment vertical="center" wrapText="1"/>
    </xf>
    <xf numFmtId="0" fontId="7" fillId="0" borderId="0" xfId="0" applyFont="1" applyAlignment="1">
      <alignment vertical="center"/>
    </xf>
    <xf numFmtId="0" fontId="3" fillId="0" borderId="0" xfId="0" applyFont="1" applyAlignment="1">
      <alignment horizontal="left" vertical="center" wrapText="1"/>
    </xf>
    <xf numFmtId="0" fontId="6" fillId="0" borderId="0" xfId="0" applyFont="1">
      <alignment vertical="center"/>
    </xf>
    <xf numFmtId="0" fontId="3" fillId="0" borderId="5" xfId="0" applyFont="1" applyBorder="1">
      <alignment vertical="center"/>
    </xf>
    <xf numFmtId="0" fontId="3" fillId="0" borderId="7" xfId="0" applyFont="1" applyBorder="1">
      <alignment vertical="center"/>
    </xf>
    <xf numFmtId="0" fontId="11" fillId="0" borderId="0" xfId="0" applyFont="1" applyBorder="1" applyAlignment="1">
      <alignment horizontal="left" vertical="center"/>
    </xf>
    <xf numFmtId="0" fontId="12" fillId="0" borderId="0" xfId="0" applyFont="1" applyBorder="1" applyAlignment="1">
      <alignment horizontal="left" vertical="center"/>
    </xf>
    <xf numFmtId="0" fontId="11" fillId="0" borderId="0" xfId="0" applyFont="1">
      <alignment vertical="center"/>
    </xf>
    <xf numFmtId="0" fontId="13" fillId="0" borderId="0" xfId="0" applyFont="1" applyAlignment="1">
      <alignment horizontal="left" vertical="center"/>
    </xf>
    <xf numFmtId="0" fontId="13" fillId="0" borderId="0" xfId="0" applyFont="1" applyAlignment="1">
      <alignment horizontal="left" vertical="center" wrapText="1"/>
    </xf>
    <xf numFmtId="0" fontId="12" fillId="0" borderId="0" xfId="0" applyFont="1" applyAlignment="1">
      <alignment horizontal="left" vertical="center"/>
    </xf>
    <xf numFmtId="0" fontId="12" fillId="0" borderId="0" xfId="0" applyFont="1" applyAlignment="1">
      <alignment vertical="top"/>
    </xf>
    <xf numFmtId="0" fontId="11" fillId="0" borderId="0" xfId="0" applyFont="1" applyAlignment="1">
      <alignment vertical="center" wrapText="1"/>
    </xf>
    <xf numFmtId="0" fontId="3" fillId="0" borderId="0" xfId="0" applyFont="1" applyBorder="1" applyAlignment="1">
      <alignment horizontal="left" vertical="center" wrapText="1"/>
    </xf>
    <xf numFmtId="0" fontId="3" fillId="0" borderId="0" xfId="0" applyFont="1" applyBorder="1" applyAlignment="1">
      <alignment horizontal="left" vertical="center" wrapText="1"/>
    </xf>
    <xf numFmtId="0" fontId="5" fillId="0" borderId="0" xfId="0" applyFont="1" applyAlignment="1">
      <alignment horizontal="right" vertical="center"/>
    </xf>
    <xf numFmtId="0" fontId="12" fillId="0" borderId="0" xfId="0" applyFont="1">
      <alignment vertical="center"/>
    </xf>
    <xf numFmtId="0" fontId="15" fillId="0" borderId="0" xfId="0" applyFont="1">
      <alignment vertical="center"/>
    </xf>
    <xf numFmtId="0" fontId="13" fillId="0" borderId="0" xfId="0" applyFont="1" applyAlignment="1">
      <alignment vertical="top"/>
    </xf>
    <xf numFmtId="0" fontId="3" fillId="0" borderId="0" xfId="0" applyFont="1" applyBorder="1" applyAlignment="1">
      <alignment horizontal="center" vertical="center"/>
    </xf>
    <xf numFmtId="0" fontId="5" fillId="0" borderId="0" xfId="0" applyFont="1" applyBorder="1" applyAlignment="1">
      <alignment vertical="center"/>
    </xf>
    <xf numFmtId="0" fontId="5" fillId="0" borderId="0" xfId="0" applyFont="1" applyBorder="1">
      <alignment vertical="center"/>
    </xf>
    <xf numFmtId="0" fontId="17" fillId="0" borderId="0" xfId="0" applyFont="1">
      <alignment vertical="center"/>
    </xf>
    <xf numFmtId="0" fontId="18" fillId="0" borderId="0" xfId="0" applyFont="1">
      <alignment vertical="center"/>
    </xf>
    <xf numFmtId="0" fontId="3" fillId="0" borderId="12" xfId="0" applyFont="1" applyBorder="1" applyAlignment="1">
      <alignment horizontal="center" vertical="center" wrapText="1"/>
    </xf>
    <xf numFmtId="0" fontId="3" fillId="0" borderId="12" xfId="0" applyFont="1" applyBorder="1" applyAlignment="1">
      <alignment vertical="center" wrapText="1"/>
    </xf>
    <xf numFmtId="0" fontId="3" fillId="0" borderId="0" xfId="0" applyFont="1" applyAlignment="1">
      <alignment vertical="center" wrapText="1"/>
    </xf>
    <xf numFmtId="0" fontId="3" fillId="0" borderId="0" xfId="0" applyFont="1" applyAlignment="1">
      <alignment horizontal="right" vertical="top"/>
    </xf>
    <xf numFmtId="0" fontId="3" fillId="0" borderId="0" xfId="0" applyFont="1" applyAlignment="1">
      <alignment vertical="top"/>
    </xf>
    <xf numFmtId="181" fontId="3" fillId="3" borderId="0" xfId="0" applyNumberFormat="1" applyFont="1" applyFill="1">
      <alignment vertical="center"/>
    </xf>
    <xf numFmtId="0" fontId="3" fillId="0" borderId="12" xfId="0" applyFont="1" applyBorder="1" applyProtection="1">
      <alignment vertical="center"/>
      <protection locked="0"/>
    </xf>
    <xf numFmtId="0" fontId="3" fillId="0" borderId="12" xfId="0" applyFont="1" applyBorder="1" applyAlignment="1" applyProtection="1">
      <alignment vertical="center" wrapText="1"/>
      <protection locked="0"/>
    </xf>
    <xf numFmtId="49" fontId="3" fillId="0" borderId="12" xfId="0" applyNumberFormat="1" applyFont="1" applyBorder="1" applyAlignment="1" applyProtection="1">
      <alignment vertical="center" wrapText="1"/>
      <protection locked="0"/>
    </xf>
    <xf numFmtId="0" fontId="10" fillId="0" borderId="0" xfId="0" applyFont="1" applyBorder="1" applyAlignment="1">
      <alignment vertical="center"/>
    </xf>
    <xf numFmtId="0" fontId="3" fillId="0" borderId="0" xfId="0" applyFont="1" applyFill="1" applyBorder="1" applyAlignment="1">
      <alignment horizontal="center" vertical="center"/>
    </xf>
    <xf numFmtId="49" fontId="3" fillId="0" borderId="0" xfId="0" applyNumberFormat="1" applyFont="1">
      <alignment vertical="center"/>
    </xf>
    <xf numFmtId="0" fontId="22" fillId="3" borderId="0" xfId="0" applyFont="1" applyFill="1">
      <alignment vertical="center"/>
    </xf>
    <xf numFmtId="49" fontId="3" fillId="0" borderId="0" xfId="0" applyNumberFormat="1" applyFont="1" applyAlignment="1">
      <alignment horizontal="right" vertical="center"/>
    </xf>
    <xf numFmtId="0" fontId="3" fillId="0" borderId="0" xfId="0" applyNumberFormat="1" applyFont="1" applyAlignment="1">
      <alignment vertical="center"/>
    </xf>
    <xf numFmtId="176" fontId="3" fillId="0" borderId="3" xfId="0" applyNumberFormat="1" applyFont="1" applyBorder="1" applyAlignment="1">
      <alignment vertical="center"/>
    </xf>
    <xf numFmtId="0" fontId="23" fillId="0" borderId="6" xfId="0" applyFont="1" applyBorder="1" applyAlignment="1">
      <alignment vertical="center"/>
    </xf>
    <xf numFmtId="0" fontId="23" fillId="0" borderId="5" xfId="0" applyFont="1" applyBorder="1">
      <alignment vertical="center"/>
    </xf>
    <xf numFmtId="0" fontId="3" fillId="0" borderId="8" xfId="0" applyFont="1" applyBorder="1">
      <alignment vertical="center"/>
    </xf>
    <xf numFmtId="0" fontId="3" fillId="0" borderId="4" xfId="0" applyFont="1" applyBorder="1">
      <alignment vertical="center"/>
    </xf>
    <xf numFmtId="0" fontId="7" fillId="0" borderId="8" xfId="0" applyFont="1" applyBorder="1" applyAlignment="1">
      <alignment vertical="center"/>
    </xf>
    <xf numFmtId="0" fontId="7" fillId="0" borderId="0" xfId="0" applyFont="1" applyBorder="1">
      <alignment vertical="center"/>
    </xf>
    <xf numFmtId="0" fontId="7" fillId="0" borderId="4" xfId="0" applyFont="1" applyBorder="1">
      <alignment vertical="center"/>
    </xf>
    <xf numFmtId="0" fontId="3" fillId="0" borderId="9" xfId="0" applyFont="1" applyBorder="1">
      <alignment vertical="center"/>
    </xf>
    <xf numFmtId="0" fontId="23" fillId="0" borderId="9" xfId="0" applyFont="1" applyBorder="1" applyAlignment="1">
      <alignment vertical="center"/>
    </xf>
    <xf numFmtId="0" fontId="23" fillId="0" borderId="10" xfId="0" applyFont="1" applyBorder="1">
      <alignment vertical="center"/>
    </xf>
    <xf numFmtId="0" fontId="7" fillId="0" borderId="0" xfId="0" applyFont="1" applyBorder="1" applyAlignment="1"/>
    <xf numFmtId="0" fontId="7" fillId="0" borderId="0" xfId="0" applyFont="1" applyBorder="1" applyAlignment="1">
      <alignment vertical="center" wrapText="1"/>
    </xf>
    <xf numFmtId="0" fontId="8" fillId="0" borderId="0" xfId="0" applyFont="1" applyBorder="1">
      <alignment vertical="center"/>
    </xf>
    <xf numFmtId="0" fontId="7" fillId="0" borderId="0" xfId="0" applyFont="1" applyBorder="1" applyAlignment="1">
      <alignment vertical="center"/>
    </xf>
    <xf numFmtId="0" fontId="8" fillId="0" borderId="0" xfId="0" applyFont="1" applyBorder="1" applyAlignment="1">
      <alignment vertical="center"/>
    </xf>
    <xf numFmtId="0" fontId="7" fillId="0" borderId="6" xfId="0" applyFont="1" applyBorder="1" applyAlignment="1">
      <alignment horizontal="center" vertical="center"/>
    </xf>
    <xf numFmtId="0" fontId="8" fillId="4" borderId="12" xfId="0" applyFont="1" applyFill="1" applyBorder="1">
      <alignment vertical="center"/>
    </xf>
    <xf numFmtId="0" fontId="22" fillId="0" borderId="0" xfId="0" applyFont="1">
      <alignment vertical="center"/>
    </xf>
    <xf numFmtId="0" fontId="24" fillId="0" borderId="0" xfId="0" applyFont="1">
      <alignment vertical="center"/>
    </xf>
    <xf numFmtId="0" fontId="24" fillId="3" borderId="0" xfId="0" applyFont="1" applyFill="1">
      <alignment vertical="center"/>
    </xf>
    <xf numFmtId="0" fontId="26" fillId="0" borderId="0" xfId="0" applyFont="1">
      <alignment vertical="center"/>
    </xf>
    <xf numFmtId="0" fontId="27" fillId="0" borderId="0" xfId="0" applyFont="1">
      <alignment vertical="center"/>
    </xf>
    <xf numFmtId="0" fontId="26" fillId="0" borderId="0" xfId="0" applyFont="1" applyAlignment="1">
      <alignment vertical="center" wrapText="1"/>
    </xf>
    <xf numFmtId="0" fontId="26" fillId="2" borderId="12" xfId="0" applyFont="1" applyFill="1" applyBorder="1">
      <alignment vertical="center"/>
    </xf>
    <xf numFmtId="38" fontId="26" fillId="0" borderId="12" xfId="1" applyFont="1" applyBorder="1" applyProtection="1">
      <alignment vertical="center"/>
      <protection locked="0"/>
    </xf>
    <xf numFmtId="38" fontId="26" fillId="2" borderId="12" xfId="1" applyFont="1" applyFill="1" applyBorder="1">
      <alignment vertical="center"/>
    </xf>
    <xf numFmtId="38" fontId="26" fillId="2" borderId="12" xfId="0" applyNumberFormat="1" applyFont="1" applyFill="1" applyBorder="1">
      <alignment vertical="center"/>
    </xf>
    <xf numFmtId="0" fontId="26" fillId="2" borderId="12" xfId="0" applyFont="1" applyFill="1" applyBorder="1" applyAlignment="1">
      <alignment horizontal="center" vertical="center"/>
    </xf>
    <xf numFmtId="2" fontId="26" fillId="0" borderId="12" xfId="0" applyNumberFormat="1" applyFont="1" applyBorder="1" applyProtection="1">
      <alignment vertical="center"/>
      <protection locked="0"/>
    </xf>
    <xf numFmtId="2" fontId="26" fillId="2" borderId="12" xfId="0" applyNumberFormat="1" applyFont="1" applyFill="1" applyBorder="1">
      <alignment vertical="center"/>
    </xf>
    <xf numFmtId="0" fontId="3" fillId="0" borderId="0" xfId="0" applyFont="1" applyProtection="1">
      <alignment vertical="center"/>
      <protection locked="0"/>
    </xf>
    <xf numFmtId="0" fontId="3" fillId="0" borderId="12" xfId="0" applyFont="1" applyBorder="1" applyAlignment="1">
      <alignment horizontal="center" vertical="center"/>
    </xf>
    <xf numFmtId="0" fontId="3" fillId="0" borderId="0" xfId="0" applyFont="1" applyBorder="1" applyAlignment="1" applyProtection="1">
      <alignment vertical="center" wrapText="1"/>
      <protection locked="0"/>
    </xf>
    <xf numFmtId="49" fontId="3" fillId="0" borderId="0" xfId="0" applyNumberFormat="1" applyFont="1" applyBorder="1" applyAlignment="1" applyProtection="1">
      <alignment vertical="center" wrapText="1"/>
      <protection locked="0"/>
    </xf>
    <xf numFmtId="0" fontId="3" fillId="0" borderId="2" xfId="0" applyFont="1" applyFill="1" applyBorder="1">
      <alignment vertical="center"/>
    </xf>
    <xf numFmtId="0" fontId="3" fillId="0" borderId="3" xfId="0" applyFont="1" applyFill="1" applyBorder="1">
      <alignment vertical="center"/>
    </xf>
    <xf numFmtId="0" fontId="3" fillId="0" borderId="8" xfId="0" applyFont="1" applyBorder="1" applyAlignment="1">
      <alignment vertical="center" wrapText="1"/>
    </xf>
    <xf numFmtId="0" fontId="3" fillId="0" borderId="0" xfId="0" applyFont="1" applyBorder="1" applyAlignment="1">
      <alignment vertical="center" wrapText="1"/>
    </xf>
    <xf numFmtId="0" fontId="3" fillId="0" borderId="4" xfId="0" applyFont="1" applyBorder="1" applyAlignment="1">
      <alignment vertical="center" wrapText="1"/>
    </xf>
    <xf numFmtId="0" fontId="5" fillId="0" borderId="0" xfId="0" applyFont="1" applyAlignment="1">
      <alignment vertical="center" wrapText="1"/>
    </xf>
    <xf numFmtId="0" fontId="8" fillId="0" borderId="0" xfId="0" applyFont="1" applyFill="1">
      <alignment vertical="center"/>
    </xf>
    <xf numFmtId="0" fontId="3" fillId="0" borderId="12" xfId="0" applyFont="1" applyBorder="1" applyAlignment="1">
      <alignment horizontal="center" vertical="center"/>
    </xf>
    <xf numFmtId="0" fontId="3" fillId="0" borderId="12" xfId="0" applyFont="1" applyBorder="1" applyAlignment="1">
      <alignment horizontal="left" vertical="center"/>
    </xf>
    <xf numFmtId="0" fontId="3" fillId="0" borderId="0" xfId="0" applyFont="1" applyAlignment="1">
      <alignment horizontal="center" vertical="center"/>
    </xf>
    <xf numFmtId="0" fontId="3" fillId="0" borderId="12" xfId="0" applyFont="1" applyBorder="1" applyAlignment="1">
      <alignment horizontal="left" vertical="center" wrapText="1"/>
    </xf>
    <xf numFmtId="0" fontId="16" fillId="0" borderId="0" xfId="0" applyFont="1">
      <alignment vertical="center"/>
    </xf>
    <xf numFmtId="0" fontId="28" fillId="0" borderId="0" xfId="0" applyFont="1">
      <alignment vertical="center"/>
    </xf>
    <xf numFmtId="0" fontId="0" fillId="0" borderId="0" xfId="0" applyFont="1" applyAlignment="1">
      <alignment vertical="center"/>
    </xf>
    <xf numFmtId="0" fontId="29" fillId="0" borderId="0" xfId="0" applyFont="1" applyAlignment="1">
      <alignment horizontal="center" vertical="center"/>
    </xf>
    <xf numFmtId="0" fontId="29" fillId="0" borderId="0" xfId="0" applyFont="1">
      <alignment vertical="center"/>
    </xf>
    <xf numFmtId="186" fontId="29" fillId="0" borderId="0" xfId="0" applyNumberFormat="1" applyFont="1">
      <alignment vertical="center"/>
    </xf>
    <xf numFmtId="0" fontId="30" fillId="0" borderId="0" xfId="0" applyFont="1">
      <alignment vertical="center"/>
    </xf>
    <xf numFmtId="0" fontId="29" fillId="0" borderId="0" xfId="0" applyNumberFormat="1" applyFont="1" applyAlignment="1">
      <alignment vertical="center"/>
    </xf>
    <xf numFmtId="187" fontId="29" fillId="0" borderId="0" xfId="0" applyNumberFormat="1" applyFont="1">
      <alignment vertical="center"/>
    </xf>
    <xf numFmtId="188" fontId="29" fillId="0" borderId="0" xfId="0" applyNumberFormat="1" applyFont="1">
      <alignment vertical="center"/>
    </xf>
    <xf numFmtId="0" fontId="29" fillId="0" borderId="0" xfId="0" applyFont="1" applyFill="1">
      <alignment vertical="center"/>
    </xf>
    <xf numFmtId="186" fontId="29" fillId="6" borderId="0" xfId="0" applyNumberFormat="1" applyFont="1" applyFill="1">
      <alignment vertical="center"/>
    </xf>
    <xf numFmtId="0" fontId="29" fillId="6" borderId="0" xfId="0" applyFont="1" applyFill="1">
      <alignment vertical="center"/>
    </xf>
    <xf numFmtId="0" fontId="29" fillId="6" borderId="0" xfId="0" applyFont="1" applyFill="1" applyAlignment="1">
      <alignment horizontal="center" vertical="center"/>
    </xf>
    <xf numFmtId="0" fontId="29" fillId="6" borderId="0" xfId="0" applyNumberFormat="1" applyFont="1" applyFill="1" applyAlignment="1">
      <alignment vertical="center"/>
    </xf>
    <xf numFmtId="187" fontId="29" fillId="6" borderId="0" xfId="0" applyNumberFormat="1" applyFont="1" applyFill="1">
      <alignment vertical="center"/>
    </xf>
    <xf numFmtId="188" fontId="29" fillId="6" borderId="0" xfId="0" applyNumberFormat="1" applyFont="1" applyFill="1">
      <alignment vertical="center"/>
    </xf>
    <xf numFmtId="187" fontId="29" fillId="7" borderId="10" xfId="0" applyNumberFormat="1" applyFont="1" applyFill="1" applyBorder="1" applyAlignment="1">
      <alignment vertical="center"/>
    </xf>
    <xf numFmtId="0" fontId="28" fillId="0" borderId="13" xfId="0" applyFont="1" applyFill="1" applyBorder="1" applyAlignment="1">
      <alignment vertical="top" wrapText="1"/>
    </xf>
    <xf numFmtId="0" fontId="32" fillId="0" borderId="13" xfId="0" applyFont="1" applyFill="1" applyBorder="1" applyAlignment="1">
      <alignment vertical="top" wrapText="1"/>
    </xf>
    <xf numFmtId="0" fontId="29" fillId="0" borderId="13" xfId="0" applyFont="1" applyFill="1" applyBorder="1" applyAlignment="1">
      <alignment horizontal="center" vertical="top" wrapText="1"/>
    </xf>
    <xf numFmtId="0" fontId="29" fillId="0" borderId="13" xfId="0" applyFont="1" applyFill="1" applyBorder="1" applyAlignment="1">
      <alignment vertical="top" wrapText="1"/>
    </xf>
    <xf numFmtId="0" fontId="33" fillId="0" borderId="13" xfId="0" applyFont="1" applyFill="1" applyBorder="1" applyAlignment="1">
      <alignment vertical="top" wrapText="1"/>
    </xf>
    <xf numFmtId="0" fontId="34" fillId="0" borderId="13" xfId="0" applyFont="1" applyFill="1" applyBorder="1" applyAlignment="1">
      <alignment vertical="top" wrapText="1"/>
    </xf>
    <xf numFmtId="186" fontId="29" fillId="0" borderId="13" xfId="0" applyNumberFormat="1" applyFont="1" applyFill="1" applyBorder="1" applyAlignment="1">
      <alignment vertical="top" wrapText="1"/>
    </xf>
    <xf numFmtId="0" fontId="29" fillId="0" borderId="1" xfId="0" applyFont="1" applyFill="1" applyBorder="1" applyAlignment="1">
      <alignment vertical="top" wrapText="1"/>
    </xf>
    <xf numFmtId="0" fontId="29" fillId="0" borderId="2" xfId="0" applyFont="1" applyFill="1" applyBorder="1" applyAlignment="1">
      <alignment horizontal="center" vertical="top" wrapText="1"/>
    </xf>
    <xf numFmtId="0" fontId="29" fillId="0" borderId="2" xfId="0" applyFont="1" applyFill="1" applyBorder="1" applyAlignment="1">
      <alignment vertical="top" wrapText="1"/>
    </xf>
    <xf numFmtId="0" fontId="29" fillId="0" borderId="3" xfId="0" applyFont="1" applyFill="1" applyBorder="1" applyAlignment="1">
      <alignment horizontal="center" vertical="top" wrapText="1"/>
    </xf>
    <xf numFmtId="0" fontId="29" fillId="0" borderId="1" xfId="0" applyFont="1" applyFill="1" applyBorder="1" applyAlignment="1">
      <alignment horizontal="center" vertical="top" wrapText="1"/>
    </xf>
    <xf numFmtId="0" fontId="29" fillId="0" borderId="3" xfId="0" applyNumberFormat="1" applyFont="1" applyFill="1" applyBorder="1" applyAlignment="1">
      <alignment vertical="top"/>
    </xf>
    <xf numFmtId="187" fontId="29" fillId="8" borderId="0" xfId="0" applyNumberFormat="1" applyFont="1" applyFill="1" applyAlignment="1">
      <alignment vertical="top"/>
    </xf>
    <xf numFmtId="187" fontId="29" fillId="8" borderId="0" xfId="0" applyNumberFormat="1" applyFont="1" applyFill="1" applyAlignment="1">
      <alignment vertical="top" wrapText="1"/>
    </xf>
    <xf numFmtId="187" fontId="29" fillId="9" borderId="0" xfId="0" applyNumberFormat="1" applyFont="1" applyFill="1" applyAlignment="1">
      <alignment vertical="top" wrapText="1"/>
    </xf>
    <xf numFmtId="186" fontId="29" fillId="0" borderId="6" xfId="0" applyNumberFormat="1" applyFont="1" applyFill="1" applyBorder="1" applyAlignment="1">
      <alignment vertical="top" wrapText="1"/>
    </xf>
    <xf numFmtId="186" fontId="29" fillId="0" borderId="5" xfId="0" applyNumberFormat="1" applyFont="1" applyFill="1" applyBorder="1" applyAlignment="1">
      <alignment vertical="top" wrapText="1"/>
    </xf>
    <xf numFmtId="186" fontId="29" fillId="0" borderId="6" xfId="0" applyNumberFormat="1" applyFont="1" applyFill="1" applyBorder="1" applyAlignment="1">
      <alignment vertical="top"/>
    </xf>
    <xf numFmtId="188" fontId="29" fillId="0" borderId="7" xfId="0" applyNumberFormat="1" applyFont="1" applyFill="1" applyBorder="1" applyAlignment="1">
      <alignment vertical="top"/>
    </xf>
    <xf numFmtId="0" fontId="29" fillId="0" borderId="6" xfId="0" applyFont="1" applyFill="1" applyBorder="1" applyAlignment="1">
      <alignment vertical="top" wrapText="1"/>
    </xf>
    <xf numFmtId="0" fontId="29" fillId="0" borderId="7" xfId="0" applyFont="1" applyFill="1" applyBorder="1" applyAlignment="1">
      <alignment vertical="top" wrapText="1"/>
    </xf>
    <xf numFmtId="0" fontId="29" fillId="0" borderId="7" xfId="0" applyFont="1" applyFill="1" applyBorder="1" applyAlignment="1">
      <alignment horizontal="center" vertical="top" wrapText="1"/>
    </xf>
    <xf numFmtId="0" fontId="29" fillId="0" borderId="6" xfId="0" applyFont="1" applyFill="1" applyBorder="1" applyAlignment="1">
      <alignment vertical="top"/>
    </xf>
    <xf numFmtId="0" fontId="29" fillId="0" borderId="5" xfId="0" applyFont="1" applyFill="1" applyBorder="1" applyAlignment="1">
      <alignment vertical="top" wrapText="1"/>
    </xf>
    <xf numFmtId="0" fontId="29" fillId="0" borderId="0" xfId="0" applyFont="1" applyFill="1" applyAlignment="1">
      <alignment vertical="top" wrapText="1"/>
    </xf>
    <xf numFmtId="187" fontId="29" fillId="8" borderId="0" xfId="0" applyNumberFormat="1" applyFont="1" applyFill="1" applyAlignment="1">
      <alignment horizontal="center" vertical="top" wrapText="1"/>
    </xf>
    <xf numFmtId="187" fontId="29" fillId="9" borderId="1" xfId="0" applyNumberFormat="1" applyFont="1" applyFill="1" applyBorder="1" applyAlignment="1">
      <alignment vertical="top" wrapText="1"/>
    </xf>
    <xf numFmtId="187" fontId="29" fillId="9" borderId="2" xfId="0" applyNumberFormat="1" applyFont="1" applyFill="1" applyBorder="1" applyAlignment="1">
      <alignment vertical="top" wrapText="1"/>
    </xf>
    <xf numFmtId="187" fontId="29" fillId="9" borderId="0" xfId="0" applyNumberFormat="1" applyFont="1" applyFill="1" applyBorder="1" applyAlignment="1">
      <alignment vertical="top" wrapText="1"/>
    </xf>
    <xf numFmtId="186" fontId="29" fillId="0" borderId="5" xfId="0" applyNumberFormat="1" applyFont="1" applyFill="1" applyBorder="1" applyAlignment="1">
      <alignment vertical="top"/>
    </xf>
    <xf numFmtId="188" fontId="29" fillId="0" borderId="5" xfId="0" applyNumberFormat="1" applyFont="1" applyFill="1" applyBorder="1" applyAlignment="1">
      <alignment vertical="top"/>
    </xf>
    <xf numFmtId="0" fontId="35" fillId="0" borderId="18" xfId="0" applyFont="1" applyFill="1" applyBorder="1" applyAlignment="1">
      <alignment vertical="center"/>
    </xf>
    <xf numFmtId="0" fontId="32" fillId="0" borderId="18" xfId="0" applyFont="1" applyFill="1" applyBorder="1" applyAlignment="1">
      <alignment vertical="center"/>
    </xf>
    <xf numFmtId="0" fontId="29" fillId="0" borderId="18" xfId="0" applyFont="1" applyFill="1" applyBorder="1" applyAlignment="1">
      <alignment horizontal="center" vertical="center"/>
    </xf>
    <xf numFmtId="0" fontId="29" fillId="0" borderId="18" xfId="0" applyFont="1" applyFill="1" applyBorder="1" applyAlignment="1">
      <alignment vertical="center"/>
    </xf>
    <xf numFmtId="186" fontId="29" fillId="0" borderId="18" xfId="0" applyNumberFormat="1" applyFont="1" applyFill="1" applyBorder="1" applyAlignment="1">
      <alignment vertical="center"/>
    </xf>
    <xf numFmtId="0" fontId="29" fillId="0" borderId="13" xfId="0" applyFont="1" applyFill="1" applyBorder="1" applyAlignment="1">
      <alignment vertical="center"/>
    </xf>
    <xf numFmtId="0" fontId="29" fillId="0" borderId="13" xfId="0" applyFont="1" applyFill="1" applyBorder="1" applyAlignment="1">
      <alignment horizontal="center" vertical="center"/>
    </xf>
    <xf numFmtId="0" fontId="29" fillId="0" borderId="1" xfId="0" applyFont="1" applyFill="1" applyBorder="1" applyAlignment="1">
      <alignment vertical="center"/>
    </xf>
    <xf numFmtId="0" fontId="29" fillId="0" borderId="13" xfId="0" applyNumberFormat="1" applyFont="1" applyFill="1" applyBorder="1" applyAlignment="1">
      <alignment vertical="center"/>
    </xf>
    <xf numFmtId="187" fontId="29" fillId="0" borderId="13" xfId="0" applyNumberFormat="1" applyFont="1" applyFill="1" applyBorder="1" applyAlignment="1">
      <alignment vertical="center"/>
    </xf>
    <xf numFmtId="187" fontId="29" fillId="4" borderId="1" xfId="0" applyNumberFormat="1" applyFont="1" applyFill="1" applyBorder="1" applyAlignment="1">
      <alignment vertical="center"/>
    </xf>
    <xf numFmtId="187" fontId="29" fillId="4" borderId="3" xfId="0" applyNumberFormat="1" applyFont="1" applyFill="1" applyBorder="1" applyAlignment="1">
      <alignment vertical="center"/>
    </xf>
    <xf numFmtId="187" fontId="29" fillId="2" borderId="1" xfId="0" applyNumberFormat="1" applyFont="1" applyFill="1" applyBorder="1" applyAlignment="1">
      <alignment vertical="center"/>
    </xf>
    <xf numFmtId="187" fontId="29" fillId="2" borderId="2" xfId="0" applyNumberFormat="1" applyFont="1" applyFill="1" applyBorder="1" applyAlignment="1">
      <alignment vertical="center"/>
    </xf>
    <xf numFmtId="187" fontId="29" fillId="2" borderId="3" xfId="0" applyNumberFormat="1" applyFont="1" applyFill="1" applyBorder="1" applyAlignment="1">
      <alignment vertical="center"/>
    </xf>
    <xf numFmtId="187" fontId="29" fillId="10" borderId="1" xfId="0" applyNumberFormat="1" applyFont="1" applyFill="1" applyBorder="1" applyAlignment="1">
      <alignment vertical="center"/>
    </xf>
    <xf numFmtId="187" fontId="29" fillId="10" borderId="2" xfId="0" applyNumberFormat="1" applyFont="1" applyFill="1" applyBorder="1" applyAlignment="1">
      <alignment vertical="center"/>
    </xf>
    <xf numFmtId="187" fontId="29" fillId="10" borderId="3" xfId="0" applyNumberFormat="1" applyFont="1" applyFill="1" applyBorder="1" applyAlignment="1">
      <alignment vertical="center"/>
    </xf>
    <xf numFmtId="187" fontId="36" fillId="6" borderId="3" xfId="0" applyNumberFormat="1" applyFont="1" applyFill="1" applyBorder="1" applyAlignment="1">
      <alignment vertical="center"/>
    </xf>
    <xf numFmtId="187" fontId="29" fillId="7" borderId="1" xfId="0" applyNumberFormat="1" applyFont="1" applyFill="1" applyBorder="1" applyAlignment="1">
      <alignment vertical="center"/>
    </xf>
    <xf numFmtId="187" fontId="29" fillId="7" borderId="2" xfId="0" applyNumberFormat="1" applyFont="1" applyFill="1" applyBorder="1" applyAlignment="1">
      <alignment vertical="center"/>
    </xf>
    <xf numFmtId="187" fontId="29" fillId="7" borderId="3" xfId="0" applyNumberFormat="1" applyFont="1" applyFill="1" applyBorder="1" applyAlignment="1">
      <alignment vertical="center"/>
    </xf>
    <xf numFmtId="187" fontId="29" fillId="11" borderId="1" xfId="0" applyNumberFormat="1" applyFont="1" applyFill="1" applyBorder="1" applyAlignment="1">
      <alignment vertical="center"/>
    </xf>
    <xf numFmtId="187" fontId="29" fillId="11" borderId="2" xfId="0" applyNumberFormat="1" applyFont="1" applyFill="1" applyBorder="1" applyAlignment="1">
      <alignment vertical="center"/>
    </xf>
    <xf numFmtId="187" fontId="29" fillId="11" borderId="3" xfId="0" applyNumberFormat="1" applyFont="1" applyFill="1" applyBorder="1" applyAlignment="1">
      <alignment vertical="center"/>
    </xf>
    <xf numFmtId="187" fontId="29" fillId="3" borderId="1" xfId="0" applyNumberFormat="1" applyFont="1" applyFill="1" applyBorder="1" applyAlignment="1">
      <alignment vertical="center"/>
    </xf>
    <xf numFmtId="187" fontId="29" fillId="3" borderId="2" xfId="0" applyNumberFormat="1" applyFont="1" applyFill="1" applyBorder="1" applyAlignment="1">
      <alignment vertical="center"/>
    </xf>
    <xf numFmtId="187" fontId="29" fillId="3" borderId="3" xfId="0" applyNumberFormat="1" applyFont="1" applyFill="1" applyBorder="1" applyAlignment="1">
      <alignment vertical="center"/>
    </xf>
    <xf numFmtId="187" fontId="29" fillId="4" borderId="2" xfId="0" applyNumberFormat="1" applyFont="1" applyFill="1" applyBorder="1" applyAlignment="1">
      <alignment vertical="center" wrapText="1"/>
    </xf>
    <xf numFmtId="187" fontId="29" fillId="4" borderId="3" xfId="0" applyNumberFormat="1" applyFont="1" applyFill="1" applyBorder="1" applyAlignment="1">
      <alignment vertical="center" wrapText="1"/>
    </xf>
    <xf numFmtId="187" fontId="29" fillId="9" borderId="0" xfId="0" applyNumberFormat="1" applyFont="1" applyFill="1" applyAlignment="1">
      <alignment vertical="center" wrapText="1"/>
    </xf>
    <xf numFmtId="186" fontId="29" fillId="0" borderId="9" xfId="0" applyNumberFormat="1" applyFont="1" applyFill="1" applyBorder="1" applyAlignment="1">
      <alignment vertical="top" wrapText="1"/>
    </xf>
    <xf numFmtId="186" fontId="29" fillId="0" borderId="10" xfId="0" applyNumberFormat="1" applyFont="1" applyFill="1" applyBorder="1" applyAlignment="1">
      <alignment vertical="top" wrapText="1"/>
    </xf>
    <xf numFmtId="186" fontId="29" fillId="0" borderId="0" xfId="0" applyNumberFormat="1" applyFont="1" applyFill="1" applyBorder="1" applyAlignment="1">
      <alignment horizontal="center" vertical="top" wrapText="1"/>
    </xf>
    <xf numFmtId="186" fontId="29" fillId="0" borderId="8" xfId="0" applyNumberFormat="1" applyFont="1" applyFill="1" applyBorder="1" applyAlignment="1">
      <alignment vertical="top"/>
    </xf>
    <xf numFmtId="188" fontId="29" fillId="0" borderId="4" xfId="0" applyNumberFormat="1" applyFont="1" applyFill="1" applyBorder="1" applyAlignment="1">
      <alignment vertical="top"/>
    </xf>
    <xf numFmtId="0" fontId="29" fillId="0" borderId="8" xfId="0" applyFont="1" applyFill="1" applyBorder="1" applyAlignment="1">
      <alignment vertical="center"/>
    </xf>
    <xf numFmtId="0" fontId="29" fillId="0" borderId="4" xfId="0" applyFont="1" applyFill="1" applyBorder="1" applyAlignment="1">
      <alignment vertical="center"/>
    </xf>
    <xf numFmtId="0" fontId="29" fillId="0" borderId="4" xfId="0" applyFont="1" applyFill="1" applyBorder="1" applyAlignment="1">
      <alignment horizontal="center" vertical="center"/>
    </xf>
    <xf numFmtId="189" fontId="29" fillId="0" borderId="18" xfId="0" applyNumberFormat="1" applyFont="1" applyFill="1" applyBorder="1" applyAlignment="1">
      <alignment vertical="center"/>
    </xf>
    <xf numFmtId="186" fontId="29" fillId="0" borderId="8" xfId="0" applyNumberFormat="1" applyFont="1" applyFill="1" applyBorder="1" applyAlignment="1">
      <alignment vertical="top" wrapText="1"/>
    </xf>
    <xf numFmtId="0" fontId="29" fillId="0" borderId="4" xfId="0" applyFont="1" applyFill="1" applyBorder="1" applyAlignment="1">
      <alignment vertical="top" wrapText="1"/>
    </xf>
    <xf numFmtId="186" fontId="29" fillId="0" borderId="0" xfId="0" applyNumberFormat="1" applyFont="1" applyFill="1" applyBorder="1" applyAlignment="1">
      <alignment vertical="center"/>
    </xf>
    <xf numFmtId="0" fontId="29" fillId="0" borderId="0" xfId="0" applyFont="1" applyFill="1" applyBorder="1" applyAlignment="1">
      <alignment vertical="center"/>
    </xf>
    <xf numFmtId="0" fontId="29" fillId="0" borderId="0" xfId="0" applyFont="1" applyFill="1" applyAlignment="1">
      <alignment vertical="center"/>
    </xf>
    <xf numFmtId="187" fontId="29" fillId="4" borderId="2" xfId="0" applyNumberFormat="1" applyFont="1" applyFill="1" applyBorder="1" applyAlignment="1">
      <alignment vertical="center"/>
    </xf>
    <xf numFmtId="187" fontId="36" fillId="6" borderId="1" xfId="0" applyNumberFormat="1" applyFont="1" applyFill="1" applyBorder="1" applyAlignment="1">
      <alignment vertical="center"/>
    </xf>
    <xf numFmtId="187" fontId="29" fillId="8" borderId="13" xfId="0" applyNumberFormat="1" applyFont="1" applyFill="1" applyBorder="1" applyAlignment="1">
      <alignment vertical="center" wrapText="1"/>
    </xf>
    <xf numFmtId="187" fontId="29" fillId="0" borderId="0" xfId="0" applyNumberFormat="1" applyFont="1" applyFill="1" applyAlignment="1">
      <alignment vertical="center"/>
    </xf>
    <xf numFmtId="187" fontId="29" fillId="4" borderId="1" xfId="0" applyNumberFormat="1" applyFont="1" applyFill="1" applyBorder="1" applyAlignment="1">
      <alignment vertical="center" wrapText="1"/>
    </xf>
    <xf numFmtId="187" fontId="29" fillId="3" borderId="5" xfId="0" applyNumberFormat="1" applyFont="1" applyFill="1" applyBorder="1" applyAlignment="1">
      <alignment vertical="center"/>
    </xf>
    <xf numFmtId="187" fontId="29" fillId="4" borderId="13" xfId="0" applyNumberFormat="1" applyFont="1" applyFill="1" applyBorder="1" applyAlignment="1">
      <alignment vertical="center" wrapText="1"/>
    </xf>
    <xf numFmtId="0" fontId="29" fillId="0" borderId="9" xfId="0" applyFont="1" applyFill="1" applyBorder="1" applyAlignment="1">
      <alignment vertical="top"/>
    </xf>
    <xf numFmtId="186" fontId="29" fillId="0" borderId="10" xfId="0" applyNumberFormat="1" applyFont="1" applyFill="1" applyBorder="1" applyAlignment="1">
      <alignment vertical="top"/>
    </xf>
    <xf numFmtId="188" fontId="29" fillId="0" borderId="10" xfId="0" applyNumberFormat="1" applyFont="1" applyFill="1" applyBorder="1" applyAlignment="1"/>
    <xf numFmtId="188" fontId="29" fillId="0" borderId="11" xfId="0" applyNumberFormat="1" applyFont="1" applyFill="1" applyBorder="1" applyAlignment="1"/>
    <xf numFmtId="0" fontId="35" fillId="5" borderId="14" xfId="0" applyFont="1" applyFill="1" applyBorder="1" applyAlignment="1">
      <alignment vertical="center" wrapText="1"/>
    </xf>
    <xf numFmtId="0" fontId="32" fillId="0" borderId="18" xfId="0" applyFont="1" applyFill="1" applyBorder="1" applyAlignment="1">
      <alignment vertical="center" wrapText="1"/>
    </xf>
    <xf numFmtId="0" fontId="30" fillId="0" borderId="18" xfId="0" applyFont="1" applyFill="1" applyBorder="1" applyAlignment="1">
      <alignment horizontal="center" vertical="center" wrapText="1"/>
    </xf>
    <xf numFmtId="0" fontId="29" fillId="5" borderId="18" xfId="0" applyFont="1" applyFill="1" applyBorder="1" applyAlignment="1">
      <alignment horizontal="center" vertical="center" wrapText="1"/>
    </xf>
    <xf numFmtId="0" fontId="36" fillId="0" borderId="18" xfId="0" applyFont="1" applyFill="1" applyBorder="1" applyAlignment="1">
      <alignment vertical="center" wrapText="1"/>
    </xf>
    <xf numFmtId="186" fontId="29" fillId="0" borderId="18" xfId="0" applyNumberFormat="1" applyFont="1" applyFill="1" applyBorder="1" applyAlignment="1">
      <alignment vertical="center" wrapText="1"/>
    </xf>
    <xf numFmtId="0" fontId="29" fillId="0" borderId="18" xfId="0" applyFont="1" applyFill="1" applyBorder="1" applyAlignment="1">
      <alignment vertical="center" wrapText="1"/>
    </xf>
    <xf numFmtId="0" fontId="29" fillId="0" borderId="18" xfId="0" applyFont="1" applyFill="1" applyBorder="1" applyAlignment="1">
      <alignment horizontal="center" vertical="center" wrapText="1"/>
    </xf>
    <xf numFmtId="0" fontId="29" fillId="0" borderId="13" xfId="0" applyNumberFormat="1" applyFont="1" applyFill="1" applyBorder="1" applyAlignment="1">
      <alignment vertical="top" wrapText="1"/>
    </xf>
    <xf numFmtId="187" fontId="29" fillId="0" borderId="18" xfId="0" applyNumberFormat="1" applyFont="1" applyFill="1" applyBorder="1" applyAlignment="1">
      <alignment vertical="center" wrapText="1"/>
    </xf>
    <xf numFmtId="187" fontId="29" fillId="0" borderId="13" xfId="0" applyNumberFormat="1" applyFont="1" applyFill="1" applyBorder="1" applyAlignment="1">
      <alignment vertical="center" wrapText="1"/>
    </xf>
    <xf numFmtId="187" fontId="29" fillId="5" borderId="13" xfId="0" applyNumberFormat="1" applyFont="1" applyFill="1" applyBorder="1" applyAlignment="1">
      <alignment vertical="center" wrapText="1"/>
    </xf>
    <xf numFmtId="187" fontId="29" fillId="5" borderId="18" xfId="0" applyNumberFormat="1" applyFont="1" applyFill="1" applyBorder="1" applyAlignment="1">
      <alignment vertical="center" wrapText="1"/>
    </xf>
    <xf numFmtId="187" fontId="39" fillId="0" borderId="18" xfId="0" applyNumberFormat="1" applyFont="1" applyFill="1" applyBorder="1" applyAlignment="1">
      <alignment vertical="center" wrapText="1"/>
    </xf>
    <xf numFmtId="187" fontId="29" fillId="4" borderId="18" xfId="0" applyNumberFormat="1" applyFont="1" applyFill="1" applyBorder="1" applyAlignment="1">
      <alignment vertical="center" wrapText="1"/>
    </xf>
    <xf numFmtId="187" fontId="40" fillId="0" borderId="13" xfId="0" applyNumberFormat="1" applyFont="1" applyFill="1" applyBorder="1" applyAlignment="1">
      <alignment vertical="center" wrapText="1"/>
    </xf>
    <xf numFmtId="187" fontId="29" fillId="0" borderId="14" xfId="0" applyNumberFormat="1" applyFont="1" applyFill="1" applyBorder="1" applyAlignment="1">
      <alignment vertical="center" wrapText="1"/>
    </xf>
    <xf numFmtId="187" fontId="41" fillId="8" borderId="0" xfId="0" applyNumberFormat="1" applyFont="1" applyFill="1" applyAlignment="1">
      <alignment vertical="center" wrapText="1"/>
    </xf>
    <xf numFmtId="187" fontId="41" fillId="12" borderId="0" xfId="0" applyNumberFormat="1" applyFont="1" applyFill="1" applyAlignment="1">
      <alignment vertical="center" wrapText="1"/>
    </xf>
    <xf numFmtId="187" fontId="29" fillId="9" borderId="13" xfId="0" applyNumberFormat="1" applyFont="1" applyFill="1" applyBorder="1" applyAlignment="1">
      <alignment vertical="center" wrapText="1"/>
    </xf>
    <xf numFmtId="186" fontId="29" fillId="0" borderId="13" xfId="0" applyNumberFormat="1" applyFont="1" applyFill="1" applyBorder="1" applyAlignment="1">
      <alignment vertical="center"/>
    </xf>
    <xf numFmtId="188" fontId="29" fillId="4" borderId="13" xfId="0" applyNumberFormat="1" applyFont="1" applyFill="1" applyBorder="1" applyAlignment="1">
      <alignment vertical="center"/>
    </xf>
    <xf numFmtId="0" fontId="29" fillId="0" borderId="13" xfId="0" applyFont="1" applyFill="1" applyBorder="1" applyAlignment="1">
      <alignment vertical="center" wrapText="1"/>
    </xf>
    <xf numFmtId="0" fontId="29" fillId="0" borderId="13" xfId="0" applyFont="1" applyFill="1" applyBorder="1" applyAlignment="1">
      <alignment horizontal="center" vertical="center" wrapText="1"/>
    </xf>
    <xf numFmtId="186" fontId="29" fillId="0" borderId="13" xfId="0" applyNumberFormat="1" applyFont="1" applyFill="1" applyBorder="1" applyAlignment="1">
      <alignment vertical="center" wrapText="1"/>
    </xf>
    <xf numFmtId="0" fontId="34" fillId="0" borderId="13" xfId="0" applyFont="1" applyFill="1" applyBorder="1" applyAlignment="1">
      <alignment vertical="center" wrapText="1"/>
    </xf>
    <xf numFmtId="0" fontId="29" fillId="0" borderId="0" xfId="0" applyFont="1" applyFill="1" applyAlignment="1">
      <alignment vertical="center" wrapText="1"/>
    </xf>
    <xf numFmtId="187" fontId="29" fillId="4" borderId="12" xfId="0" applyNumberFormat="1" applyFont="1" applyFill="1" applyBorder="1" applyAlignment="1">
      <alignment vertical="center" wrapText="1"/>
    </xf>
    <xf numFmtId="187" fontId="29" fillId="4" borderId="14" xfId="0" applyNumberFormat="1" applyFont="1" applyFill="1" applyBorder="1" applyAlignment="1">
      <alignment vertical="center" wrapText="1"/>
    </xf>
    <xf numFmtId="187" fontId="44" fillId="0" borderId="18" xfId="0" applyNumberFormat="1" applyFont="1" applyFill="1" applyBorder="1" applyAlignment="1">
      <alignment vertical="center" wrapText="1"/>
    </xf>
    <xf numFmtId="187" fontId="29" fillId="8" borderId="14" xfId="0" applyNumberFormat="1" applyFont="1" applyFill="1" applyBorder="1" applyAlignment="1">
      <alignment vertical="center" wrapText="1"/>
    </xf>
    <xf numFmtId="187" fontId="29" fillId="0" borderId="0" xfId="0" applyNumberFormat="1" applyFont="1" applyFill="1" applyAlignment="1">
      <alignment vertical="center" wrapText="1"/>
    </xf>
    <xf numFmtId="187" fontId="41" fillId="8" borderId="9" xfId="0" applyNumberFormat="1" applyFont="1" applyFill="1" applyBorder="1" applyAlignment="1">
      <alignment vertical="center" wrapText="1"/>
    </xf>
    <xf numFmtId="187" fontId="41" fillId="8" borderId="10" xfId="0" applyNumberFormat="1" applyFont="1" applyFill="1" applyBorder="1" applyAlignment="1">
      <alignment vertical="center" wrapText="1"/>
    </xf>
    <xf numFmtId="187" fontId="41" fillId="12" borderId="10" xfId="0" applyNumberFormat="1" applyFont="1" applyFill="1" applyBorder="1" applyAlignment="1">
      <alignment vertical="center" wrapText="1"/>
    </xf>
    <xf numFmtId="187" fontId="29" fillId="0" borderId="12" xfId="0" applyNumberFormat="1" applyFont="1" applyFill="1" applyBorder="1" applyAlignment="1">
      <alignment vertical="center" wrapText="1"/>
    </xf>
    <xf numFmtId="0" fontId="29" fillId="0" borderId="12" xfId="0" applyFont="1" applyFill="1" applyBorder="1" applyAlignment="1">
      <alignment vertical="center" wrapText="1"/>
    </xf>
    <xf numFmtId="186" fontId="29" fillId="0" borderId="12" xfId="0" applyNumberFormat="1" applyFont="1" applyFill="1" applyBorder="1" applyAlignment="1">
      <alignment vertical="center" wrapText="1"/>
    </xf>
    <xf numFmtId="188" fontId="29" fillId="4" borderId="12" xfId="0" applyNumberFormat="1" applyFont="1" applyFill="1" applyBorder="1" applyAlignment="1">
      <alignment vertical="center" wrapText="1"/>
    </xf>
    <xf numFmtId="0" fontId="35" fillId="5" borderId="12" xfId="0" applyFont="1" applyFill="1" applyBorder="1">
      <alignment vertical="center"/>
    </xf>
    <xf numFmtId="0" fontId="32" fillId="0" borderId="12" xfId="0" applyFont="1" applyBorder="1" applyAlignment="1">
      <alignment vertical="center"/>
    </xf>
    <xf numFmtId="0" fontId="0" fillId="0" borderId="12" xfId="0" applyFont="1" applyBorder="1" applyAlignment="1">
      <alignment horizontal="center" vertical="center"/>
    </xf>
    <xf numFmtId="0" fontId="0" fillId="5" borderId="12" xfId="0" applyFont="1" applyFill="1" applyBorder="1" applyAlignment="1">
      <alignment horizontal="center" vertical="center" shrinkToFit="1"/>
    </xf>
    <xf numFmtId="0" fontId="0" fillId="0" borderId="12" xfId="0" applyFont="1" applyBorder="1">
      <alignment vertical="center"/>
    </xf>
    <xf numFmtId="186" fontId="0" fillId="0" borderId="12" xfId="0" applyNumberFormat="1" applyFont="1" applyBorder="1">
      <alignment vertical="center"/>
    </xf>
    <xf numFmtId="0" fontId="0" fillId="5" borderId="12" xfId="0" applyFont="1" applyFill="1" applyBorder="1">
      <alignment vertical="center"/>
    </xf>
    <xf numFmtId="0" fontId="0" fillId="5" borderId="12" xfId="0" applyFont="1" applyFill="1" applyBorder="1" applyAlignment="1">
      <alignment horizontal="center" vertical="center"/>
    </xf>
    <xf numFmtId="0" fontId="0" fillId="5" borderId="12" xfId="0" applyNumberFormat="1" applyFont="1" applyFill="1" applyBorder="1" applyAlignment="1">
      <alignment vertical="center"/>
    </xf>
    <xf numFmtId="187" fontId="0" fillId="5" borderId="12" xfId="0" applyNumberFormat="1" applyFont="1" applyFill="1" applyBorder="1">
      <alignment vertical="center"/>
    </xf>
    <xf numFmtId="187" fontId="0" fillId="4" borderId="12" xfId="0" applyNumberFormat="1" applyFont="1" applyFill="1" applyBorder="1">
      <alignment vertical="center"/>
    </xf>
    <xf numFmtId="187" fontId="32" fillId="4" borderId="12" xfId="0" applyNumberFormat="1" applyFont="1" applyFill="1" applyBorder="1">
      <alignment vertical="center"/>
    </xf>
    <xf numFmtId="187" fontId="0" fillId="0" borderId="12" xfId="0" applyNumberFormat="1" applyFont="1" applyFill="1" applyBorder="1">
      <alignment vertical="center"/>
    </xf>
    <xf numFmtId="185" fontId="0" fillId="0" borderId="12" xfId="0" applyNumberFormat="1" applyFont="1" applyFill="1" applyBorder="1">
      <alignment vertical="center"/>
    </xf>
    <xf numFmtId="187" fontId="0" fillId="0" borderId="12" xfId="0" applyNumberFormat="1" applyFont="1" applyBorder="1">
      <alignment vertical="center"/>
    </xf>
    <xf numFmtId="186" fontId="0" fillId="5" borderId="1" xfId="0" applyNumberFormat="1" applyFont="1" applyFill="1" applyBorder="1">
      <alignment vertical="center"/>
    </xf>
    <xf numFmtId="0" fontId="0" fillId="5" borderId="2" xfId="0" applyNumberFormat="1" applyFont="1" applyFill="1" applyBorder="1">
      <alignment vertical="center"/>
    </xf>
    <xf numFmtId="186" fontId="0" fillId="5" borderId="2" xfId="0" applyNumberFormat="1" applyFont="1" applyFill="1" applyBorder="1">
      <alignment vertical="center"/>
    </xf>
    <xf numFmtId="0" fontId="0" fillId="5" borderId="3" xfId="0" applyNumberFormat="1" applyFont="1" applyFill="1" applyBorder="1">
      <alignment vertical="center"/>
    </xf>
    <xf numFmtId="188" fontId="0" fillId="4" borderId="12" xfId="0" applyNumberFormat="1" applyFont="1" applyFill="1" applyBorder="1">
      <alignment vertical="center"/>
    </xf>
    <xf numFmtId="38" fontId="0" fillId="5" borderId="12" xfId="1" applyFont="1" applyFill="1" applyBorder="1">
      <alignment vertical="center"/>
    </xf>
    <xf numFmtId="0" fontId="0" fillId="0" borderId="0" xfId="0" applyFont="1" applyFill="1">
      <alignment vertical="center"/>
    </xf>
    <xf numFmtId="181" fontId="0" fillId="0" borderId="12" xfId="0" applyNumberFormat="1" applyFont="1" applyFill="1" applyBorder="1">
      <alignment vertical="center"/>
    </xf>
    <xf numFmtId="0" fontId="0" fillId="0" borderId="12" xfId="0" applyFont="1" applyFill="1" applyBorder="1">
      <alignment vertical="center"/>
    </xf>
    <xf numFmtId="186" fontId="0" fillId="0" borderId="12" xfId="0" applyNumberFormat="1" applyFont="1" applyFill="1" applyBorder="1">
      <alignment vertical="center"/>
    </xf>
    <xf numFmtId="0" fontId="0" fillId="0" borderId="0" xfId="0" applyFont="1">
      <alignment vertical="center"/>
    </xf>
    <xf numFmtId="0" fontId="29" fillId="13" borderId="0" xfId="0" applyFont="1" applyFill="1">
      <alignment vertical="center"/>
    </xf>
    <xf numFmtId="0" fontId="32" fillId="0" borderId="12" xfId="0" applyFont="1" applyFill="1" applyBorder="1" applyAlignment="1">
      <alignment vertical="center"/>
    </xf>
    <xf numFmtId="0" fontId="0" fillId="0" borderId="12" xfId="0" applyFont="1" applyFill="1" applyBorder="1" applyAlignment="1">
      <alignment horizontal="center" vertical="center"/>
    </xf>
    <xf numFmtId="0" fontId="35" fillId="14" borderId="12" xfId="0" applyFont="1" applyFill="1" applyBorder="1">
      <alignment vertical="center"/>
    </xf>
    <xf numFmtId="0" fontId="32" fillId="14" borderId="12" xfId="0" applyFont="1" applyFill="1" applyBorder="1" applyAlignment="1">
      <alignment vertical="center"/>
    </xf>
    <xf numFmtId="0" fontId="0" fillId="14" borderId="12" xfId="0" applyFont="1" applyFill="1" applyBorder="1" applyAlignment="1">
      <alignment horizontal="center" vertical="center"/>
    </xf>
    <xf numFmtId="0" fontId="0" fillId="14" borderId="12" xfId="0" applyFont="1" applyFill="1" applyBorder="1" applyAlignment="1">
      <alignment horizontal="center" vertical="center" shrinkToFit="1"/>
    </xf>
    <xf numFmtId="0" fontId="0" fillId="14" borderId="12" xfId="0" applyFont="1" applyFill="1" applyBorder="1">
      <alignment vertical="center"/>
    </xf>
    <xf numFmtId="186" fontId="0" fillId="14" borderId="12" xfId="0" applyNumberFormat="1" applyFont="1" applyFill="1" applyBorder="1">
      <alignment vertical="center"/>
    </xf>
    <xf numFmtId="0" fontId="0" fillId="14" borderId="12" xfId="0" applyNumberFormat="1" applyFont="1" applyFill="1" applyBorder="1" applyAlignment="1">
      <alignment vertical="center"/>
    </xf>
    <xf numFmtId="187" fontId="0" fillId="14" borderId="12" xfId="0" applyNumberFormat="1" applyFont="1" applyFill="1" applyBorder="1">
      <alignment vertical="center"/>
    </xf>
    <xf numFmtId="187" fontId="32" fillId="14" borderId="12" xfId="0" applyNumberFormat="1" applyFont="1" applyFill="1" applyBorder="1">
      <alignment vertical="center"/>
    </xf>
    <xf numFmtId="185" fontId="0" fillId="14" borderId="12" xfId="0" applyNumberFormat="1" applyFont="1" applyFill="1" applyBorder="1">
      <alignment vertical="center"/>
    </xf>
    <xf numFmtId="186" fontId="0" fillId="14" borderId="1" xfId="0" applyNumberFormat="1" applyFont="1" applyFill="1" applyBorder="1">
      <alignment vertical="center"/>
    </xf>
    <xf numFmtId="186" fontId="0" fillId="14" borderId="2" xfId="0" applyNumberFormat="1" applyFont="1" applyFill="1" applyBorder="1">
      <alignment vertical="center"/>
    </xf>
    <xf numFmtId="186" fontId="0" fillId="14" borderId="3" xfId="0" applyNumberFormat="1" applyFont="1" applyFill="1" applyBorder="1">
      <alignment vertical="center"/>
    </xf>
    <xf numFmtId="188" fontId="0" fillId="14" borderId="12" xfId="0" applyNumberFormat="1" applyFont="1" applyFill="1" applyBorder="1">
      <alignment vertical="center"/>
    </xf>
    <xf numFmtId="38" fontId="0" fillId="14" borderId="12" xfId="1" applyFont="1" applyFill="1" applyBorder="1">
      <alignment vertical="center"/>
    </xf>
    <xf numFmtId="0" fontId="0" fillId="14" borderId="0" xfId="0" applyFont="1" applyFill="1">
      <alignment vertical="center"/>
    </xf>
    <xf numFmtId="181" fontId="0" fillId="14" borderId="12" xfId="0" applyNumberFormat="1" applyFont="1" applyFill="1" applyBorder="1">
      <alignment vertical="center"/>
    </xf>
    <xf numFmtId="0" fontId="46" fillId="0" borderId="12" xfId="0" applyFont="1" applyBorder="1" applyAlignment="1">
      <alignment vertical="center"/>
    </xf>
    <xf numFmtId="0" fontId="0" fillId="5" borderId="12" xfId="0" applyNumberFormat="1" applyFont="1" applyFill="1" applyBorder="1" applyAlignment="1">
      <alignment horizontal="center" vertical="center"/>
    </xf>
    <xf numFmtId="0" fontId="0" fillId="5" borderId="12" xfId="0" applyFont="1" applyFill="1" applyBorder="1" applyAlignment="1">
      <alignment vertical="center"/>
    </xf>
    <xf numFmtId="178" fontId="0" fillId="5" borderId="1" xfId="0" applyNumberFormat="1" applyFont="1" applyFill="1" applyBorder="1">
      <alignment vertical="center"/>
    </xf>
    <xf numFmtId="0" fontId="0" fillId="0" borderId="12" xfId="0" applyNumberFormat="1" applyFont="1" applyBorder="1">
      <alignment vertical="center"/>
    </xf>
    <xf numFmtId="187" fontId="0" fillId="4" borderId="12" xfId="0" applyNumberFormat="1" applyFont="1" applyFill="1" applyBorder="1" applyAlignment="1">
      <alignment horizontal="right" vertical="center"/>
    </xf>
    <xf numFmtId="187" fontId="47" fillId="0" borderId="0" xfId="0" applyNumberFormat="1" applyFont="1">
      <alignment vertical="center"/>
    </xf>
    <xf numFmtId="187" fontId="29" fillId="13" borderId="0" xfId="0" applyNumberFormat="1" applyFont="1" applyFill="1">
      <alignment vertical="center"/>
    </xf>
    <xf numFmtId="0" fontId="32" fillId="13" borderId="0" xfId="0" applyFont="1" applyFill="1" applyAlignment="1">
      <alignment vertical="center"/>
    </xf>
    <xf numFmtId="187" fontId="29" fillId="13" borderId="0" xfId="0" applyNumberFormat="1" applyFont="1" applyFill="1" applyAlignment="1">
      <alignment horizontal="center" vertical="center"/>
    </xf>
    <xf numFmtId="186" fontId="29" fillId="13" borderId="0" xfId="0" applyNumberFormat="1" applyFont="1" applyFill="1">
      <alignment vertical="center"/>
    </xf>
    <xf numFmtId="0" fontId="29" fillId="13" borderId="0" xfId="0" applyFont="1" applyFill="1" applyAlignment="1">
      <alignment horizontal="center" vertical="center"/>
    </xf>
    <xf numFmtId="0" fontId="29" fillId="13" borderId="0" xfId="0" applyNumberFormat="1" applyFont="1" applyFill="1" applyAlignment="1">
      <alignment vertical="center"/>
    </xf>
    <xf numFmtId="49" fontId="3" fillId="0" borderId="0" xfId="0" applyNumberFormat="1" applyFont="1" applyAlignment="1" applyProtection="1">
      <alignment vertical="center"/>
      <protection locked="0"/>
    </xf>
    <xf numFmtId="0" fontId="48" fillId="0" borderId="0" xfId="0" applyNumberFormat="1" applyFont="1" applyFill="1" applyAlignment="1" applyProtection="1">
      <alignment vertical="center"/>
      <protection locked="0"/>
    </xf>
    <xf numFmtId="49" fontId="48" fillId="0" borderId="0" xfId="0" applyNumberFormat="1" applyFont="1" applyFill="1" applyAlignment="1" applyProtection="1">
      <alignment vertical="center"/>
      <protection locked="0"/>
    </xf>
    <xf numFmtId="0" fontId="3" fillId="0" borderId="0" xfId="0" applyFont="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center" vertical="center"/>
    </xf>
    <xf numFmtId="0" fontId="3" fillId="0" borderId="0" xfId="0" applyFont="1" applyBorder="1" applyAlignment="1" applyProtection="1">
      <alignment horizontal="left" vertical="center"/>
    </xf>
    <xf numFmtId="0" fontId="5" fillId="0" borderId="0" xfId="0" applyFont="1" applyProtection="1">
      <alignment vertical="center"/>
    </xf>
    <xf numFmtId="0" fontId="3" fillId="0" borderId="0" xfId="0" applyFont="1" applyBorder="1" applyProtection="1">
      <alignment vertical="center"/>
    </xf>
    <xf numFmtId="0" fontId="3" fillId="3" borderId="0" xfId="0" applyFont="1" applyFill="1" applyProtection="1">
      <alignment vertical="center"/>
    </xf>
    <xf numFmtId="181" fontId="0" fillId="5" borderId="12" xfId="0" applyNumberFormat="1" applyFont="1" applyFill="1" applyBorder="1">
      <alignment vertical="center"/>
    </xf>
    <xf numFmtId="0" fontId="3" fillId="0" borderId="0" xfId="0" applyFont="1" applyFill="1" applyProtection="1">
      <alignment vertical="center"/>
    </xf>
    <xf numFmtId="0" fontId="3" fillId="0" borderId="12" xfId="0" applyFont="1" applyBorder="1" applyAlignment="1" applyProtection="1">
      <alignment horizontal="center" vertical="center"/>
      <protection locked="0"/>
    </xf>
    <xf numFmtId="0" fontId="3" fillId="0" borderId="0" xfId="0" applyFont="1" applyAlignment="1">
      <alignment horizontal="left" vertical="center" wrapText="1"/>
    </xf>
    <xf numFmtId="0" fontId="24" fillId="3" borderId="1" xfId="0" applyFont="1" applyFill="1" applyBorder="1" applyAlignment="1" applyProtection="1">
      <alignment horizontal="center" vertical="center"/>
      <protection locked="0"/>
    </xf>
    <xf numFmtId="0" fontId="24" fillId="3" borderId="2" xfId="0" applyFont="1" applyFill="1" applyBorder="1" applyAlignment="1" applyProtection="1">
      <alignment horizontal="center" vertical="center"/>
      <protection locked="0"/>
    </xf>
    <xf numFmtId="0" fontId="24" fillId="3" borderId="3" xfId="0" applyFont="1" applyFill="1" applyBorder="1" applyAlignment="1" applyProtection="1">
      <alignment horizontal="center" vertical="center"/>
      <protection locked="0"/>
    </xf>
    <xf numFmtId="0" fontId="3" fillId="0" borderId="7" xfId="0" applyFont="1" applyBorder="1" applyAlignment="1">
      <alignment horizontal="center" vertical="center"/>
    </xf>
    <xf numFmtId="0" fontId="3" fillId="0" borderId="11" xfId="0" applyFont="1" applyBorder="1" applyAlignment="1">
      <alignment horizontal="center" vertical="center"/>
    </xf>
    <xf numFmtId="177" fontId="3" fillId="0" borderId="5" xfId="0" applyNumberFormat="1" applyFont="1" applyBorder="1" applyAlignment="1" applyProtection="1">
      <alignment horizontal="center" vertical="center"/>
      <protection locked="0"/>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177" fontId="3" fillId="0" borderId="10" xfId="0" applyNumberFormat="1" applyFont="1" applyBorder="1" applyAlignment="1" applyProtection="1">
      <alignment horizontal="center" vertical="center"/>
      <protection locked="0"/>
    </xf>
    <xf numFmtId="182" fontId="3" fillId="2" borderId="1" xfId="0" applyNumberFormat="1" applyFont="1" applyFill="1" applyBorder="1" applyAlignment="1">
      <alignment horizontal="center" vertical="center"/>
    </xf>
    <xf numFmtId="182" fontId="3" fillId="2" borderId="2" xfId="0" applyNumberFormat="1" applyFont="1" applyFill="1" applyBorder="1" applyAlignment="1">
      <alignment horizontal="center" vertical="center"/>
    </xf>
    <xf numFmtId="0" fontId="3" fillId="0" borderId="12" xfId="0" applyFont="1" applyBorder="1" applyAlignment="1">
      <alignment horizontal="center" vertical="center"/>
    </xf>
    <xf numFmtId="0" fontId="3" fillId="0" borderId="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7" xfId="0" applyFont="1" applyBorder="1" applyAlignment="1">
      <alignment horizontal="center" vertical="center" shrinkToFit="1"/>
    </xf>
    <xf numFmtId="183" fontId="3" fillId="0" borderId="1" xfId="0" applyNumberFormat="1" applyFont="1" applyBorder="1" applyAlignment="1" applyProtection="1">
      <alignment horizontal="right" vertical="center"/>
      <protection locked="0"/>
    </xf>
    <xf numFmtId="183" fontId="3" fillId="0" borderId="2" xfId="0" applyNumberFormat="1" applyFont="1" applyBorder="1" applyAlignment="1" applyProtection="1">
      <alignment horizontal="right" vertical="center"/>
      <protection locked="0"/>
    </xf>
    <xf numFmtId="183" fontId="3" fillId="0" borderId="3" xfId="0" applyNumberFormat="1" applyFont="1" applyBorder="1" applyAlignment="1" applyProtection="1">
      <alignment horizontal="right" vertical="center"/>
      <protection locked="0"/>
    </xf>
    <xf numFmtId="0" fontId="3" fillId="0" borderId="6"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1"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178" fontId="3" fillId="0" borderId="1" xfId="0" applyNumberFormat="1" applyFont="1" applyFill="1" applyBorder="1" applyAlignment="1" applyProtection="1">
      <alignment horizontal="right" vertical="center"/>
      <protection locked="0"/>
    </xf>
    <xf numFmtId="178" fontId="3" fillId="0" borderId="2" xfId="0" applyNumberFormat="1" applyFont="1" applyFill="1" applyBorder="1" applyAlignment="1" applyProtection="1">
      <alignment horizontal="right" vertical="center"/>
      <protection locked="0"/>
    </xf>
    <xf numFmtId="177" fontId="3" fillId="0" borderId="2" xfId="0" applyNumberFormat="1" applyFont="1" applyFill="1" applyBorder="1" applyAlignment="1" applyProtection="1">
      <alignment horizontal="center" vertical="center"/>
      <protection locked="0"/>
    </xf>
    <xf numFmtId="181" fontId="3" fillId="2" borderId="1" xfId="0" applyNumberFormat="1" applyFont="1" applyFill="1" applyBorder="1" applyAlignment="1">
      <alignment horizontal="center" vertical="center"/>
    </xf>
    <xf numFmtId="181" fontId="3" fillId="2" borderId="2" xfId="0" applyNumberFormat="1" applyFont="1" applyFill="1" applyBorder="1" applyAlignment="1">
      <alignment horizontal="center" vertical="center"/>
    </xf>
    <xf numFmtId="0" fontId="7" fillId="0" borderId="0" xfId="0" applyFont="1" applyAlignment="1">
      <alignment horizontal="left" vertical="center" wrapText="1"/>
    </xf>
    <xf numFmtId="0" fontId="8" fillId="0" borderId="0" xfId="0" applyFont="1" applyAlignment="1">
      <alignment horizontal="left" vertical="center" wrapText="1"/>
    </xf>
    <xf numFmtId="181" fontId="3" fillId="2" borderId="6" xfId="0" applyNumberFormat="1" applyFont="1" applyFill="1" applyBorder="1" applyAlignment="1">
      <alignment horizontal="center" vertical="center"/>
    </xf>
    <xf numFmtId="181" fontId="3" fillId="2" borderId="5" xfId="0" applyNumberFormat="1" applyFont="1" applyFill="1" applyBorder="1" applyAlignment="1">
      <alignment horizontal="center" vertical="center"/>
    </xf>
    <xf numFmtId="181" fontId="3" fillId="2" borderId="7" xfId="0" applyNumberFormat="1" applyFont="1" applyFill="1" applyBorder="1" applyAlignment="1">
      <alignment horizontal="center" vertical="center"/>
    </xf>
    <xf numFmtId="181" fontId="3" fillId="2" borderId="9" xfId="0" applyNumberFormat="1" applyFont="1" applyFill="1" applyBorder="1" applyAlignment="1">
      <alignment horizontal="center" vertical="center"/>
    </xf>
    <xf numFmtId="181" fontId="3" fillId="2" borderId="10" xfId="0" applyNumberFormat="1" applyFont="1" applyFill="1" applyBorder="1" applyAlignment="1">
      <alignment horizontal="center" vertical="center"/>
    </xf>
    <xf numFmtId="181" fontId="3" fillId="2" borderId="11" xfId="0" applyNumberFormat="1" applyFont="1" applyFill="1" applyBorder="1" applyAlignment="1">
      <alignment horizontal="center" vertical="center"/>
    </xf>
    <xf numFmtId="0" fontId="3" fillId="0" borderId="0" xfId="0" applyFont="1" applyBorder="1" applyAlignment="1">
      <alignment horizontal="left" vertical="center"/>
    </xf>
    <xf numFmtId="0" fontId="3" fillId="0" borderId="12" xfId="0" applyFont="1" applyBorder="1" applyAlignment="1">
      <alignment horizontal="left" vertical="center"/>
    </xf>
    <xf numFmtId="0" fontId="11" fillId="0" borderId="0" xfId="0" applyFont="1" applyAlignment="1">
      <alignment horizontal="left" vertical="center" wrapText="1"/>
    </xf>
    <xf numFmtId="0" fontId="3" fillId="0" borderId="9" xfId="0" applyFont="1" applyBorder="1" applyAlignment="1">
      <alignment horizontal="left" vertical="center" shrinkToFit="1"/>
    </xf>
    <xf numFmtId="0" fontId="3" fillId="0" borderId="10" xfId="0" applyFont="1" applyBorder="1" applyAlignment="1">
      <alignment horizontal="left" vertical="center" shrinkToFit="1"/>
    </xf>
    <xf numFmtId="0" fontId="3" fillId="0" borderId="11" xfId="0" applyFont="1" applyBorder="1" applyAlignment="1">
      <alignment horizontal="left" vertical="center" shrinkToFit="1"/>
    </xf>
    <xf numFmtId="0" fontId="9" fillId="0" borderId="0" xfId="0" applyFont="1" applyAlignment="1">
      <alignment horizontal="left" vertical="center" wrapText="1"/>
    </xf>
    <xf numFmtId="0" fontId="2" fillId="0" borderId="0" xfId="0" applyFont="1" applyAlignment="1">
      <alignment horizontal="left" vertical="center" wrapText="1"/>
    </xf>
    <xf numFmtId="0" fontId="3" fillId="0" borderId="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7" fillId="0" borderId="12" xfId="0" applyFont="1" applyBorder="1" applyAlignment="1">
      <alignment horizontal="center" vertical="center" wrapText="1"/>
    </xf>
    <xf numFmtId="0" fontId="5" fillId="0" borderId="0" xfId="0" applyFont="1" applyAlignment="1">
      <alignment horizontal="left" vertical="center" wrapText="1"/>
    </xf>
    <xf numFmtId="0" fontId="5" fillId="0" borderId="4" xfId="0" applyFont="1" applyBorder="1" applyAlignment="1">
      <alignment horizontal="left" vertical="center" wrapText="1"/>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49" fontId="3" fillId="0" borderId="2" xfId="0" applyNumberFormat="1" applyFont="1" applyBorder="1" applyAlignment="1" applyProtection="1">
      <alignment horizontal="center" vertical="center"/>
      <protection locked="0"/>
    </xf>
    <xf numFmtId="49" fontId="3" fillId="0" borderId="3" xfId="0" applyNumberFormat="1" applyFont="1" applyBorder="1" applyAlignment="1" applyProtection="1">
      <alignment horizontal="center" vertical="center"/>
      <protection locked="0"/>
    </xf>
    <xf numFmtId="0" fontId="3" fillId="0" borderId="12" xfId="0" applyFont="1" applyBorder="1" applyAlignment="1" applyProtection="1">
      <alignment horizontal="center" vertical="center" wrapText="1"/>
      <protection locked="0"/>
    </xf>
    <xf numFmtId="0" fontId="3" fillId="0" borderId="0" xfId="0" applyFont="1" applyBorder="1" applyAlignment="1">
      <alignment horizontal="left" vertical="center" wrapText="1"/>
    </xf>
    <xf numFmtId="0" fontId="13" fillId="0" borderId="0" xfId="0" applyFont="1" applyAlignment="1">
      <alignment horizontal="left" vertical="top"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2" fillId="0" borderId="0" xfId="0" applyFont="1" applyAlignment="1">
      <alignment horizontal="left" vertical="top"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178" fontId="3" fillId="0" borderId="10" xfId="0" applyNumberFormat="1" applyFont="1" applyBorder="1" applyAlignment="1" applyProtection="1">
      <alignment horizontal="right" vertical="center"/>
      <protection locked="0"/>
    </xf>
    <xf numFmtId="0" fontId="3" fillId="0" borderId="6" xfId="0" applyFont="1" applyBorder="1" applyAlignment="1">
      <alignment horizontal="left" vertical="center" wrapText="1"/>
    </xf>
    <xf numFmtId="0" fontId="3" fillId="0" borderId="5" xfId="0" applyFont="1" applyBorder="1" applyAlignment="1">
      <alignment horizontal="left" vertical="center" wrapText="1"/>
    </xf>
    <xf numFmtId="0" fontId="3" fillId="0" borderId="7" xfId="0" applyFont="1" applyBorder="1" applyAlignment="1">
      <alignment horizontal="left" vertical="center" wrapText="1"/>
    </xf>
    <xf numFmtId="178" fontId="3" fillId="0" borderId="0" xfId="0" applyNumberFormat="1" applyFont="1" applyBorder="1" applyAlignment="1" applyProtection="1">
      <alignment horizontal="right" vertical="center"/>
      <protection locked="0"/>
    </xf>
    <xf numFmtId="177" fontId="3" fillId="0" borderId="0" xfId="0" applyNumberFormat="1" applyFont="1" applyBorder="1" applyAlignment="1" applyProtection="1">
      <alignment horizontal="center" vertical="center"/>
      <protection locked="0"/>
    </xf>
    <xf numFmtId="0" fontId="3" fillId="0" borderId="1" xfId="0" applyFont="1" applyBorder="1" applyAlignment="1" applyProtection="1">
      <alignment horizontal="left" vertical="center"/>
      <protection locked="0"/>
    </xf>
    <xf numFmtId="0" fontId="3" fillId="0" borderId="2"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49" fontId="3" fillId="0" borderId="1" xfId="0" applyNumberFormat="1" applyFont="1" applyBorder="1" applyAlignment="1" applyProtection="1">
      <alignment horizontal="left" vertical="center"/>
      <protection locked="0"/>
    </xf>
    <xf numFmtId="49" fontId="3" fillId="0" borderId="2" xfId="0" applyNumberFormat="1" applyFont="1" applyBorder="1" applyAlignment="1" applyProtection="1">
      <alignment horizontal="left" vertical="center"/>
      <protection locked="0"/>
    </xf>
    <xf numFmtId="49" fontId="3" fillId="0" borderId="3" xfId="0" applyNumberFormat="1" applyFont="1" applyBorder="1" applyAlignment="1" applyProtection="1">
      <alignment horizontal="left" vertical="center"/>
      <protection locked="0"/>
    </xf>
    <xf numFmtId="0" fontId="3" fillId="0" borderId="15" xfId="0" applyFont="1" applyBorder="1" applyAlignment="1" applyProtection="1">
      <alignment horizontal="left" vertical="center" shrinkToFit="1"/>
      <protection locked="0"/>
    </xf>
    <xf numFmtId="0" fontId="3" fillId="0" borderId="16" xfId="0" applyFont="1" applyBorder="1" applyAlignment="1" applyProtection="1">
      <alignment horizontal="left" vertical="center" shrinkToFit="1"/>
      <protection locked="0"/>
    </xf>
    <xf numFmtId="0" fontId="3" fillId="0" borderId="17" xfId="0" applyFont="1" applyBorder="1" applyAlignment="1" applyProtection="1">
      <alignment horizontal="left" vertical="center" shrinkToFit="1"/>
      <protection locked="0"/>
    </xf>
    <xf numFmtId="0" fontId="3" fillId="0" borderId="5"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5" fillId="0" borderId="0" xfId="0" applyFont="1" applyBorder="1" applyAlignment="1">
      <alignment horizontal="left" vertical="center" wrapText="1"/>
    </xf>
    <xf numFmtId="179" fontId="3" fillId="0" borderId="0" xfId="0" applyNumberFormat="1" applyFont="1" applyBorder="1" applyAlignment="1">
      <alignment horizontal="center" vertical="center"/>
    </xf>
    <xf numFmtId="0" fontId="6" fillId="0" borderId="0" xfId="0" applyFont="1" applyAlignment="1">
      <alignment horizontal="center" vertical="center"/>
    </xf>
    <xf numFmtId="180" fontId="3" fillId="0" borderId="0" xfId="0" applyNumberFormat="1" applyFont="1" applyBorder="1" applyAlignment="1">
      <alignment horizontal="center" vertical="center"/>
    </xf>
    <xf numFmtId="180" fontId="3" fillId="0" borderId="1" xfId="0" applyNumberFormat="1" applyFont="1" applyBorder="1" applyAlignment="1" applyProtection="1">
      <alignment horizontal="right" vertical="center"/>
      <protection locked="0"/>
    </xf>
    <xf numFmtId="180" fontId="3" fillId="0" borderId="2" xfId="0" applyNumberFormat="1" applyFont="1" applyBorder="1" applyAlignment="1" applyProtection="1">
      <alignment horizontal="right" vertical="center"/>
      <protection locked="0"/>
    </xf>
    <xf numFmtId="180" fontId="3" fillId="0" borderId="3" xfId="0" applyNumberFormat="1" applyFont="1" applyBorder="1" applyAlignment="1" applyProtection="1">
      <alignment horizontal="right" vertical="center"/>
      <protection locked="0"/>
    </xf>
    <xf numFmtId="0" fontId="3" fillId="0" borderId="1"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3" fillId="0" borderId="8" xfId="0" applyFont="1" applyBorder="1" applyAlignment="1" applyProtection="1">
      <alignment horizontal="right" vertical="center"/>
      <protection locked="0"/>
    </xf>
    <xf numFmtId="0" fontId="3" fillId="0" borderId="0" xfId="0" applyFont="1" applyBorder="1" applyAlignment="1" applyProtection="1">
      <alignment horizontal="right" vertical="center"/>
      <protection locked="0"/>
    </xf>
    <xf numFmtId="49" fontId="3" fillId="0" borderId="9" xfId="0" applyNumberFormat="1" applyFont="1" applyBorder="1" applyAlignment="1" applyProtection="1">
      <alignment horizontal="left" vertical="center"/>
      <protection locked="0"/>
    </xf>
    <xf numFmtId="49" fontId="3" fillId="0" borderId="10" xfId="0" applyNumberFormat="1" applyFont="1" applyBorder="1" applyAlignment="1" applyProtection="1">
      <alignment horizontal="left" vertical="center"/>
      <protection locked="0"/>
    </xf>
    <xf numFmtId="49" fontId="3" fillId="0" borderId="11" xfId="0" applyNumberFormat="1" applyFont="1" applyBorder="1" applyAlignment="1" applyProtection="1">
      <alignment horizontal="left" vertical="center"/>
      <protection locked="0"/>
    </xf>
    <xf numFmtId="0" fontId="3" fillId="0" borderId="12" xfId="0" applyFont="1" applyBorder="1" applyAlignment="1" applyProtection="1">
      <alignment horizontal="center" vertical="center" shrinkToFit="1"/>
      <protection locked="0"/>
    </xf>
    <xf numFmtId="0" fontId="3" fillId="0" borderId="12" xfId="0" applyFont="1" applyBorder="1" applyAlignment="1" applyProtection="1">
      <alignment horizontal="left" vertical="center"/>
      <protection locked="0"/>
    </xf>
    <xf numFmtId="0" fontId="5" fillId="0" borderId="0" xfId="0" applyFont="1" applyBorder="1" applyAlignment="1">
      <alignment horizontal="center" vertical="center"/>
    </xf>
    <xf numFmtId="0" fontId="3" fillId="0" borderId="6" xfId="0" applyFont="1" applyBorder="1" applyAlignment="1" applyProtection="1">
      <alignment horizontal="left" vertical="center"/>
      <protection locked="0"/>
    </xf>
    <xf numFmtId="178" fontId="3" fillId="0" borderId="5" xfId="0" applyNumberFormat="1" applyFont="1" applyBorder="1" applyAlignment="1" applyProtection="1">
      <alignment horizontal="right" vertical="center"/>
      <protection locked="0"/>
    </xf>
    <xf numFmtId="185" fontId="3" fillId="0" borderId="1" xfId="0" applyNumberFormat="1" applyFont="1" applyBorder="1" applyAlignment="1" applyProtection="1">
      <alignment horizontal="center" vertical="center"/>
      <protection locked="0"/>
    </xf>
    <xf numFmtId="185" fontId="3" fillId="0" borderId="2" xfId="0" applyNumberFormat="1" applyFont="1" applyBorder="1" applyAlignment="1" applyProtection="1">
      <alignment horizontal="center" vertical="center"/>
      <protection locked="0"/>
    </xf>
    <xf numFmtId="0" fontId="8" fillId="0" borderId="0" xfId="0" applyFont="1" applyBorder="1" applyAlignment="1">
      <alignment horizontal="center" vertical="center"/>
    </xf>
    <xf numFmtId="0" fontId="3" fillId="0" borderId="0" xfId="0" applyFont="1" applyBorder="1" applyAlignment="1" applyProtection="1">
      <alignment horizontal="left" vertical="center"/>
      <protection locked="0"/>
    </xf>
    <xf numFmtId="0" fontId="8" fillId="0" borderId="0" xfId="0" applyFont="1" applyBorder="1" applyAlignment="1">
      <alignment horizontal="left" vertical="center" wrapText="1"/>
    </xf>
    <xf numFmtId="0" fontId="3" fillId="0" borderId="4" xfId="0" applyFont="1" applyBorder="1" applyAlignment="1">
      <alignment horizontal="left" vertical="center" wrapTex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2" fillId="0" borderId="0" xfId="0" applyFont="1" applyBorder="1" applyAlignment="1">
      <alignment horizontal="left" vertical="center" wrapText="1"/>
    </xf>
    <xf numFmtId="0" fontId="3" fillId="0" borderId="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7" fillId="0" borderId="8" xfId="0" applyFont="1" applyBorder="1" applyAlignment="1">
      <alignment horizontal="left" vertical="center"/>
    </xf>
    <xf numFmtId="0" fontId="7" fillId="0" borderId="0" xfId="0" applyFont="1" applyBorder="1" applyAlignment="1">
      <alignment horizontal="left" vertical="center"/>
    </xf>
    <xf numFmtId="0" fontId="7" fillId="0" borderId="4" xfId="0" applyFont="1" applyBorder="1" applyAlignment="1">
      <alignment horizontal="left" vertical="center"/>
    </xf>
    <xf numFmtId="0" fontId="7" fillId="0" borderId="8" xfId="0" applyFont="1" applyBorder="1" applyAlignment="1">
      <alignment horizontal="left" vertical="center" wrapText="1"/>
    </xf>
    <xf numFmtId="0" fontId="7" fillId="0" borderId="0" xfId="0" applyFont="1" applyBorder="1" applyAlignment="1">
      <alignment horizontal="left" vertical="center" wrapText="1"/>
    </xf>
    <xf numFmtId="0" fontId="7" fillId="0" borderId="4" xfId="0" applyFont="1" applyBorder="1" applyAlignment="1">
      <alignment horizontal="left" vertical="center" wrapText="1"/>
    </xf>
    <xf numFmtId="0" fontId="24" fillId="0" borderId="1" xfId="0" applyFont="1" applyBorder="1" applyAlignment="1">
      <alignment horizontal="center" vertical="center"/>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3" fillId="0" borderId="0" xfId="0" applyFont="1" applyAlignment="1" applyProtection="1">
      <alignment horizontal="left" vertical="center" wrapText="1"/>
      <protection locked="0"/>
    </xf>
    <xf numFmtId="184" fontId="3" fillId="0" borderId="1" xfId="0" applyNumberFormat="1" applyFont="1" applyBorder="1" applyAlignment="1">
      <alignment horizontal="right" vertical="center"/>
    </xf>
    <xf numFmtId="184" fontId="3" fillId="0" borderId="2" xfId="0" applyNumberFormat="1" applyFont="1" applyBorder="1" applyAlignment="1">
      <alignment horizontal="right" vertical="center"/>
    </xf>
    <xf numFmtId="184" fontId="3" fillId="0" borderId="1" xfId="0" applyNumberFormat="1" applyFont="1" applyBorder="1" applyAlignment="1" applyProtection="1">
      <alignment horizontal="right" vertical="center"/>
    </xf>
    <xf numFmtId="184" fontId="3" fillId="0" borderId="2" xfId="0" applyNumberFormat="1" applyFont="1" applyBorder="1" applyAlignment="1" applyProtection="1">
      <alignment horizontal="right" vertical="center"/>
    </xf>
    <xf numFmtId="0" fontId="3" fillId="0" borderId="0" xfId="0" applyFont="1" applyAlignment="1">
      <alignment horizontal="center" vertical="center"/>
    </xf>
    <xf numFmtId="176" fontId="3" fillId="0" borderId="1" xfId="0" applyNumberFormat="1" applyFont="1" applyBorder="1" applyAlignment="1">
      <alignment horizontal="center" vertical="center"/>
    </xf>
    <xf numFmtId="176" fontId="3" fillId="0" borderId="2" xfId="0" applyNumberFormat="1" applyFont="1" applyBorder="1" applyAlignment="1">
      <alignment horizontal="center" vertical="center"/>
    </xf>
    <xf numFmtId="176" fontId="3" fillId="0" borderId="3" xfId="0" applyNumberFormat="1" applyFont="1" applyBorder="1" applyAlignment="1">
      <alignment horizontal="center" vertical="center"/>
    </xf>
    <xf numFmtId="0" fontId="3" fillId="0" borderId="0" xfId="0" applyNumberFormat="1" applyFont="1" applyAlignment="1">
      <alignment horizontal="left" vertical="center"/>
    </xf>
    <xf numFmtId="0" fontId="48" fillId="0" borderId="0" xfId="0" applyNumberFormat="1" applyFont="1" applyFill="1" applyAlignment="1" applyProtection="1">
      <alignment horizontal="center" vertical="center"/>
      <protection locked="0"/>
    </xf>
    <xf numFmtId="0" fontId="3" fillId="0" borderId="0" xfId="0" applyNumberFormat="1" applyFont="1" applyAlignment="1">
      <alignment horizontal="left"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49" fontId="7" fillId="0" borderId="2" xfId="0" applyNumberFormat="1" applyFont="1" applyFill="1" applyBorder="1" applyAlignment="1" applyProtection="1">
      <alignment horizontal="center" vertical="center"/>
      <protection locked="0"/>
    </xf>
    <xf numFmtId="49" fontId="7" fillId="0" borderId="3" xfId="0" applyNumberFormat="1" applyFont="1" applyFill="1" applyBorder="1" applyAlignment="1" applyProtection="1">
      <alignment horizontal="center" vertical="center"/>
      <protection locked="0"/>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3" fillId="0" borderId="5" xfId="0" applyFont="1" applyFill="1" applyBorder="1" applyAlignment="1" applyProtection="1">
      <alignment horizontal="left" vertical="center"/>
      <protection locked="0"/>
    </xf>
    <xf numFmtId="0" fontId="7" fillId="0" borderId="5"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9" xfId="0" applyFont="1" applyBorder="1" applyAlignment="1" applyProtection="1">
      <alignment horizontal="left" vertical="center"/>
      <protection locked="0"/>
    </xf>
    <xf numFmtId="0" fontId="7" fillId="0" borderId="10" xfId="0" applyFont="1" applyBorder="1" applyAlignment="1" applyProtection="1">
      <alignment horizontal="left" vertical="center"/>
      <protection locked="0"/>
    </xf>
    <xf numFmtId="0" fontId="7" fillId="0" borderId="11" xfId="0" applyFont="1" applyBorder="1" applyAlignment="1" applyProtection="1">
      <alignment horizontal="left" vertical="center"/>
      <protection locked="0"/>
    </xf>
    <xf numFmtId="0" fontId="7" fillId="0" borderId="1" xfId="0" applyFont="1" applyBorder="1" applyAlignment="1" applyProtection="1">
      <alignment horizontal="left" vertical="center"/>
      <protection locked="0"/>
    </xf>
    <xf numFmtId="0" fontId="7" fillId="0" borderId="2" xfId="0" applyFont="1" applyBorder="1" applyAlignment="1" applyProtection="1">
      <alignment horizontal="left" vertical="center"/>
      <protection locked="0"/>
    </xf>
    <xf numFmtId="0" fontId="7" fillId="0" borderId="3" xfId="0" applyFont="1" applyBorder="1" applyAlignment="1" applyProtection="1">
      <alignment horizontal="left" vertical="center"/>
      <protection locked="0"/>
    </xf>
    <xf numFmtId="0" fontId="25" fillId="0" borderId="10" xfId="0" applyFont="1" applyBorder="1" applyAlignment="1">
      <alignment horizontal="left" vertical="center" wrapText="1"/>
    </xf>
    <xf numFmtId="0" fontId="26" fillId="0" borderId="0" xfId="0" applyFont="1" applyAlignment="1">
      <alignment horizontal="left" vertical="center" wrapText="1"/>
    </xf>
    <xf numFmtId="187" fontId="30" fillId="6" borderId="1" xfId="0" applyNumberFormat="1" applyFont="1" applyFill="1" applyBorder="1" applyAlignment="1">
      <alignment horizontal="center" vertical="center"/>
    </xf>
    <xf numFmtId="187" fontId="30" fillId="6" borderId="2" xfId="0" applyNumberFormat="1" applyFont="1" applyFill="1" applyBorder="1" applyAlignment="1">
      <alignment horizontal="center" vertical="center"/>
    </xf>
    <xf numFmtId="187" fontId="30" fillId="6" borderId="3" xfId="0" applyNumberFormat="1" applyFont="1" applyFill="1" applyBorder="1" applyAlignment="1">
      <alignment horizontal="center" vertical="center"/>
    </xf>
    <xf numFmtId="186" fontId="29" fillId="0" borderId="1" xfId="0" applyNumberFormat="1" applyFont="1" applyFill="1" applyBorder="1" applyAlignment="1">
      <alignment horizontal="center" vertical="center"/>
    </xf>
    <xf numFmtId="186" fontId="29" fillId="0" borderId="2" xfId="0" applyNumberFormat="1" applyFont="1" applyFill="1" applyBorder="1" applyAlignment="1">
      <alignment horizontal="center" vertical="center"/>
    </xf>
    <xf numFmtId="186" fontId="29" fillId="0" borderId="3" xfId="0" applyNumberFormat="1" applyFont="1" applyFill="1" applyBorder="1" applyAlignment="1">
      <alignment horizontal="center" vertical="center"/>
    </xf>
    <xf numFmtId="187" fontId="29" fillId="4" borderId="0" xfId="0" applyNumberFormat="1" applyFont="1" applyFill="1" applyAlignment="1">
      <alignment horizontal="center" vertical="top" wrapText="1"/>
    </xf>
    <xf numFmtId="187" fontId="29" fillId="4" borderId="10" xfId="0" applyNumberFormat="1" applyFont="1" applyFill="1" applyBorder="1" applyAlignment="1">
      <alignment horizontal="center" vertical="top" wrapText="1"/>
    </xf>
    <xf numFmtId="0" fontId="33" fillId="0" borderId="6" xfId="0" applyFont="1" applyFill="1" applyBorder="1" applyAlignment="1">
      <alignment horizontal="left" vertical="top" wrapText="1"/>
    </xf>
    <xf numFmtId="0" fontId="33" fillId="0" borderId="5" xfId="0" applyFont="1" applyFill="1" applyBorder="1" applyAlignment="1">
      <alignment horizontal="left" vertical="top" wrapText="1"/>
    </xf>
    <xf numFmtId="0" fontId="33" fillId="0" borderId="7" xfId="0" applyFont="1" applyFill="1" applyBorder="1" applyAlignment="1">
      <alignment horizontal="left" vertical="top" wrapText="1"/>
    </xf>
    <xf numFmtId="0" fontId="33" fillId="0" borderId="9" xfId="0" applyFont="1" applyFill="1" applyBorder="1" applyAlignment="1">
      <alignment horizontal="left" vertical="top" wrapText="1"/>
    </xf>
    <xf numFmtId="0" fontId="33" fillId="0" borderId="10" xfId="0" applyFont="1" applyFill="1" applyBorder="1" applyAlignment="1">
      <alignment horizontal="left" vertical="top" wrapText="1"/>
    </xf>
    <xf numFmtId="0" fontId="33" fillId="0" borderId="11" xfId="0" applyFont="1" applyFill="1" applyBorder="1" applyAlignment="1">
      <alignment horizontal="left" vertical="top" wrapText="1"/>
    </xf>
    <xf numFmtId="0" fontId="3" fillId="0" borderId="0" xfId="0" applyFont="1" applyAlignment="1">
      <alignment horizontal="left" vertical="top" wrapText="1"/>
    </xf>
    <xf numFmtId="0" fontId="20" fillId="0" borderId="0" xfId="0" applyFont="1" applyAlignment="1">
      <alignment horizontal="center" vertical="center"/>
    </xf>
    <xf numFmtId="0" fontId="3" fillId="0" borderId="0" xfId="0" applyFont="1" applyAlignment="1">
      <alignment horizontal="left" vertical="center"/>
    </xf>
  </cellXfs>
  <cellStyles count="2">
    <cellStyle name="桁区切り" xfId="1" builtinId="6"/>
    <cellStyle name="標準" xfId="0" builtinId="0"/>
  </cellStyles>
  <dxfs count="8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8" tint="0.79998168889431442"/>
        </patternFill>
      </fill>
    </dxf>
    <dxf>
      <border>
        <left style="thin">
          <color auto="1"/>
        </left>
        <right style="thin">
          <color auto="1"/>
        </right>
        <top style="thin">
          <color auto="1"/>
        </top>
        <bottom style="thin">
          <color auto="1"/>
        </bottom>
        <vertical/>
        <horizontal/>
      </border>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FFFFCC"/>
      <color rgb="FF0000FF"/>
      <color rgb="FF0066FF"/>
      <color rgb="FFD1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FI227"/>
  <sheetViews>
    <sheetView showGridLines="0" tabSelected="1" view="pageBreakPreview" zoomScaleNormal="100" zoomScaleSheetLayoutView="100" workbookViewId="0">
      <selection activeCell="M29" sqref="M29:X29"/>
    </sheetView>
  </sheetViews>
  <sheetFormatPr defaultColWidth="3.08984375" defaultRowHeight="13" x14ac:dyDescent="0.2"/>
  <cols>
    <col min="1" max="1" width="4.26953125" style="1" customWidth="1"/>
    <col min="2" max="2" width="3.6328125" style="1" customWidth="1"/>
    <col min="3" max="3" width="3.453125" style="1" bestFit="1" customWidth="1"/>
    <col min="4" max="11" width="3.08984375" style="1"/>
    <col min="12" max="12" width="3.453125" style="1" bestFit="1" customWidth="1"/>
    <col min="13" max="16" width="3.08984375" style="1"/>
    <col min="17" max="17" width="3.453125" style="1" bestFit="1" customWidth="1"/>
    <col min="18" max="21" width="3.08984375" style="1"/>
    <col min="22" max="22" width="3.453125" style="1" bestFit="1" customWidth="1"/>
    <col min="23" max="26" width="3.08984375" style="1"/>
    <col min="27" max="27" width="3.7265625" style="3" customWidth="1"/>
    <col min="28" max="28" width="9.08984375" style="4" bestFit="1" customWidth="1"/>
    <col min="29" max="31" width="3.08984375" style="4"/>
    <col min="32" max="35" width="3.453125" style="4" bestFit="1" customWidth="1"/>
    <col min="36" max="39" width="3.08984375" style="4"/>
    <col min="40" max="41" width="3.453125" style="4" bestFit="1" customWidth="1"/>
    <col min="42" max="55" width="3.08984375" style="4"/>
    <col min="56" max="58" width="3.08984375" style="1"/>
    <col min="59" max="59" width="7.26953125" style="1" customWidth="1"/>
    <col min="60" max="16384" width="3.08984375" style="1"/>
  </cols>
  <sheetData>
    <row r="1" spans="1:165" ht="13.5" customHeight="1" x14ac:dyDescent="0.2">
      <c r="A1" s="1" t="s">
        <v>122</v>
      </c>
      <c r="K1" s="2"/>
      <c r="L1" s="2"/>
      <c r="M1" s="2"/>
      <c r="N1" s="2"/>
      <c r="O1" s="2"/>
      <c r="P1" s="2"/>
      <c r="Q1" s="2"/>
      <c r="R1" s="2"/>
      <c r="Z1" s="51"/>
      <c r="AA1" s="51" t="s">
        <v>183</v>
      </c>
      <c r="AC1" s="5" t="s">
        <v>70</v>
      </c>
      <c r="BG1" s="1" t="s">
        <v>91</v>
      </c>
      <c r="BH1" s="1" t="s">
        <v>109</v>
      </c>
    </row>
    <row r="2" spans="1:165" ht="7.5" customHeight="1" x14ac:dyDescent="0.2">
      <c r="K2" s="2"/>
      <c r="L2" s="2"/>
      <c r="M2" s="2"/>
      <c r="N2" s="2"/>
      <c r="O2" s="2"/>
      <c r="P2" s="2"/>
      <c r="Q2" s="2"/>
      <c r="R2" s="2"/>
      <c r="AC2" s="5" t="s">
        <v>71</v>
      </c>
      <c r="BG2" s="1" t="s">
        <v>92</v>
      </c>
      <c r="BH2" s="1" t="s">
        <v>110</v>
      </c>
    </row>
    <row r="3" spans="1:165" ht="16.5" x14ac:dyDescent="0.2">
      <c r="A3" s="433" t="s">
        <v>182</v>
      </c>
      <c r="B3" s="433"/>
      <c r="C3" s="433"/>
      <c r="D3" s="433"/>
      <c r="E3" s="433"/>
      <c r="F3" s="433"/>
      <c r="G3" s="433"/>
      <c r="H3" s="433"/>
      <c r="I3" s="433"/>
      <c r="J3" s="433"/>
      <c r="K3" s="433"/>
      <c r="L3" s="433"/>
      <c r="M3" s="433"/>
      <c r="N3" s="433"/>
      <c r="O3" s="433"/>
      <c r="P3" s="433"/>
      <c r="Q3" s="433"/>
      <c r="R3" s="433"/>
      <c r="S3" s="433"/>
      <c r="T3" s="433"/>
      <c r="U3" s="433"/>
      <c r="V3" s="433"/>
      <c r="W3" s="433"/>
      <c r="X3" s="433"/>
      <c r="Y3" s="433"/>
      <c r="Z3" s="433"/>
      <c r="AA3" s="433"/>
      <c r="AC3" s="5" t="s">
        <v>67</v>
      </c>
      <c r="BG3" s="1" t="s">
        <v>93</v>
      </c>
      <c r="BH3" s="1" t="s">
        <v>111</v>
      </c>
    </row>
    <row r="4" spans="1:165" ht="6" customHeight="1" x14ac:dyDescent="0.2">
      <c r="AC4" s="5"/>
      <c r="BG4" s="1" t="s">
        <v>94</v>
      </c>
      <c r="BH4" s="1" t="s">
        <v>110</v>
      </c>
    </row>
    <row r="5" spans="1:165" x14ac:dyDescent="0.2">
      <c r="A5" s="338" t="s">
        <v>169</v>
      </c>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338"/>
      <c r="BG5" s="1" t="s">
        <v>95</v>
      </c>
      <c r="BH5" s="1" t="s">
        <v>109</v>
      </c>
    </row>
    <row r="6" spans="1:165" x14ac:dyDescent="0.2">
      <c r="A6" s="338"/>
      <c r="B6" s="338"/>
      <c r="C6" s="338"/>
      <c r="D6" s="338"/>
      <c r="E6" s="338"/>
      <c r="F6" s="338"/>
      <c r="G6" s="338"/>
      <c r="H6" s="338"/>
      <c r="I6" s="338"/>
      <c r="J6" s="338"/>
      <c r="K6" s="338"/>
      <c r="L6" s="338"/>
      <c r="M6" s="338"/>
      <c r="N6" s="338"/>
      <c r="O6" s="338"/>
      <c r="P6" s="338"/>
      <c r="Q6" s="338"/>
      <c r="R6" s="338"/>
      <c r="S6" s="338"/>
      <c r="T6" s="338"/>
      <c r="U6" s="338"/>
      <c r="V6" s="338"/>
      <c r="W6" s="338"/>
      <c r="X6" s="338"/>
      <c r="Y6" s="338"/>
      <c r="Z6" s="338"/>
      <c r="AA6" s="338"/>
      <c r="BG6" s="1" t="s">
        <v>96</v>
      </c>
      <c r="BH6" s="1" t="s">
        <v>109</v>
      </c>
    </row>
    <row r="7" spans="1:165" ht="7.5" customHeight="1" x14ac:dyDescent="0.2">
      <c r="BG7" s="1" t="s">
        <v>97</v>
      </c>
      <c r="BH7" s="1" t="s">
        <v>109</v>
      </c>
    </row>
    <row r="8" spans="1:165" x14ac:dyDescent="0.2">
      <c r="C8" s="418"/>
      <c r="D8" s="418"/>
      <c r="E8" s="418"/>
      <c r="F8" s="418"/>
      <c r="G8" s="1" t="s">
        <v>9</v>
      </c>
      <c r="H8" s="419"/>
      <c r="I8" s="419"/>
      <c r="J8" s="1" t="s">
        <v>25</v>
      </c>
      <c r="K8" s="419"/>
      <c r="L8" s="419"/>
      <c r="M8" s="1" t="s">
        <v>8</v>
      </c>
      <c r="AB8" s="5" t="str">
        <f>IF(OR(C8="",H8="",K8=""),"←リストから選択してください（和暦年月日）","")</f>
        <v>←リストから選択してください（和暦年月日）</v>
      </c>
      <c r="BG8" s="1" t="s">
        <v>112</v>
      </c>
      <c r="BH8" s="1" t="s">
        <v>109</v>
      </c>
    </row>
    <row r="9" spans="1:165" ht="4.5" customHeight="1" x14ac:dyDescent="0.2">
      <c r="BG9" s="1" t="s">
        <v>98</v>
      </c>
      <c r="BH9" s="1" t="s">
        <v>111</v>
      </c>
    </row>
    <row r="10" spans="1:165" x14ac:dyDescent="0.2">
      <c r="K10" s="6" t="s">
        <v>24</v>
      </c>
      <c r="L10" s="7" t="s">
        <v>14</v>
      </c>
      <c r="M10" s="8"/>
      <c r="N10" s="9" t="s">
        <v>11</v>
      </c>
      <c r="O10" s="429"/>
      <c r="P10" s="429"/>
      <c r="Q10" s="429"/>
      <c r="R10" s="429"/>
      <c r="S10" s="429"/>
      <c r="T10" s="429"/>
      <c r="U10" s="429"/>
      <c r="V10" s="429"/>
      <c r="W10" s="429"/>
      <c r="X10" s="429"/>
      <c r="Y10" s="429"/>
      <c r="Z10" s="430"/>
      <c r="AA10" s="10"/>
      <c r="AB10" s="5" t="str">
        <f>IF(O10="","←直接郵便番号を記入してください","")</f>
        <v>←直接郵便番号を記入してください</v>
      </c>
      <c r="BG10" s="1" t="s">
        <v>99</v>
      </c>
      <c r="BH10" s="1" t="s">
        <v>111</v>
      </c>
    </row>
    <row r="11" spans="1:165" ht="22" customHeight="1" x14ac:dyDescent="0.2">
      <c r="L11" s="11"/>
      <c r="M11" s="12"/>
      <c r="N11" s="426"/>
      <c r="O11" s="427"/>
      <c r="P11" s="427"/>
      <c r="Q11" s="427"/>
      <c r="R11" s="427"/>
      <c r="S11" s="427"/>
      <c r="T11" s="427"/>
      <c r="U11" s="427"/>
      <c r="V11" s="427"/>
      <c r="W11" s="427"/>
      <c r="X11" s="427"/>
      <c r="Y11" s="427"/>
      <c r="Z11" s="428"/>
      <c r="AA11" s="10"/>
      <c r="AB11" s="5" t="str">
        <f>IF(N11="","←直接転居後の住所を記入してください","")</f>
        <v>←直接転居後の住所を記入してください</v>
      </c>
      <c r="BG11" s="1" t="s">
        <v>100</v>
      </c>
      <c r="BH11" s="1" t="s">
        <v>111</v>
      </c>
      <c r="FI11" s="1" t="e">
        <f>IF(【様式第６号の２】事業報告書兼チェックシート!Y100="",IF)</f>
        <v>#NAME?</v>
      </c>
    </row>
    <row r="12" spans="1:165" x14ac:dyDescent="0.2">
      <c r="L12" s="13" t="s">
        <v>6</v>
      </c>
      <c r="M12" s="14"/>
      <c r="N12" s="420"/>
      <c r="O12" s="421"/>
      <c r="P12" s="421"/>
      <c r="Q12" s="421"/>
      <c r="R12" s="421"/>
      <c r="S12" s="421"/>
      <c r="T12" s="421"/>
      <c r="U12" s="421"/>
      <c r="V12" s="421"/>
      <c r="W12" s="421"/>
      <c r="X12" s="421"/>
      <c r="Y12" s="421"/>
      <c r="Z12" s="422"/>
      <c r="AB12" s="5" t="str">
        <f>IF(N12="","←直接建築主の氏名を記入してください","")</f>
        <v>←直接建築主の氏名を記入してください</v>
      </c>
      <c r="BG12" s="1" t="s">
        <v>101</v>
      </c>
      <c r="BH12" s="1" t="s">
        <v>111</v>
      </c>
    </row>
    <row r="13" spans="1:165" x14ac:dyDescent="0.2">
      <c r="L13" s="13" t="s">
        <v>10</v>
      </c>
      <c r="M13" s="14"/>
      <c r="N13" s="423"/>
      <c r="O13" s="424"/>
      <c r="P13" s="424"/>
      <c r="Q13" s="424"/>
      <c r="R13" s="424"/>
      <c r="S13" s="424"/>
      <c r="T13" s="424"/>
      <c r="U13" s="424"/>
      <c r="V13" s="424"/>
      <c r="W13" s="424"/>
      <c r="X13" s="424"/>
      <c r="Y13" s="424"/>
      <c r="Z13" s="425"/>
      <c r="AB13" s="5" t="str">
        <f>IF(N13="","←直接電話番号を記入してください","")</f>
        <v>←直接電話番号を記入してください</v>
      </c>
      <c r="BG13" s="1" t="s">
        <v>102</v>
      </c>
      <c r="BH13" s="1" t="s">
        <v>110</v>
      </c>
    </row>
    <row r="14" spans="1:165" x14ac:dyDescent="0.2">
      <c r="A14" s="1" t="s">
        <v>40</v>
      </c>
      <c r="BG14" s="1" t="s">
        <v>103</v>
      </c>
      <c r="BH14" s="1" t="s">
        <v>110</v>
      </c>
    </row>
    <row r="15" spans="1:165" x14ac:dyDescent="0.2">
      <c r="A15" s="1" t="s">
        <v>39</v>
      </c>
      <c r="AA15" s="15"/>
      <c r="BG15" s="1" t="s">
        <v>104</v>
      </c>
      <c r="BH15" s="1" t="s">
        <v>110</v>
      </c>
    </row>
    <row r="16" spans="1:165" ht="27" customHeight="1" x14ac:dyDescent="0.2">
      <c r="A16" s="338" t="s">
        <v>168</v>
      </c>
      <c r="B16" s="338"/>
      <c r="C16" s="338"/>
      <c r="D16" s="338"/>
      <c r="E16" s="338"/>
      <c r="F16" s="338"/>
      <c r="G16" s="338"/>
      <c r="H16" s="338"/>
      <c r="I16" s="338"/>
      <c r="J16" s="338"/>
      <c r="K16" s="338"/>
      <c r="L16" s="338"/>
      <c r="M16" s="338"/>
      <c r="N16" s="338"/>
      <c r="O16" s="338"/>
      <c r="P16" s="338"/>
      <c r="Q16" s="338"/>
      <c r="R16" s="338"/>
      <c r="S16" s="338"/>
      <c r="T16" s="338"/>
      <c r="U16" s="338"/>
      <c r="V16" s="338"/>
      <c r="W16" s="338"/>
      <c r="X16" s="338"/>
      <c r="Y16" s="338"/>
      <c r="Z16" s="338"/>
      <c r="AA16" s="338"/>
      <c r="BG16" s="1" t="s">
        <v>105</v>
      </c>
      <c r="BH16" s="1" t="s">
        <v>110</v>
      </c>
    </row>
    <row r="17" spans="1:60" ht="3" customHeight="1" x14ac:dyDescent="0.2">
      <c r="AA17" s="15"/>
      <c r="BG17" s="1" t="s">
        <v>106</v>
      </c>
      <c r="BH17" s="1" t="s">
        <v>110</v>
      </c>
    </row>
    <row r="18" spans="1:60" x14ac:dyDescent="0.2">
      <c r="A18" s="1" t="s">
        <v>29</v>
      </c>
      <c r="BG18" s="1" t="s">
        <v>107</v>
      </c>
      <c r="BH18" s="1" t="s">
        <v>110</v>
      </c>
    </row>
    <row r="19" spans="1:60" ht="5.5" customHeight="1" x14ac:dyDescent="0.2">
      <c r="AA19" s="15"/>
      <c r="BG19" s="1" t="s">
        <v>108</v>
      </c>
      <c r="BH19" s="1" t="s">
        <v>110</v>
      </c>
    </row>
    <row r="20" spans="1:60" ht="13.5" customHeight="1" x14ac:dyDescent="0.2">
      <c r="B20" s="66"/>
      <c r="C20" s="404" t="s">
        <v>120</v>
      </c>
      <c r="D20" s="404"/>
      <c r="E20" s="404"/>
      <c r="F20" s="404"/>
      <c r="G20" s="404"/>
      <c r="H20" s="404"/>
      <c r="I20" s="404"/>
      <c r="J20" s="404"/>
      <c r="K20" s="404"/>
      <c r="L20" s="404"/>
      <c r="M20" s="404"/>
      <c r="N20" s="404"/>
      <c r="O20" s="404"/>
      <c r="P20" s="404"/>
      <c r="Q20" s="404"/>
      <c r="R20" s="404"/>
      <c r="S20" s="404"/>
      <c r="T20" s="404"/>
      <c r="U20" s="404"/>
      <c r="V20" s="404"/>
      <c r="W20" s="404"/>
      <c r="X20" s="404"/>
      <c r="Y20" s="404"/>
      <c r="Z20" s="404"/>
      <c r="AA20" s="404"/>
    </row>
    <row r="21" spans="1:60" x14ac:dyDescent="0.2">
      <c r="B21" s="49"/>
      <c r="C21" s="404"/>
      <c r="D21" s="404"/>
      <c r="E21" s="404"/>
      <c r="F21" s="404"/>
      <c r="G21" s="404"/>
      <c r="H21" s="404"/>
      <c r="I21" s="404"/>
      <c r="J21" s="404"/>
      <c r="K21" s="404"/>
      <c r="L21" s="404"/>
      <c r="M21" s="404"/>
      <c r="N21" s="404"/>
      <c r="O21" s="404"/>
      <c r="P21" s="404"/>
      <c r="Q21" s="404"/>
      <c r="R21" s="404"/>
      <c r="S21" s="404"/>
      <c r="T21" s="404"/>
      <c r="U21" s="404"/>
      <c r="V21" s="404"/>
      <c r="W21" s="404"/>
      <c r="X21" s="404"/>
      <c r="Y21" s="404"/>
      <c r="Z21" s="404"/>
      <c r="AA21" s="404"/>
    </row>
    <row r="22" spans="1:60" ht="15.75" customHeight="1" x14ac:dyDescent="0.2">
      <c r="B22" s="50"/>
      <c r="C22" s="459" t="s">
        <v>121</v>
      </c>
      <c r="D22" s="459"/>
      <c r="E22" s="459"/>
      <c r="F22" s="459"/>
      <c r="G22" s="459"/>
      <c r="H22" s="459"/>
      <c r="I22" s="459"/>
      <c r="J22" s="459"/>
      <c r="K22" s="459"/>
      <c r="L22" s="459"/>
      <c r="M22" s="459"/>
      <c r="N22" s="459"/>
      <c r="O22" s="459"/>
      <c r="P22" s="459"/>
      <c r="Q22" s="459"/>
      <c r="R22" s="459"/>
      <c r="S22" s="459"/>
      <c r="T22" s="459"/>
      <c r="U22" s="459"/>
      <c r="V22" s="459"/>
      <c r="W22" s="459"/>
      <c r="X22" s="459"/>
      <c r="Y22" s="459"/>
      <c r="Z22" s="459"/>
      <c r="AA22" s="459"/>
    </row>
    <row r="23" spans="1:60" ht="5.5" customHeight="1" x14ac:dyDescent="0.2">
      <c r="AA23" s="15"/>
    </row>
    <row r="24" spans="1:60" ht="13.5" customHeight="1" x14ac:dyDescent="0.2">
      <c r="B24" s="66"/>
      <c r="C24" s="338" t="s">
        <v>172</v>
      </c>
      <c r="D24" s="338"/>
      <c r="E24" s="338"/>
      <c r="F24" s="338"/>
      <c r="G24" s="338"/>
      <c r="H24" s="338"/>
      <c r="I24" s="338"/>
      <c r="J24" s="338"/>
      <c r="K24" s="338"/>
      <c r="L24" s="338"/>
      <c r="M24" s="338"/>
      <c r="N24" s="338"/>
      <c r="O24" s="338"/>
      <c r="P24" s="338"/>
      <c r="Q24" s="338"/>
      <c r="R24" s="338"/>
      <c r="S24" s="338"/>
      <c r="T24" s="338"/>
      <c r="U24" s="338"/>
      <c r="V24" s="338"/>
      <c r="W24" s="338"/>
      <c r="X24" s="338"/>
      <c r="Y24" s="338"/>
      <c r="Z24" s="338"/>
      <c r="AA24" s="338"/>
    </row>
    <row r="25" spans="1:60" x14ac:dyDescent="0.2">
      <c r="C25" s="338"/>
      <c r="D25" s="338"/>
      <c r="E25" s="338"/>
      <c r="F25" s="338"/>
      <c r="G25" s="338"/>
      <c r="H25" s="338"/>
      <c r="I25" s="338"/>
      <c r="J25" s="338"/>
      <c r="K25" s="338"/>
      <c r="L25" s="338"/>
      <c r="M25" s="338"/>
      <c r="N25" s="338"/>
      <c r="O25" s="338"/>
      <c r="P25" s="338"/>
      <c r="Q25" s="338"/>
      <c r="R25" s="338"/>
      <c r="S25" s="338"/>
      <c r="T25" s="338"/>
      <c r="U25" s="338"/>
      <c r="V25" s="338"/>
      <c r="W25" s="338"/>
      <c r="X25" s="338"/>
      <c r="Y25" s="338"/>
      <c r="Z25" s="338"/>
      <c r="AA25" s="338"/>
    </row>
    <row r="26" spans="1:60" ht="5.25" customHeight="1" x14ac:dyDescent="0.2">
      <c r="C26" s="17"/>
      <c r="D26" s="16"/>
    </row>
    <row r="27" spans="1:60" ht="4.5" customHeight="1" x14ac:dyDescent="0.2">
      <c r="C27" s="16"/>
    </row>
    <row r="28" spans="1:60" ht="3.75" customHeight="1" x14ac:dyDescent="0.2">
      <c r="C28" s="16"/>
    </row>
    <row r="29" spans="1:60" x14ac:dyDescent="0.2">
      <c r="D29" s="396" t="s">
        <v>1</v>
      </c>
      <c r="E29" s="397"/>
      <c r="F29" s="397"/>
      <c r="G29" s="397"/>
      <c r="H29" s="342"/>
      <c r="I29" s="345" t="s">
        <v>85</v>
      </c>
      <c r="J29" s="346"/>
      <c r="K29" s="346"/>
      <c r="L29" s="347"/>
      <c r="M29" s="348"/>
      <c r="N29" s="349"/>
      <c r="O29" s="349"/>
      <c r="P29" s="349"/>
      <c r="Q29" s="349"/>
      <c r="R29" s="349"/>
      <c r="S29" s="349"/>
      <c r="T29" s="349"/>
      <c r="U29" s="349"/>
      <c r="V29" s="349"/>
      <c r="W29" s="349"/>
      <c r="X29" s="350"/>
      <c r="AB29" s="5" t="str">
        <f>IF(M29="","←リストから選択してください（市町村名）","")</f>
        <v>←リストから選択してください（市町村名）</v>
      </c>
      <c r="BG29" s="1" t="str">
        <f>IF(M29="","",VLOOKUP(M29,BG1:BH19,2,FALSE))</f>
        <v/>
      </c>
    </row>
    <row r="30" spans="1:60" x14ac:dyDescent="0.2">
      <c r="D30" s="399"/>
      <c r="E30" s="400"/>
      <c r="F30" s="400"/>
      <c r="G30" s="400"/>
      <c r="H30" s="343"/>
      <c r="I30" s="420"/>
      <c r="J30" s="421"/>
      <c r="K30" s="421"/>
      <c r="L30" s="421"/>
      <c r="M30" s="421"/>
      <c r="N30" s="421"/>
      <c r="O30" s="421"/>
      <c r="P30" s="421"/>
      <c r="Q30" s="421"/>
      <c r="R30" s="421"/>
      <c r="S30" s="421"/>
      <c r="T30" s="421"/>
      <c r="U30" s="421"/>
      <c r="V30" s="421"/>
      <c r="W30" s="421"/>
      <c r="X30" s="422"/>
      <c r="AB30" s="5" t="str">
        <f>IF(I30="","←市町村名より後の所在地を直接記入してください","")</f>
        <v>←市町村名より後の所在地を直接記入してください</v>
      </c>
    </row>
    <row r="31" spans="1:60" x14ac:dyDescent="0.2">
      <c r="D31" s="396" t="s">
        <v>123</v>
      </c>
      <c r="E31" s="397"/>
      <c r="F31" s="397"/>
      <c r="G31" s="397"/>
      <c r="H31" s="342"/>
      <c r="I31" s="348" t="s">
        <v>442</v>
      </c>
      <c r="J31" s="349"/>
      <c r="K31" s="349"/>
      <c r="L31" s="349"/>
      <c r="M31" s="349"/>
      <c r="N31" s="350"/>
      <c r="O31" s="345" t="s">
        <v>89</v>
      </c>
      <c r="P31" s="346"/>
      <c r="Q31" s="346"/>
      <c r="R31" s="347"/>
      <c r="S31" s="451"/>
      <c r="T31" s="452"/>
      <c r="U31" s="452"/>
      <c r="V31" s="452"/>
      <c r="W31" s="346" t="s">
        <v>76</v>
      </c>
      <c r="X31" s="347"/>
      <c r="AB31" s="5" t="str">
        <f>IF(I31="","←リストから選択してください（増築、改築、修繕、模様替）","")</f>
        <v/>
      </c>
    </row>
    <row r="32" spans="1:60" x14ac:dyDescent="0.2">
      <c r="D32" s="396" t="s">
        <v>117</v>
      </c>
      <c r="E32" s="397"/>
      <c r="F32" s="397"/>
      <c r="G32" s="397"/>
      <c r="H32" s="342"/>
      <c r="I32" s="441"/>
      <c r="J32" s="442"/>
      <c r="K32" s="442"/>
      <c r="L32" s="342" t="s">
        <v>137</v>
      </c>
      <c r="M32" s="431"/>
      <c r="N32" s="431"/>
      <c r="O32" s="431"/>
      <c r="P32" s="431"/>
      <c r="Q32" s="431"/>
      <c r="R32" s="448"/>
      <c r="S32" s="448"/>
      <c r="T32" s="448"/>
      <c r="U32" s="448"/>
      <c r="V32" s="392"/>
      <c r="W32" s="392"/>
      <c r="X32" s="56"/>
      <c r="AB32" s="18" t="str">
        <f>IF(I32="","←延床面積を入力してください。",IF(AND(I31="併用住宅",V32=""),"←面積を入力してください。",""))</f>
        <v>←延床面積を入力してください。</v>
      </c>
    </row>
    <row r="33" spans="2:28" x14ac:dyDescent="0.2">
      <c r="D33" s="399"/>
      <c r="E33" s="400"/>
      <c r="F33" s="400"/>
      <c r="G33" s="400"/>
      <c r="H33" s="343"/>
      <c r="I33" s="441"/>
      <c r="J33" s="442"/>
      <c r="K33" s="442"/>
      <c r="L33" s="343"/>
      <c r="M33" s="431"/>
      <c r="N33" s="431"/>
      <c r="O33" s="431"/>
      <c r="P33" s="431"/>
      <c r="Q33" s="431"/>
      <c r="R33" s="448"/>
      <c r="S33" s="448"/>
      <c r="T33" s="448"/>
      <c r="U33" s="448"/>
      <c r="V33" s="392"/>
      <c r="W33" s="392"/>
      <c r="X33" s="57"/>
      <c r="AB33" s="18" t="str">
        <f>IF(AND(I31="併用住宅",V33=""),"←面積を入力してください。","")</f>
        <v/>
      </c>
    </row>
    <row r="34" spans="2:28" x14ac:dyDescent="0.2">
      <c r="D34" s="354" t="s">
        <v>27</v>
      </c>
      <c r="E34" s="354"/>
      <c r="F34" s="354"/>
      <c r="G34" s="354"/>
      <c r="H34" s="354"/>
      <c r="I34" s="447"/>
      <c r="J34" s="447"/>
      <c r="K34" s="447"/>
      <c r="L34" s="447"/>
      <c r="M34" s="447"/>
      <c r="N34" s="447"/>
      <c r="O34" s="447"/>
      <c r="P34" s="447"/>
      <c r="Q34" s="447"/>
      <c r="R34" s="447"/>
      <c r="S34" s="447"/>
      <c r="T34" s="447"/>
      <c r="U34" s="447"/>
      <c r="V34" s="447"/>
      <c r="W34" s="447"/>
      <c r="X34" s="447"/>
      <c r="AB34" s="5" t="str">
        <f>IF(I34="","←リストから選択してください（在来軸組工法・その他）","")</f>
        <v>←リストから選択してください（在来軸組工法・その他）</v>
      </c>
    </row>
    <row r="35" spans="2:28" x14ac:dyDescent="0.2">
      <c r="D35" s="396" t="s">
        <v>2</v>
      </c>
      <c r="E35" s="397"/>
      <c r="F35" s="397"/>
      <c r="G35" s="397"/>
      <c r="H35" s="342"/>
      <c r="I35" s="355" t="s">
        <v>118</v>
      </c>
      <c r="J35" s="356"/>
      <c r="K35" s="356"/>
      <c r="L35" s="356"/>
      <c r="M35" s="356"/>
      <c r="N35" s="450"/>
      <c r="O35" s="450"/>
      <c r="P35" s="450"/>
      <c r="Q35" s="450"/>
      <c r="R35" s="39" t="s">
        <v>9</v>
      </c>
      <c r="S35" s="344"/>
      <c r="T35" s="344"/>
      <c r="U35" s="39" t="s">
        <v>25</v>
      </c>
      <c r="V35" s="344"/>
      <c r="W35" s="344"/>
      <c r="X35" s="40" t="s">
        <v>8</v>
      </c>
      <c r="AB35" s="5" t="str">
        <f>IF(OR(N35="",S35="",V35=""),"←リストから選択してください（和暦年月日）","")</f>
        <v>←リストから選択してください（和暦年月日）</v>
      </c>
    </row>
    <row r="36" spans="2:28" x14ac:dyDescent="0.2">
      <c r="D36" s="399"/>
      <c r="E36" s="400"/>
      <c r="F36" s="400"/>
      <c r="G36" s="400"/>
      <c r="H36" s="343"/>
      <c r="I36" s="457" t="s">
        <v>119</v>
      </c>
      <c r="J36" s="458"/>
      <c r="K36" s="458"/>
      <c r="L36" s="458"/>
      <c r="M36" s="458"/>
      <c r="N36" s="414"/>
      <c r="O36" s="414"/>
      <c r="P36" s="414"/>
      <c r="Q36" s="414"/>
      <c r="R36" s="19" t="s">
        <v>9</v>
      </c>
      <c r="S36" s="351"/>
      <c r="T36" s="351"/>
      <c r="U36" s="19" t="s">
        <v>25</v>
      </c>
      <c r="V36" s="351"/>
      <c r="W36" s="351"/>
      <c r="X36" s="20" t="s">
        <v>8</v>
      </c>
      <c r="AB36" s="5" t="str">
        <f>IF(OR(N36="",S36="",V36=""),"←リストから選択してください（和暦年月日）","")</f>
        <v>←リストから選択してください（和暦年月日）</v>
      </c>
    </row>
    <row r="37" spans="2:28" ht="11.15" customHeight="1" x14ac:dyDescent="0.2">
      <c r="D37" s="453" t="str">
        <f>IF(I34="その他","（工法名）","")</f>
        <v/>
      </c>
      <c r="E37" s="453"/>
      <c r="F37" s="453"/>
      <c r="G37" s="453"/>
      <c r="H37" s="453"/>
      <c r="I37" s="454"/>
      <c r="J37" s="454"/>
      <c r="K37" s="454"/>
      <c r="L37" s="454"/>
      <c r="M37" s="454"/>
      <c r="N37" s="454"/>
      <c r="O37" s="454"/>
      <c r="P37" s="454"/>
      <c r="Q37" s="454"/>
      <c r="R37" s="454"/>
      <c r="S37" s="454"/>
      <c r="T37" s="454"/>
      <c r="U37" s="454"/>
      <c r="V37" s="454"/>
      <c r="W37" s="454"/>
      <c r="X37" s="454"/>
      <c r="Y37" s="21" t="str">
        <f>IF(AND($I$34="その他",I37=""),"←工法を直接入力してください","")</f>
        <v/>
      </c>
    </row>
    <row r="38" spans="2:28" ht="2.5" customHeight="1" x14ac:dyDescent="0.2">
      <c r="AA38" s="15"/>
    </row>
    <row r="39" spans="2:28" x14ac:dyDescent="0.2">
      <c r="B39" s="66"/>
      <c r="C39" s="1" t="s">
        <v>114</v>
      </c>
    </row>
    <row r="40" spans="2:28" x14ac:dyDescent="0.2">
      <c r="D40" s="345" t="s">
        <v>3</v>
      </c>
      <c r="E40" s="346"/>
      <c r="F40" s="346"/>
      <c r="G40" s="346"/>
      <c r="H40" s="347"/>
      <c r="I40" s="449"/>
      <c r="J40" s="429"/>
      <c r="K40" s="429"/>
      <c r="L40" s="429"/>
      <c r="M40" s="429"/>
      <c r="N40" s="429"/>
      <c r="O40" s="429"/>
      <c r="P40" s="429"/>
      <c r="Q40" s="429"/>
      <c r="R40" s="429"/>
      <c r="S40" s="429"/>
      <c r="T40" s="429"/>
      <c r="U40" s="429"/>
      <c r="V40" s="429"/>
      <c r="W40" s="429"/>
      <c r="X40" s="430"/>
      <c r="AB40" s="5" t="str">
        <f>IF(I40="","←直接記入してください","")</f>
        <v>←直接記入してください</v>
      </c>
    </row>
    <row r="41" spans="2:28" x14ac:dyDescent="0.2">
      <c r="D41" s="345" t="s">
        <v>4</v>
      </c>
      <c r="E41" s="346"/>
      <c r="F41" s="346"/>
      <c r="G41" s="346"/>
      <c r="H41" s="347"/>
      <c r="I41" s="420"/>
      <c r="J41" s="421"/>
      <c r="K41" s="421"/>
      <c r="L41" s="421"/>
      <c r="M41" s="421"/>
      <c r="N41" s="421"/>
      <c r="O41" s="421"/>
      <c r="P41" s="421"/>
      <c r="Q41" s="421"/>
      <c r="R41" s="421"/>
      <c r="S41" s="421"/>
      <c r="T41" s="421"/>
      <c r="U41" s="421"/>
      <c r="V41" s="421"/>
      <c r="W41" s="421"/>
      <c r="X41" s="422"/>
      <c r="AB41" s="5" t="str">
        <f>IF(I41="","←直接記入してください","")</f>
        <v>←直接記入してください</v>
      </c>
    </row>
    <row r="42" spans="2:28" x14ac:dyDescent="0.2">
      <c r="D42" s="345" t="s">
        <v>26</v>
      </c>
      <c r="E42" s="346"/>
      <c r="F42" s="346"/>
      <c r="G42" s="346"/>
      <c r="H42" s="347"/>
      <c r="I42" s="443"/>
      <c r="J42" s="444"/>
      <c r="K42" s="444"/>
      <c r="L42" s="444"/>
      <c r="M42" s="444"/>
      <c r="N42" s="444"/>
      <c r="O42" s="444"/>
      <c r="P42" s="444"/>
      <c r="Q42" s="444"/>
      <c r="R42" s="444"/>
      <c r="S42" s="444"/>
      <c r="T42" s="444"/>
      <c r="U42" s="444"/>
      <c r="V42" s="444"/>
      <c r="W42" s="444"/>
      <c r="X42" s="445"/>
      <c r="AB42" s="5" t="str">
        <f>IF(I42="","←直接記入してください","")</f>
        <v>←直接記入してください</v>
      </c>
    </row>
    <row r="43" spans="2:28" ht="5.5" customHeight="1" x14ac:dyDescent="0.2"/>
    <row r="44" spans="2:28" x14ac:dyDescent="0.2">
      <c r="B44" s="66"/>
      <c r="C44" s="1" t="s">
        <v>113</v>
      </c>
    </row>
    <row r="45" spans="2:28" x14ac:dyDescent="0.2">
      <c r="D45" s="345" t="s">
        <v>28</v>
      </c>
      <c r="E45" s="346"/>
      <c r="F45" s="346"/>
      <c r="G45" s="346"/>
      <c r="H45" s="347"/>
      <c r="I45" s="348"/>
      <c r="J45" s="349"/>
      <c r="K45" s="349"/>
      <c r="L45" s="349"/>
      <c r="M45" s="349"/>
      <c r="N45" s="350"/>
      <c r="O45" s="345" t="s">
        <v>124</v>
      </c>
      <c r="P45" s="346"/>
      <c r="Q45" s="346"/>
      <c r="R45" s="346"/>
      <c r="S45" s="347"/>
      <c r="T45" s="348"/>
      <c r="U45" s="349"/>
      <c r="V45" s="349"/>
      <c r="W45" s="349"/>
      <c r="X45" s="349"/>
      <c r="Y45" s="350"/>
      <c r="AB45" s="5" t="str">
        <f>IF(OR(I45="",T45=""),"←リストから選択してください（要・不要）","")</f>
        <v>←リストから選択してください（要・不要）</v>
      </c>
    </row>
    <row r="46" spans="2:28" x14ac:dyDescent="0.2">
      <c r="D46" s="345" t="s">
        <v>238</v>
      </c>
      <c r="E46" s="346"/>
      <c r="F46" s="346"/>
      <c r="G46" s="346"/>
      <c r="H46" s="347"/>
      <c r="I46" s="348"/>
      <c r="J46" s="349"/>
      <c r="K46" s="349"/>
      <c r="L46" s="349"/>
      <c r="M46" s="349"/>
      <c r="N46" s="350"/>
      <c r="O46" s="355" t="s">
        <v>239</v>
      </c>
      <c r="P46" s="356"/>
      <c r="Q46" s="356"/>
      <c r="R46" s="356"/>
      <c r="S46" s="357"/>
      <c r="T46" s="361"/>
      <c r="U46" s="362"/>
      <c r="V46" s="362"/>
      <c r="W46" s="362"/>
      <c r="X46" s="362"/>
      <c r="Y46" s="363"/>
      <c r="AB46" s="5" t="str">
        <f>IF(OR(I46="",T46=""),"←リストから選択してください（有・無）","")</f>
        <v>←リストから選択してください（有・無）</v>
      </c>
    </row>
    <row r="47" spans="2:28" x14ac:dyDescent="0.2">
      <c r="D47" s="364" t="s">
        <v>240</v>
      </c>
      <c r="E47" s="365"/>
      <c r="F47" s="365"/>
      <c r="G47" s="365"/>
      <c r="H47" s="365"/>
      <c r="I47" s="365"/>
      <c r="J47" s="365"/>
      <c r="K47" s="365"/>
      <c r="L47" s="365"/>
      <c r="M47" s="365"/>
      <c r="N47" s="366"/>
      <c r="O47" s="367"/>
      <c r="P47" s="368"/>
      <c r="Q47" s="368"/>
      <c r="R47" s="110" t="s">
        <v>9</v>
      </c>
      <c r="S47" s="369"/>
      <c r="T47" s="369"/>
      <c r="U47" s="110" t="s">
        <v>25</v>
      </c>
      <c r="V47" s="369"/>
      <c r="W47" s="369"/>
      <c r="X47" s="110" t="s">
        <v>8</v>
      </c>
      <c r="Y47" s="111"/>
      <c r="AB47" s="5" t="str">
        <f>IF(AND(OR(I45="要",T45="要"),OR(O47="",S47="",V47="")),"←リストから選択してください（和暦年月日）","")</f>
        <v/>
      </c>
    </row>
    <row r="48" spans="2:28" ht="15.75" customHeight="1" x14ac:dyDescent="0.2">
      <c r="E48" s="41" t="str">
        <f>IF(I45="要","＜実績報告時の提出書類＞検査済証の写し",IF(T45="要","＜実績報告時の提出書類＞建築工事届の写し",""))</f>
        <v/>
      </c>
    </row>
    <row r="49" spans="2:55" x14ac:dyDescent="0.2">
      <c r="B49" s="66"/>
      <c r="C49" s="1" t="s">
        <v>163</v>
      </c>
    </row>
    <row r="50" spans="2:55" ht="5.5" customHeight="1" x14ac:dyDescent="0.2"/>
    <row r="51" spans="2:55" ht="13.5" customHeight="1" x14ac:dyDescent="0.2">
      <c r="B51" s="66"/>
      <c r="C51" s="30" t="s">
        <v>244</v>
      </c>
      <c r="D51" s="116"/>
      <c r="E51" s="30"/>
      <c r="F51" s="30"/>
      <c r="G51" s="30"/>
      <c r="H51" s="30"/>
      <c r="I51" s="30"/>
      <c r="J51" s="30"/>
      <c r="K51" s="30"/>
      <c r="L51" s="30"/>
      <c r="M51" s="30"/>
      <c r="N51" s="30"/>
      <c r="O51" s="30"/>
      <c r="P51" s="30"/>
      <c r="Q51" s="30"/>
      <c r="R51" s="30"/>
      <c r="S51" s="30"/>
      <c r="T51" s="30"/>
      <c r="U51" s="30"/>
      <c r="V51" s="30"/>
      <c r="W51" s="30"/>
      <c r="X51" s="30"/>
      <c r="Y51" s="30"/>
      <c r="Z51" s="30"/>
    </row>
    <row r="52" spans="2:55" ht="13.5" customHeight="1" x14ac:dyDescent="0.2">
      <c r="C52" s="30" t="str">
        <f>IF(B51="✔","⇒省エネ改修の補助金については別途申請が必要です。","")</f>
        <v/>
      </c>
      <c r="D52" s="116"/>
      <c r="E52" s="30"/>
      <c r="F52" s="30"/>
      <c r="G52" s="30"/>
      <c r="H52" s="30"/>
      <c r="I52" s="30"/>
      <c r="J52" s="30"/>
      <c r="K52" s="30"/>
      <c r="L52" s="30"/>
      <c r="M52" s="30"/>
      <c r="N52" s="30"/>
      <c r="O52" s="30"/>
      <c r="P52" s="30"/>
      <c r="Q52" s="30"/>
      <c r="R52" s="30"/>
      <c r="S52" s="30"/>
      <c r="T52" s="30"/>
      <c r="U52" s="30"/>
      <c r="V52" s="30"/>
      <c r="W52" s="30"/>
      <c r="X52" s="30"/>
      <c r="Y52" s="30"/>
      <c r="Z52" s="30"/>
    </row>
    <row r="53" spans="2:55" ht="5.5" customHeight="1" x14ac:dyDescent="0.2"/>
    <row r="54" spans="2:55" ht="13.5" customHeight="1" x14ac:dyDescent="0.2">
      <c r="B54" s="66"/>
      <c r="C54" s="30" t="s">
        <v>435</v>
      </c>
      <c r="D54" s="116"/>
      <c r="E54" s="30"/>
      <c r="F54" s="30"/>
      <c r="G54" s="30"/>
      <c r="H54" s="30"/>
      <c r="I54" s="30"/>
      <c r="J54" s="30"/>
      <c r="K54" s="30"/>
      <c r="L54" s="30"/>
      <c r="M54" s="30"/>
      <c r="N54" s="30"/>
      <c r="O54" s="30"/>
      <c r="P54" s="30"/>
      <c r="Q54" s="30"/>
      <c r="R54" s="30"/>
      <c r="S54" s="30"/>
      <c r="T54" s="30"/>
      <c r="U54" s="30"/>
      <c r="V54" s="30"/>
      <c r="W54" s="30"/>
      <c r="X54" s="30"/>
      <c r="Y54" s="30"/>
      <c r="Z54" s="30"/>
    </row>
    <row r="55" spans="2:55" ht="6" customHeight="1" x14ac:dyDescent="0.2">
      <c r="C55" s="30"/>
      <c r="D55" s="116"/>
      <c r="E55" s="30"/>
      <c r="F55" s="30"/>
      <c r="G55" s="30"/>
      <c r="H55" s="30"/>
      <c r="I55" s="30"/>
      <c r="J55" s="30"/>
      <c r="K55" s="30"/>
      <c r="L55" s="30"/>
      <c r="M55" s="30"/>
      <c r="N55" s="30"/>
      <c r="O55" s="30"/>
      <c r="P55" s="30"/>
      <c r="Q55" s="30"/>
      <c r="R55" s="30"/>
      <c r="S55" s="30"/>
      <c r="T55" s="30"/>
      <c r="U55" s="30"/>
      <c r="V55" s="30"/>
      <c r="W55" s="30"/>
      <c r="X55" s="30"/>
      <c r="Y55" s="30"/>
      <c r="Z55" s="30"/>
    </row>
    <row r="56" spans="2:55" ht="13.5" customHeight="1" x14ac:dyDescent="0.2">
      <c r="B56" s="66"/>
      <c r="C56" s="30" t="s">
        <v>440</v>
      </c>
      <c r="D56" s="116"/>
      <c r="E56" s="30"/>
      <c r="F56" s="30"/>
      <c r="G56" s="30"/>
      <c r="H56" s="30"/>
      <c r="I56" s="30"/>
      <c r="J56" s="30"/>
      <c r="K56" s="30"/>
      <c r="L56" s="30"/>
      <c r="M56" s="30"/>
      <c r="N56" s="30"/>
      <c r="O56" s="30"/>
      <c r="P56" s="30"/>
      <c r="Q56" s="30"/>
      <c r="R56" s="30"/>
      <c r="S56" s="30"/>
      <c r="T56" s="30"/>
      <c r="U56" s="30"/>
      <c r="V56" s="30"/>
      <c r="W56" s="30"/>
      <c r="X56" s="30"/>
      <c r="Y56" s="30"/>
      <c r="Z56" s="30"/>
    </row>
    <row r="57" spans="2:55" ht="4" customHeight="1" x14ac:dyDescent="0.2">
      <c r="B57" s="336"/>
      <c r="C57" s="30"/>
      <c r="D57" s="116"/>
      <c r="E57" s="30"/>
      <c r="F57" s="30"/>
      <c r="G57" s="30"/>
      <c r="H57" s="30"/>
      <c r="I57" s="30"/>
      <c r="J57" s="30"/>
      <c r="K57" s="30"/>
      <c r="L57" s="30"/>
      <c r="M57" s="30"/>
      <c r="N57" s="30"/>
      <c r="O57" s="30"/>
      <c r="P57" s="30"/>
      <c r="Q57" s="30"/>
      <c r="R57" s="30"/>
      <c r="S57" s="30"/>
      <c r="T57" s="30"/>
      <c r="U57" s="30"/>
      <c r="V57" s="30"/>
      <c r="W57" s="30"/>
      <c r="X57" s="30"/>
      <c r="Y57" s="30"/>
      <c r="Z57" s="30"/>
    </row>
    <row r="58" spans="2:55" ht="13.5" customHeight="1" x14ac:dyDescent="0.2">
      <c r="B58" s="336"/>
      <c r="C58" s="66"/>
      <c r="D58" s="30" t="s">
        <v>441</v>
      </c>
      <c r="E58" s="30"/>
      <c r="F58" s="30"/>
      <c r="G58" s="30"/>
      <c r="H58" s="30"/>
      <c r="I58" s="30"/>
      <c r="J58" s="30"/>
      <c r="K58" s="30"/>
      <c r="L58" s="30"/>
      <c r="M58" s="30"/>
      <c r="N58" s="30"/>
      <c r="O58" s="30"/>
      <c r="P58" s="30"/>
      <c r="Q58" s="30"/>
      <c r="R58" s="30"/>
      <c r="S58" s="30"/>
      <c r="T58" s="30"/>
      <c r="U58" s="30"/>
      <c r="V58" s="30"/>
      <c r="W58" s="30"/>
      <c r="X58" s="30"/>
      <c r="Y58" s="30"/>
      <c r="Z58" s="30"/>
    </row>
    <row r="59" spans="2:55" ht="12.75" customHeight="1" x14ac:dyDescent="0.2">
      <c r="B59" s="336"/>
      <c r="C59" s="116"/>
      <c r="D59" s="116" t="str">
        <f>IF(B56="✔",(IF(C58="✔","","地域型グリーン化事業に県産材の材料代を含めている場合、住まいる支援事業は利用できません")),"")</f>
        <v/>
      </c>
      <c r="E59" s="30"/>
      <c r="F59" s="30"/>
      <c r="G59" s="30"/>
      <c r="H59" s="30"/>
      <c r="I59" s="30"/>
      <c r="J59" s="30"/>
      <c r="K59" s="30"/>
      <c r="L59" s="30"/>
      <c r="M59" s="30"/>
      <c r="N59" s="30"/>
      <c r="O59" s="30"/>
      <c r="P59" s="30"/>
      <c r="Q59" s="30"/>
      <c r="R59" s="30"/>
      <c r="S59" s="30"/>
      <c r="T59" s="30"/>
      <c r="U59" s="30"/>
      <c r="V59" s="30"/>
      <c r="W59" s="30"/>
      <c r="X59" s="30"/>
      <c r="Y59" s="30"/>
      <c r="Z59" s="30"/>
    </row>
    <row r="60" spans="2:55" x14ac:dyDescent="0.2">
      <c r="B60" s="66"/>
      <c r="C60" s="1" t="s">
        <v>243</v>
      </c>
    </row>
    <row r="61" spans="2:55" ht="27" customHeight="1" x14ac:dyDescent="0.2">
      <c r="D61" s="411" t="s">
        <v>41</v>
      </c>
      <c r="E61" s="412"/>
      <c r="F61" s="412"/>
      <c r="G61" s="412"/>
      <c r="H61" s="413"/>
      <c r="I61" s="348"/>
      <c r="J61" s="349"/>
      <c r="K61" s="349"/>
      <c r="L61" s="349"/>
      <c r="M61" s="349"/>
      <c r="N61" s="350"/>
      <c r="P61" s="373"/>
      <c r="Q61" s="373"/>
      <c r="R61" s="373"/>
      <c r="S61" s="373"/>
      <c r="T61" s="373"/>
      <c r="U61" s="373"/>
      <c r="V61" s="373"/>
      <c r="W61" s="373"/>
      <c r="X61" s="373"/>
      <c r="Y61" s="373"/>
      <c r="Z61" s="373"/>
      <c r="AA61" s="373"/>
      <c r="AB61" s="5" t="str">
        <f>IF(I61="","←リストから選択してください（有・無）","")</f>
        <v>←リストから選択してください（有・無）</v>
      </c>
    </row>
    <row r="62" spans="2:55" ht="7.5" customHeight="1" x14ac:dyDescent="0.2">
      <c r="E62" s="16"/>
      <c r="P62" s="22"/>
    </row>
    <row r="63" spans="2:55" s="328" customFormat="1" ht="10.5" customHeight="1" x14ac:dyDescent="0.2">
      <c r="D63" s="329" t="s">
        <v>436</v>
      </c>
      <c r="E63" s="330"/>
      <c r="F63" s="330"/>
      <c r="G63" s="330"/>
      <c r="H63" s="330"/>
      <c r="I63" s="331"/>
      <c r="J63" s="331"/>
      <c r="K63" s="331"/>
      <c r="L63" s="331"/>
      <c r="M63" s="331"/>
      <c r="N63" s="331"/>
      <c r="O63" s="331"/>
      <c r="P63" s="331"/>
      <c r="Q63" s="331"/>
      <c r="R63" s="331"/>
      <c r="S63" s="331"/>
      <c r="T63" s="331"/>
      <c r="U63" s="331"/>
      <c r="V63" s="331"/>
      <c r="W63" s="331"/>
      <c r="X63" s="331"/>
      <c r="Y63" s="332"/>
      <c r="AA63" s="333"/>
      <c r="AB63" s="334"/>
      <c r="AC63" s="334"/>
      <c r="AD63" s="334"/>
      <c r="AE63" s="334"/>
      <c r="AF63" s="334"/>
      <c r="AG63" s="334"/>
      <c r="AH63" s="334"/>
      <c r="AI63" s="334"/>
      <c r="AJ63" s="334"/>
      <c r="AK63" s="334"/>
      <c r="AL63" s="334"/>
      <c r="AM63" s="334"/>
      <c r="AN63" s="334"/>
      <c r="AO63" s="334"/>
      <c r="AP63" s="334"/>
      <c r="AQ63" s="334"/>
      <c r="AR63" s="334"/>
      <c r="AS63" s="334"/>
      <c r="AT63" s="334"/>
      <c r="AU63" s="334"/>
      <c r="AV63" s="334"/>
      <c r="AW63" s="334"/>
      <c r="AX63" s="334"/>
      <c r="AY63" s="334"/>
      <c r="AZ63" s="334"/>
      <c r="BA63" s="334"/>
      <c r="BB63" s="334"/>
      <c r="BC63" s="334"/>
    </row>
    <row r="64" spans="2:55" s="328" customFormat="1" ht="3.75" customHeight="1" x14ac:dyDescent="0.2">
      <c r="D64" s="330"/>
      <c r="E64" s="330"/>
      <c r="F64" s="330"/>
      <c r="G64" s="330"/>
      <c r="H64" s="330"/>
      <c r="I64" s="331"/>
      <c r="J64" s="331"/>
      <c r="K64" s="331"/>
      <c r="L64" s="331"/>
      <c r="M64" s="331"/>
      <c r="N64" s="331"/>
      <c r="O64" s="331"/>
      <c r="P64" s="331"/>
      <c r="Q64" s="331"/>
      <c r="R64" s="331"/>
      <c r="S64" s="331"/>
      <c r="T64" s="331"/>
      <c r="U64" s="331"/>
      <c r="V64" s="331"/>
      <c r="W64" s="331"/>
      <c r="X64" s="331"/>
      <c r="Y64" s="332"/>
      <c r="AA64" s="333"/>
      <c r="AB64" s="334"/>
      <c r="AC64" s="334"/>
      <c r="AD64" s="334"/>
      <c r="AE64" s="334"/>
      <c r="AF64" s="334"/>
      <c r="AG64" s="334"/>
      <c r="AH64" s="334"/>
      <c r="AI64" s="334"/>
      <c r="AJ64" s="334"/>
      <c r="AK64" s="334"/>
      <c r="AL64" s="334"/>
      <c r="AM64" s="334"/>
      <c r="AN64" s="334"/>
      <c r="AO64" s="334"/>
      <c r="AP64" s="334"/>
      <c r="AQ64" s="334"/>
      <c r="AR64" s="334"/>
      <c r="AS64" s="334"/>
      <c r="AT64" s="334"/>
      <c r="AU64" s="334"/>
      <c r="AV64" s="334"/>
      <c r="AW64" s="334"/>
      <c r="AX64" s="334"/>
      <c r="AY64" s="334"/>
      <c r="AZ64" s="334"/>
      <c r="BA64" s="334"/>
      <c r="BB64" s="334"/>
      <c r="BC64" s="334"/>
    </row>
    <row r="65" spans="1:28" ht="13.5" customHeight="1" x14ac:dyDescent="0.2">
      <c r="D65" s="411" t="s">
        <v>437</v>
      </c>
      <c r="E65" s="412"/>
      <c r="F65" s="412"/>
      <c r="G65" s="412"/>
      <c r="H65" s="412"/>
      <c r="I65" s="412"/>
      <c r="J65" s="412"/>
      <c r="K65" s="412"/>
      <c r="L65" s="412"/>
      <c r="M65" s="412"/>
      <c r="N65" s="412"/>
      <c r="O65" s="413"/>
      <c r="P65" s="345" t="s">
        <v>5</v>
      </c>
      <c r="Q65" s="346"/>
      <c r="R65" s="346"/>
      <c r="S65" s="346"/>
      <c r="T65" s="347"/>
      <c r="U65" s="345" t="s">
        <v>22</v>
      </c>
      <c r="V65" s="346"/>
      <c r="W65" s="346"/>
      <c r="X65" s="346"/>
      <c r="Y65" s="346"/>
      <c r="Z65" s="347"/>
    </row>
    <row r="66" spans="1:28" x14ac:dyDescent="0.2">
      <c r="D66" s="460"/>
      <c r="E66" s="461"/>
      <c r="F66" s="461"/>
      <c r="G66" s="461"/>
      <c r="H66" s="461"/>
      <c r="I66" s="461"/>
      <c r="J66" s="461"/>
      <c r="K66" s="461"/>
      <c r="L66" s="461"/>
      <c r="M66" s="461"/>
      <c r="N66" s="461"/>
      <c r="O66" s="462"/>
      <c r="P66" s="348"/>
      <c r="Q66" s="349"/>
      <c r="R66" s="349"/>
      <c r="S66" s="349"/>
      <c r="T66" s="350"/>
      <c r="U66" s="348"/>
      <c r="V66" s="349"/>
      <c r="W66" s="349"/>
      <c r="X66" s="349"/>
      <c r="Y66" s="349"/>
      <c r="Z66" s="350"/>
    </row>
    <row r="67" spans="1:28" x14ac:dyDescent="0.2">
      <c r="D67" s="460"/>
      <c r="E67" s="461"/>
      <c r="F67" s="461"/>
      <c r="G67" s="461"/>
      <c r="H67" s="461"/>
      <c r="I67" s="461"/>
      <c r="J67" s="461"/>
      <c r="K67" s="461"/>
      <c r="L67" s="461"/>
      <c r="M67" s="461"/>
      <c r="N67" s="461"/>
      <c r="O67" s="462"/>
      <c r="P67" s="348"/>
      <c r="Q67" s="349"/>
      <c r="R67" s="349"/>
      <c r="S67" s="349"/>
      <c r="T67" s="350"/>
      <c r="U67" s="348"/>
      <c r="V67" s="349"/>
      <c r="W67" s="349"/>
      <c r="X67" s="349"/>
      <c r="Y67" s="349"/>
      <c r="Z67" s="350"/>
    </row>
    <row r="68" spans="1:28" x14ac:dyDescent="0.2">
      <c r="D68" s="460"/>
      <c r="E68" s="461"/>
      <c r="F68" s="461"/>
      <c r="G68" s="461"/>
      <c r="H68" s="461"/>
      <c r="I68" s="461"/>
      <c r="J68" s="461"/>
      <c r="K68" s="461"/>
      <c r="L68" s="461"/>
      <c r="M68" s="461"/>
      <c r="N68" s="461"/>
      <c r="O68" s="462"/>
      <c r="P68" s="348"/>
      <c r="Q68" s="349"/>
      <c r="R68" s="349"/>
      <c r="S68" s="349"/>
      <c r="T68" s="350"/>
      <c r="U68" s="348"/>
      <c r="V68" s="349"/>
      <c r="W68" s="349"/>
      <c r="X68" s="349"/>
      <c r="Y68" s="349"/>
      <c r="Z68" s="350"/>
    </row>
    <row r="69" spans="1:28" x14ac:dyDescent="0.2">
      <c r="D69" s="460"/>
      <c r="E69" s="461"/>
      <c r="F69" s="461"/>
      <c r="G69" s="461"/>
      <c r="H69" s="461"/>
      <c r="I69" s="461"/>
      <c r="J69" s="461"/>
      <c r="K69" s="461"/>
      <c r="L69" s="461"/>
      <c r="M69" s="461"/>
      <c r="N69" s="461"/>
      <c r="O69" s="462"/>
      <c r="P69" s="348"/>
      <c r="Q69" s="349"/>
      <c r="R69" s="349"/>
      <c r="S69" s="349"/>
      <c r="T69" s="350"/>
      <c r="U69" s="348"/>
      <c r="V69" s="349"/>
      <c r="W69" s="349"/>
      <c r="X69" s="349"/>
      <c r="Y69" s="349"/>
      <c r="Z69" s="350"/>
    </row>
    <row r="70" spans="1:28" x14ac:dyDescent="0.2">
      <c r="D70" s="460"/>
      <c r="E70" s="461"/>
      <c r="F70" s="461"/>
      <c r="G70" s="461"/>
      <c r="H70" s="461"/>
      <c r="I70" s="461"/>
      <c r="J70" s="461"/>
      <c r="K70" s="461"/>
      <c r="L70" s="461"/>
      <c r="M70" s="461"/>
      <c r="N70" s="461"/>
      <c r="O70" s="462"/>
      <c r="P70" s="348"/>
      <c r="Q70" s="349"/>
      <c r="R70" s="349"/>
      <c r="S70" s="349"/>
      <c r="T70" s="350"/>
      <c r="U70" s="348"/>
      <c r="V70" s="349"/>
      <c r="W70" s="349"/>
      <c r="X70" s="349"/>
      <c r="Y70" s="349"/>
      <c r="Z70" s="350"/>
    </row>
    <row r="71" spans="1:28" x14ac:dyDescent="0.2">
      <c r="B71" s="66"/>
      <c r="C71" s="1" t="s">
        <v>241</v>
      </c>
      <c r="E71" s="16"/>
      <c r="P71" s="22"/>
    </row>
    <row r="72" spans="1:28" x14ac:dyDescent="0.2">
      <c r="B72" s="16"/>
      <c r="E72" s="52" t="str">
        <f>IF(B71="","",IF(OR(I44="有",T44="有"),"＜実績報告時の提出書類&gt;変更後の改修部分の図面に改修内容を記載したもの、配置図","＜実績報告時の提出書類＞変更後の改修部分の図面に改修内容を記載したもの"))</f>
        <v/>
      </c>
      <c r="P72" s="22"/>
    </row>
    <row r="73" spans="1:28" x14ac:dyDescent="0.2">
      <c r="A73" s="1" t="s">
        <v>33</v>
      </c>
    </row>
    <row r="74" spans="1:28" x14ac:dyDescent="0.2">
      <c r="B74" s="66"/>
      <c r="C74" s="338" t="s">
        <v>125</v>
      </c>
      <c r="D74" s="338"/>
      <c r="E74" s="338"/>
      <c r="F74" s="338"/>
      <c r="G74" s="338"/>
      <c r="H74" s="338"/>
      <c r="I74" s="338"/>
      <c r="J74" s="338"/>
      <c r="K74" s="338"/>
      <c r="L74" s="338"/>
      <c r="M74" s="338"/>
      <c r="N74" s="338"/>
      <c r="O74" s="338"/>
      <c r="P74" s="338"/>
      <c r="Q74" s="338"/>
      <c r="R74" s="338"/>
      <c r="S74" s="338"/>
      <c r="T74" s="338"/>
      <c r="U74" s="338"/>
      <c r="V74" s="338"/>
      <c r="W74" s="338"/>
      <c r="X74" s="338"/>
      <c r="Y74" s="338"/>
      <c r="Z74" s="338"/>
      <c r="AA74" s="338"/>
    </row>
    <row r="75" spans="1:28" x14ac:dyDescent="0.2">
      <c r="C75" s="338"/>
      <c r="D75" s="338"/>
      <c r="E75" s="338"/>
      <c r="F75" s="338"/>
      <c r="G75" s="338"/>
      <c r="H75" s="338"/>
      <c r="I75" s="338"/>
      <c r="J75" s="338"/>
      <c r="K75" s="338"/>
      <c r="L75" s="338"/>
      <c r="M75" s="338"/>
      <c r="N75" s="338"/>
      <c r="O75" s="338"/>
      <c r="P75" s="338"/>
      <c r="Q75" s="338"/>
      <c r="R75" s="338"/>
      <c r="S75" s="338"/>
      <c r="T75" s="338"/>
      <c r="U75" s="338"/>
      <c r="V75" s="338"/>
      <c r="W75" s="338"/>
      <c r="X75" s="338"/>
      <c r="Y75" s="338"/>
      <c r="Z75" s="338"/>
      <c r="AA75" s="338"/>
    </row>
    <row r="77" spans="1:28" x14ac:dyDescent="0.2">
      <c r="B77" s="66"/>
      <c r="C77" s="1" t="s">
        <v>86</v>
      </c>
    </row>
    <row r="78" spans="1:28" x14ac:dyDescent="0.2">
      <c r="D78" s="345" t="s">
        <v>79</v>
      </c>
      <c r="E78" s="346"/>
      <c r="F78" s="346"/>
      <c r="G78" s="346"/>
      <c r="H78" s="347"/>
      <c r="I78" s="438"/>
      <c r="J78" s="439"/>
      <c r="K78" s="439"/>
      <c r="L78" s="439"/>
      <c r="M78" s="439"/>
      <c r="N78" s="439"/>
      <c r="O78" s="439"/>
      <c r="P78" s="439"/>
      <c r="Q78" s="439"/>
      <c r="R78" s="439"/>
      <c r="S78" s="439"/>
      <c r="T78" s="439"/>
      <c r="U78" s="439"/>
      <c r="V78" s="439"/>
      <c r="W78" s="439"/>
      <c r="X78" s="440"/>
      <c r="AB78" s="5" t="str">
        <f>IF(AND(B77="✔",I78=""),"←直接入力してください","")</f>
        <v/>
      </c>
    </row>
    <row r="79" spans="1:28" x14ac:dyDescent="0.2">
      <c r="D79" s="41" t="s">
        <v>161</v>
      </c>
      <c r="E79" s="55"/>
      <c r="F79" s="55"/>
      <c r="G79" s="55"/>
      <c r="H79" s="55"/>
      <c r="I79" s="55"/>
      <c r="J79" s="55"/>
      <c r="K79" s="55"/>
      <c r="L79" s="55"/>
      <c r="M79" s="55"/>
      <c r="N79" s="55"/>
      <c r="O79" s="55"/>
      <c r="P79" s="55"/>
      <c r="Q79" s="55"/>
      <c r="R79" s="55"/>
      <c r="S79" s="55"/>
      <c r="T79" s="55"/>
      <c r="U79" s="55"/>
      <c r="V79" s="55"/>
      <c r="W79" s="55"/>
      <c r="X79" s="55"/>
      <c r="Y79" s="55"/>
      <c r="AB79" s="5"/>
    </row>
    <row r="80" spans="1:28" x14ac:dyDescent="0.2">
      <c r="F80" s="58"/>
      <c r="K80" s="43" t="s">
        <v>162</v>
      </c>
    </row>
    <row r="81" spans="1:39" x14ac:dyDescent="0.2">
      <c r="B81" s="66"/>
      <c r="C81" s="1" t="s">
        <v>87</v>
      </c>
    </row>
    <row r="82" spans="1:39" ht="21.65" customHeight="1" x14ac:dyDescent="0.2">
      <c r="B82" s="394" t="str">
        <f>IF(AND(B77="✔",B81="✔"),"「プレカットを行う場合は、県内のプレカット工場で加工すること。」と「プレカットを一切使用しない。」のどちらかを✔してください。","")</f>
        <v/>
      </c>
      <c r="C82" s="394"/>
      <c r="D82" s="394"/>
      <c r="E82" s="394"/>
      <c r="F82" s="394"/>
      <c r="G82" s="394"/>
      <c r="H82" s="394"/>
      <c r="I82" s="394"/>
      <c r="J82" s="394"/>
      <c r="K82" s="394"/>
      <c r="L82" s="394"/>
      <c r="M82" s="394"/>
      <c r="N82" s="394"/>
      <c r="O82" s="394"/>
      <c r="P82" s="394"/>
      <c r="Q82" s="394"/>
      <c r="R82" s="394"/>
      <c r="S82" s="394"/>
      <c r="T82" s="394"/>
      <c r="U82" s="394"/>
      <c r="V82" s="394"/>
      <c r="W82" s="394"/>
      <c r="X82" s="394"/>
      <c r="Y82" s="394"/>
      <c r="Z82" s="394"/>
      <c r="AA82" s="394"/>
    </row>
    <row r="83" spans="1:39" x14ac:dyDescent="0.2">
      <c r="AA83" s="29" t="s">
        <v>69</v>
      </c>
    </row>
    <row r="84" spans="1:39" x14ac:dyDescent="0.2">
      <c r="T84" s="23"/>
    </row>
    <row r="85" spans="1:39" ht="18" customHeight="1" x14ac:dyDescent="0.2">
      <c r="D85" s="345" t="s">
        <v>48</v>
      </c>
      <c r="E85" s="346"/>
      <c r="F85" s="346"/>
      <c r="G85" s="346"/>
      <c r="H85" s="346"/>
      <c r="I85" s="346"/>
      <c r="J85" s="346"/>
      <c r="K85" s="346"/>
      <c r="L85" s="346"/>
      <c r="M85" s="346"/>
      <c r="N85" s="346"/>
      <c r="O85" s="346"/>
      <c r="P85" s="347"/>
      <c r="Q85" s="345" t="s">
        <v>47</v>
      </c>
      <c r="R85" s="346"/>
      <c r="S85" s="346"/>
      <c r="T85" s="347"/>
      <c r="U85" s="455" t="str">
        <f>IF(I31="併用住宅","併用住宅の場合、住宅部分の使用量","")</f>
        <v/>
      </c>
      <c r="V85" s="455"/>
      <c r="W85" s="455"/>
      <c r="X85" s="455"/>
      <c r="Y85" s="393" t="s">
        <v>81</v>
      </c>
      <c r="Z85" s="393"/>
      <c r="AA85" s="393"/>
    </row>
    <row r="86" spans="1:39" ht="18" customHeight="1" x14ac:dyDescent="0.2">
      <c r="D86" s="355" t="s">
        <v>82</v>
      </c>
      <c r="E86" s="356"/>
      <c r="F86" s="356"/>
      <c r="G86" s="356"/>
      <c r="H86" s="356"/>
      <c r="I86" s="356"/>
      <c r="J86" s="356"/>
      <c r="K86" s="356"/>
      <c r="L86" s="356"/>
      <c r="M86" s="356"/>
      <c r="N86" s="356"/>
      <c r="O86" s="356"/>
      <c r="P86" s="357"/>
      <c r="Q86" s="358"/>
      <c r="R86" s="359"/>
      <c r="S86" s="359"/>
      <c r="T86" s="360"/>
      <c r="U86" s="455"/>
      <c r="V86" s="455"/>
      <c r="W86" s="455"/>
      <c r="X86" s="455"/>
      <c r="Y86" s="408"/>
      <c r="Z86" s="408"/>
      <c r="AA86" s="408"/>
      <c r="AE86" s="1"/>
      <c r="AF86" s="1"/>
      <c r="AG86" s="1"/>
      <c r="AH86" s="24"/>
      <c r="AI86" s="25"/>
      <c r="AJ86" s="25"/>
      <c r="AK86" s="25"/>
      <c r="AL86" s="25"/>
      <c r="AM86" s="25"/>
    </row>
    <row r="87" spans="1:39" ht="18" customHeight="1" x14ac:dyDescent="0.2">
      <c r="D87" s="26"/>
      <c r="E87" s="415" t="s">
        <v>130</v>
      </c>
      <c r="F87" s="416"/>
      <c r="G87" s="416"/>
      <c r="H87" s="416"/>
      <c r="I87" s="416"/>
      <c r="J87" s="416"/>
      <c r="K87" s="416"/>
      <c r="L87" s="416"/>
      <c r="M87" s="416"/>
      <c r="N87" s="416"/>
      <c r="O87" s="416"/>
      <c r="P87" s="417"/>
      <c r="Q87" s="358"/>
      <c r="R87" s="359"/>
      <c r="S87" s="359"/>
      <c r="T87" s="360"/>
      <c r="U87" s="432"/>
      <c r="V87" s="432"/>
      <c r="W87" s="432"/>
      <c r="X87" s="432"/>
      <c r="Y87" s="352" t="str">
        <f>IF(OR(Q87="",Q86=""),"",ROUNDDOWN(Q87,1)*2)</f>
        <v/>
      </c>
      <c r="Z87" s="353"/>
      <c r="AA87" s="27" t="s">
        <v>54</v>
      </c>
      <c r="AE87" s="1"/>
      <c r="AF87" s="1"/>
      <c r="AG87" s="1"/>
      <c r="AH87" s="24"/>
      <c r="AI87" s="25"/>
      <c r="AJ87" s="25"/>
      <c r="AK87" s="25"/>
      <c r="AL87" s="25"/>
      <c r="AM87" s="25"/>
    </row>
    <row r="88" spans="1:39" ht="18" customHeight="1" x14ac:dyDescent="0.2">
      <c r="D88" s="11"/>
      <c r="E88" s="383" t="s">
        <v>131</v>
      </c>
      <c r="F88" s="384"/>
      <c r="G88" s="384"/>
      <c r="H88" s="384"/>
      <c r="I88" s="384"/>
      <c r="J88" s="384"/>
      <c r="K88" s="384"/>
      <c r="L88" s="384"/>
      <c r="M88" s="384"/>
      <c r="N88" s="384"/>
      <c r="O88" s="384"/>
      <c r="P88" s="385"/>
      <c r="Q88" s="435"/>
      <c r="R88" s="436"/>
      <c r="S88" s="436"/>
      <c r="T88" s="437"/>
      <c r="U88" s="434"/>
      <c r="V88" s="434"/>
      <c r="W88" s="434"/>
      <c r="X88" s="434"/>
      <c r="Y88" s="352" t="str">
        <f>IF(Q88="","",INT(Q88)*0.2)</f>
        <v/>
      </c>
      <c r="Z88" s="353"/>
      <c r="AA88" s="27" t="s">
        <v>54</v>
      </c>
      <c r="AE88" s="1"/>
      <c r="AF88" s="1"/>
      <c r="AG88" s="1"/>
      <c r="AH88" s="24"/>
      <c r="AI88" s="25"/>
      <c r="AJ88" s="25"/>
      <c r="AK88" s="25"/>
      <c r="AL88" s="25"/>
      <c r="AM88" s="25"/>
    </row>
    <row r="89" spans="1:39" ht="18" customHeight="1" x14ac:dyDescent="0.2">
      <c r="E89" s="16"/>
      <c r="X89" s="28" t="s">
        <v>68</v>
      </c>
      <c r="Y89" s="352" t="str">
        <f>IF(OR(SUM(Y87:Z88)=0,Q86=""),"",IF(AND(B20="✔",B24="✔",B39="✔",B44="✔",B49="✔",D59="",B60="✔",B74="✔",OR(B77="✔",B81="✔"),B82=""),MIN(25,SUM(Y87:Z88)),0))</f>
        <v/>
      </c>
      <c r="Z89" s="353"/>
      <c r="AA89" s="27" t="s">
        <v>0</v>
      </c>
      <c r="AB89" s="5" t="str">
        <f>IF(AND(Y89=0),"←合計金額が算出されない場合は、前のページにチェック漏れ等がありますので御確認ください。","")</f>
        <v/>
      </c>
    </row>
    <row r="90" spans="1:39" x14ac:dyDescent="0.2">
      <c r="A90" s="16" t="s">
        <v>127</v>
      </c>
    </row>
    <row r="91" spans="1:39" x14ac:dyDescent="0.2">
      <c r="A91" s="16"/>
      <c r="B91" s="42" t="s">
        <v>90</v>
      </c>
    </row>
    <row r="92" spans="1:39" x14ac:dyDescent="0.2">
      <c r="A92" s="16" t="s">
        <v>128</v>
      </c>
    </row>
    <row r="93" spans="1:39" x14ac:dyDescent="0.2">
      <c r="A93" s="16"/>
      <c r="B93" s="42" t="s">
        <v>90</v>
      </c>
    </row>
    <row r="94" spans="1:39" x14ac:dyDescent="0.2">
      <c r="A94" s="16"/>
      <c r="B94" s="42"/>
      <c r="C94" s="52" t="s">
        <v>126</v>
      </c>
    </row>
    <row r="95" spans="1:39" x14ac:dyDescent="0.2">
      <c r="C95" s="53" t="s">
        <v>147</v>
      </c>
    </row>
    <row r="96" spans="1:39" x14ac:dyDescent="0.2">
      <c r="A96" s="16" t="s">
        <v>129</v>
      </c>
    </row>
    <row r="97" spans="1:30" s="30" customFormat="1" x14ac:dyDescent="0.2"/>
    <row r="98" spans="1:30" x14ac:dyDescent="0.2">
      <c r="A98" s="1" t="s">
        <v>55</v>
      </c>
      <c r="Y98" s="393" t="s">
        <v>81</v>
      </c>
      <c r="Z98" s="393"/>
      <c r="AA98" s="393"/>
    </row>
    <row r="99" spans="1:30" ht="14.25" customHeight="1" x14ac:dyDescent="0.2">
      <c r="B99" s="1" t="s">
        <v>53</v>
      </c>
      <c r="G99" s="31"/>
      <c r="Y99" s="408"/>
      <c r="Z99" s="408"/>
      <c r="AA99" s="408"/>
    </row>
    <row r="100" spans="1:30" x14ac:dyDescent="0.2">
      <c r="B100" s="1" t="s">
        <v>439</v>
      </c>
      <c r="Y100" s="406" t="str">
        <f>IF(AND(Y89&lt;&gt;"",Y89&gt;=0.2,OR(B102="✔",P102="✔")),IF(B54="✔",0,10),"")</f>
        <v/>
      </c>
      <c r="Z100" s="407"/>
      <c r="AA100" s="27" t="s">
        <v>0</v>
      </c>
      <c r="AD100" s="4" t="s">
        <v>72</v>
      </c>
    </row>
    <row r="101" spans="1:30" ht="7" customHeight="1" x14ac:dyDescent="0.2">
      <c r="G101" s="31"/>
    </row>
    <row r="102" spans="1:30" x14ac:dyDescent="0.2">
      <c r="B102" s="66"/>
      <c r="C102" s="1" t="s">
        <v>50</v>
      </c>
      <c r="P102" s="66"/>
      <c r="Q102" s="1" t="s">
        <v>52</v>
      </c>
      <c r="AA102" s="1"/>
    </row>
    <row r="103" spans="1:30" ht="13.5" customHeight="1" x14ac:dyDescent="0.2">
      <c r="C103" s="1" t="s">
        <v>51</v>
      </c>
      <c r="Q103" s="387" t="s">
        <v>148</v>
      </c>
      <c r="R103" s="387"/>
      <c r="S103" s="387"/>
      <c r="T103" s="387"/>
      <c r="U103" s="387"/>
      <c r="V103" s="387"/>
      <c r="W103" s="387"/>
      <c r="X103" s="387"/>
      <c r="Y103" s="387"/>
      <c r="Z103" s="387"/>
      <c r="AA103" s="387"/>
    </row>
    <row r="104" spans="1:30" x14ac:dyDescent="0.2">
      <c r="Q104" s="387"/>
      <c r="R104" s="387"/>
      <c r="S104" s="387"/>
      <c r="T104" s="387"/>
      <c r="U104" s="387"/>
      <c r="V104" s="387"/>
      <c r="W104" s="387"/>
      <c r="X104" s="387"/>
      <c r="Y104" s="387"/>
      <c r="Z104" s="387"/>
      <c r="AA104" s="387"/>
    </row>
    <row r="105" spans="1:30" x14ac:dyDescent="0.2">
      <c r="C105" s="16" t="s">
        <v>45</v>
      </c>
      <c r="Q105" s="16" t="s">
        <v>45</v>
      </c>
      <c r="AA105" s="1"/>
    </row>
    <row r="106" spans="1:30" ht="13.5" customHeight="1" x14ac:dyDescent="0.2">
      <c r="C106" s="386" t="s">
        <v>49</v>
      </c>
      <c r="D106" s="387"/>
      <c r="E106" s="387"/>
      <c r="F106" s="387"/>
      <c r="G106" s="387"/>
      <c r="H106" s="387"/>
      <c r="I106" s="387"/>
      <c r="J106" s="387"/>
      <c r="K106" s="387"/>
      <c r="L106" s="387"/>
      <c r="M106" s="387"/>
      <c r="N106" s="387"/>
      <c r="Q106" s="386" t="s">
        <v>46</v>
      </c>
      <c r="R106" s="386"/>
      <c r="S106" s="386"/>
      <c r="T106" s="386"/>
      <c r="U106" s="386"/>
      <c r="V106" s="386"/>
      <c r="W106" s="386"/>
      <c r="X106" s="386"/>
      <c r="Y106" s="386"/>
      <c r="Z106" s="386"/>
      <c r="AA106" s="386"/>
    </row>
    <row r="107" spans="1:30" x14ac:dyDescent="0.2">
      <c r="C107" s="387"/>
      <c r="D107" s="387"/>
      <c r="E107" s="387"/>
      <c r="F107" s="387"/>
      <c r="G107" s="387"/>
      <c r="H107" s="387"/>
      <c r="I107" s="387"/>
      <c r="J107" s="387"/>
      <c r="K107" s="387"/>
      <c r="L107" s="387"/>
      <c r="M107" s="387"/>
      <c r="N107" s="387"/>
      <c r="Q107" s="386"/>
      <c r="R107" s="386"/>
      <c r="S107" s="386"/>
      <c r="T107" s="386"/>
      <c r="U107" s="386"/>
      <c r="V107" s="386"/>
      <c r="W107" s="386"/>
      <c r="X107" s="386"/>
      <c r="Y107" s="386"/>
      <c r="Z107" s="386"/>
      <c r="AA107" s="386"/>
    </row>
    <row r="108" spans="1:30" x14ac:dyDescent="0.2">
      <c r="C108" s="44" t="s">
        <v>88</v>
      </c>
      <c r="D108" s="45"/>
      <c r="E108" s="45"/>
      <c r="F108" s="45"/>
      <c r="G108" s="45"/>
      <c r="H108" s="45"/>
      <c r="I108" s="45"/>
      <c r="J108" s="45"/>
      <c r="K108" s="45"/>
      <c r="L108" s="45"/>
      <c r="M108" s="45"/>
      <c r="N108" s="45"/>
      <c r="Q108" s="44" t="s">
        <v>88</v>
      </c>
      <c r="R108" s="45"/>
      <c r="S108" s="45"/>
      <c r="T108" s="45"/>
      <c r="U108" s="45"/>
      <c r="V108" s="45"/>
      <c r="W108" s="45"/>
      <c r="X108" s="45"/>
      <c r="Y108" s="45"/>
      <c r="Z108" s="45"/>
      <c r="AA108" s="45"/>
    </row>
    <row r="109" spans="1:30" ht="13.5" customHeight="1" x14ac:dyDescent="0.2">
      <c r="C109" s="405" t="s">
        <v>233</v>
      </c>
      <c r="D109" s="405"/>
      <c r="E109" s="405"/>
      <c r="F109" s="405"/>
      <c r="G109" s="405"/>
      <c r="H109" s="405"/>
      <c r="I109" s="405"/>
      <c r="J109" s="405"/>
      <c r="K109" s="405"/>
      <c r="L109" s="405"/>
      <c r="M109" s="405"/>
      <c r="N109" s="405"/>
      <c r="Q109" s="405" t="s">
        <v>234</v>
      </c>
      <c r="R109" s="405"/>
      <c r="S109" s="405"/>
      <c r="T109" s="405"/>
      <c r="U109" s="405"/>
      <c r="V109" s="405"/>
      <c r="W109" s="405"/>
      <c r="X109" s="405"/>
      <c r="Y109" s="405"/>
      <c r="Z109" s="405"/>
      <c r="AA109" s="405"/>
    </row>
    <row r="110" spans="1:30" x14ac:dyDescent="0.2">
      <c r="C110" s="405"/>
      <c r="D110" s="405"/>
      <c r="E110" s="405"/>
      <c r="F110" s="405"/>
      <c r="G110" s="405"/>
      <c r="H110" s="405"/>
      <c r="I110" s="405"/>
      <c r="J110" s="405"/>
      <c r="K110" s="405"/>
      <c r="L110" s="405"/>
      <c r="M110" s="405"/>
      <c r="N110" s="405"/>
      <c r="Q110" s="405"/>
      <c r="R110" s="405"/>
      <c r="S110" s="405"/>
      <c r="T110" s="405"/>
      <c r="U110" s="405"/>
      <c r="V110" s="405"/>
      <c r="W110" s="405"/>
      <c r="X110" s="405"/>
      <c r="Y110" s="405"/>
      <c r="Z110" s="405"/>
      <c r="AA110" s="405"/>
    </row>
    <row r="111" spans="1:30" ht="13.5" customHeight="1" x14ac:dyDescent="0.2">
      <c r="D111" s="33"/>
      <c r="E111" s="33"/>
      <c r="F111" s="33"/>
      <c r="G111" s="33"/>
      <c r="H111" s="33"/>
      <c r="I111" s="33"/>
      <c r="J111" s="33"/>
      <c r="K111" s="33"/>
      <c r="L111" s="33"/>
      <c r="M111" s="33"/>
      <c r="N111" s="33"/>
      <c r="Q111" s="54" t="s">
        <v>235</v>
      </c>
      <c r="R111" s="34"/>
      <c r="S111" s="34"/>
      <c r="T111" s="34"/>
      <c r="U111" s="34"/>
      <c r="V111" s="34"/>
      <c r="W111" s="34"/>
      <c r="X111" s="34"/>
      <c r="Y111" s="34"/>
      <c r="Z111" s="34"/>
      <c r="AA111" s="34"/>
    </row>
    <row r="112" spans="1:30" ht="7" customHeight="1" x14ac:dyDescent="0.2">
      <c r="G112" s="31"/>
    </row>
    <row r="113" spans="1:30" x14ac:dyDescent="0.2">
      <c r="C113" s="410" t="s">
        <v>73</v>
      </c>
      <c r="D113" s="410"/>
      <c r="E113" s="410"/>
      <c r="F113" s="410"/>
      <c r="G113" s="410"/>
      <c r="H113" s="410"/>
      <c r="I113" s="410"/>
      <c r="J113" s="410"/>
      <c r="K113" s="410"/>
      <c r="L113" s="410"/>
      <c r="M113" s="410"/>
      <c r="N113" s="410"/>
      <c r="O113" s="410"/>
      <c r="P113" s="410"/>
      <c r="Q113" s="410"/>
      <c r="R113" s="410"/>
      <c r="S113" s="410"/>
      <c r="T113" s="410"/>
      <c r="U113" s="410"/>
      <c r="V113" s="410"/>
      <c r="W113" s="410"/>
      <c r="X113" s="410"/>
      <c r="Y113" s="410"/>
      <c r="Z113" s="410"/>
      <c r="AA113" s="34"/>
    </row>
    <row r="114" spans="1:30" x14ac:dyDescent="0.2">
      <c r="C114" s="410"/>
      <c r="D114" s="410"/>
      <c r="E114" s="410"/>
      <c r="F114" s="410"/>
      <c r="G114" s="410"/>
      <c r="H114" s="410"/>
      <c r="I114" s="410"/>
      <c r="J114" s="410"/>
      <c r="K114" s="410"/>
      <c r="L114" s="410"/>
      <c r="M114" s="410"/>
      <c r="N114" s="410"/>
      <c r="O114" s="410"/>
      <c r="P114" s="410"/>
      <c r="Q114" s="410"/>
      <c r="R114" s="410"/>
      <c r="S114" s="410"/>
      <c r="T114" s="410"/>
      <c r="U114" s="410"/>
      <c r="V114" s="410"/>
      <c r="W114" s="410"/>
      <c r="X114" s="410"/>
      <c r="Y114" s="410"/>
      <c r="Z114" s="410"/>
      <c r="AA114" s="34"/>
    </row>
    <row r="115" spans="1:30" ht="13.5" customHeight="1" x14ac:dyDescent="0.2">
      <c r="Y115" s="35"/>
      <c r="Z115" s="35"/>
      <c r="AA115" s="35"/>
    </row>
    <row r="116" spans="1:30" x14ac:dyDescent="0.2">
      <c r="A116" s="1" t="s">
        <v>60</v>
      </c>
      <c r="G116" s="31"/>
      <c r="Y116" s="409" t="s">
        <v>81</v>
      </c>
      <c r="Z116" s="409"/>
      <c r="AA116" s="409"/>
    </row>
    <row r="117" spans="1:30" ht="13.5" customHeight="1" x14ac:dyDescent="0.2">
      <c r="B117" s="1" t="s">
        <v>176</v>
      </c>
      <c r="G117" s="31"/>
      <c r="Y117" s="408"/>
      <c r="Z117" s="408"/>
      <c r="AA117" s="408"/>
    </row>
    <row r="118" spans="1:30" x14ac:dyDescent="0.2">
      <c r="B118" s="71" t="s">
        <v>177</v>
      </c>
      <c r="G118" s="31"/>
      <c r="Y118" s="406" t="str">
        <f>IF(AND(Y88&gt;=0.2,B123="✔",B125="✔",B128="✔",B131="✔"),10,IF(AND(Y88&gt;=0.2,B123="✔",B125="✔",B133="✔"),10,IF(AND(B125="✔",B135="✔",B123=""),10,"")))</f>
        <v/>
      </c>
      <c r="Z118" s="407"/>
      <c r="AA118" s="27" t="s">
        <v>0</v>
      </c>
    </row>
    <row r="119" spans="1:30" x14ac:dyDescent="0.2">
      <c r="B119" s="71" t="s">
        <v>178</v>
      </c>
      <c r="G119" s="31"/>
      <c r="Y119" s="70"/>
      <c r="Z119" s="70"/>
      <c r="AA119" s="69"/>
    </row>
    <row r="120" spans="1:30" x14ac:dyDescent="0.2">
      <c r="B120" s="71" t="s">
        <v>179</v>
      </c>
      <c r="G120" s="31"/>
      <c r="Y120" s="70"/>
      <c r="Z120" s="70"/>
      <c r="AA120" s="69"/>
    </row>
    <row r="121" spans="1:30" ht="9" customHeight="1" x14ac:dyDescent="0.2">
      <c r="G121" s="31"/>
      <c r="Y121" s="70"/>
      <c r="Z121" s="70"/>
      <c r="AA121" s="69"/>
    </row>
    <row r="122" spans="1:30" ht="7" customHeight="1" x14ac:dyDescent="0.2">
      <c r="G122" s="31"/>
    </row>
    <row r="123" spans="1:30" x14ac:dyDescent="0.2">
      <c r="B123" s="66"/>
      <c r="C123" s="1" t="s">
        <v>78</v>
      </c>
      <c r="G123" s="31"/>
      <c r="AD123" s="4" t="s">
        <v>72</v>
      </c>
    </row>
    <row r="124" spans="1:30" ht="7" customHeight="1" x14ac:dyDescent="0.2">
      <c r="G124" s="31"/>
    </row>
    <row r="125" spans="1:30" x14ac:dyDescent="0.2">
      <c r="B125" s="66"/>
      <c r="C125" s="1" t="s">
        <v>77</v>
      </c>
      <c r="G125" s="31"/>
    </row>
    <row r="126" spans="1:30" x14ac:dyDescent="0.2">
      <c r="C126" s="36" t="s">
        <v>171</v>
      </c>
      <c r="G126" s="31"/>
    </row>
    <row r="127" spans="1:30" ht="7" customHeight="1" x14ac:dyDescent="0.2">
      <c r="G127" s="31"/>
    </row>
    <row r="128" spans="1:30" x14ac:dyDescent="0.2">
      <c r="B128" s="66"/>
      <c r="C128" s="31" t="s">
        <v>75</v>
      </c>
      <c r="G128" s="31"/>
    </row>
    <row r="129" spans="1:28" x14ac:dyDescent="0.2">
      <c r="C129" s="36" t="s">
        <v>115</v>
      </c>
      <c r="G129" s="31"/>
    </row>
    <row r="130" spans="1:28" ht="7" customHeight="1" x14ac:dyDescent="0.2">
      <c r="G130" s="31"/>
    </row>
    <row r="131" spans="1:28" x14ac:dyDescent="0.2">
      <c r="B131" s="66"/>
      <c r="C131" s="31" t="s">
        <v>132</v>
      </c>
      <c r="G131" s="31"/>
    </row>
    <row r="132" spans="1:28" ht="7" customHeight="1" x14ac:dyDescent="0.2">
      <c r="G132" s="31"/>
    </row>
    <row r="133" spans="1:28" x14ac:dyDescent="0.2">
      <c r="B133" s="66"/>
      <c r="C133" s="1" t="s">
        <v>133</v>
      </c>
      <c r="G133" s="31"/>
    </row>
    <row r="134" spans="1:28" ht="7.5" customHeight="1" x14ac:dyDescent="0.2">
      <c r="G134" s="31"/>
    </row>
    <row r="135" spans="1:28" x14ac:dyDescent="0.2">
      <c r="B135" s="66"/>
      <c r="C135" s="1" t="s">
        <v>134</v>
      </c>
      <c r="G135" s="31"/>
    </row>
    <row r="136" spans="1:28" ht="7" customHeight="1" x14ac:dyDescent="0.2">
      <c r="G136" s="31"/>
    </row>
    <row r="137" spans="1:28" ht="15" customHeight="1" x14ac:dyDescent="0.2">
      <c r="B137" s="381" t="s">
        <v>7</v>
      </c>
      <c r="C137" s="381"/>
      <c r="D137" s="381"/>
      <c r="E137" s="381"/>
      <c r="F137" s="381"/>
      <c r="G137" s="381"/>
      <c r="H137" s="354" t="s">
        <v>155</v>
      </c>
      <c r="I137" s="354"/>
      <c r="J137" s="354"/>
      <c r="K137" s="354"/>
      <c r="L137" s="354"/>
      <c r="M137" s="354"/>
      <c r="N137" s="354"/>
      <c r="O137" s="337"/>
      <c r="P137" s="337"/>
      <c r="Q137" s="337"/>
      <c r="R137" s="337"/>
      <c r="S137" s="337"/>
      <c r="T137" s="337"/>
      <c r="U137" s="337"/>
      <c r="V137" s="337"/>
      <c r="W137" s="337"/>
      <c r="X137" s="337"/>
      <c r="Y137" s="337"/>
      <c r="Z137" s="337"/>
      <c r="AB137" s="5" t="str">
        <f>IF(AND(O137="",Y118=10),"→申請者の申請時住所の小学校区を記載してください。","")</f>
        <v/>
      </c>
    </row>
    <row r="138" spans="1:28" ht="15" customHeight="1" x14ac:dyDescent="0.2">
      <c r="B138" s="381"/>
      <c r="C138" s="381"/>
      <c r="D138" s="381"/>
      <c r="E138" s="381"/>
      <c r="F138" s="381"/>
      <c r="G138" s="381"/>
      <c r="H138" s="354" t="s">
        <v>156</v>
      </c>
      <c r="I138" s="354"/>
      <c r="J138" s="354"/>
      <c r="K138" s="354"/>
      <c r="L138" s="354"/>
      <c r="M138" s="354"/>
      <c r="N138" s="354"/>
      <c r="O138" s="337"/>
      <c r="P138" s="337"/>
      <c r="Q138" s="337"/>
      <c r="R138" s="337"/>
      <c r="S138" s="337"/>
      <c r="T138" s="337"/>
      <c r="U138" s="337"/>
      <c r="V138" s="337"/>
      <c r="W138" s="337"/>
      <c r="X138" s="337"/>
      <c r="Y138" s="337"/>
      <c r="Z138" s="337"/>
      <c r="AB138" s="5" t="str">
        <f>IF(AND(O138="",Y118=10),"→申請者の住宅建設地の小学校区を記載してください。","")</f>
        <v/>
      </c>
    </row>
    <row r="139" spans="1:28" ht="15" customHeight="1" x14ac:dyDescent="0.2">
      <c r="A139" s="79"/>
      <c r="B139" s="388" t="s">
        <v>157</v>
      </c>
      <c r="C139" s="388"/>
      <c r="D139" s="388"/>
      <c r="E139" s="388"/>
      <c r="F139" s="388"/>
      <c r="G139" s="388"/>
      <c r="H139" s="354" t="s">
        <v>14</v>
      </c>
      <c r="I139" s="354"/>
      <c r="J139" s="354"/>
      <c r="K139" s="354"/>
      <c r="L139" s="354"/>
      <c r="M139" s="354"/>
      <c r="N139" s="354"/>
      <c r="O139" s="337"/>
      <c r="P139" s="337"/>
      <c r="Q139" s="337"/>
      <c r="R139" s="337"/>
      <c r="S139" s="337"/>
      <c r="T139" s="337"/>
      <c r="U139" s="337"/>
      <c r="V139" s="337"/>
      <c r="W139" s="337"/>
      <c r="X139" s="337"/>
      <c r="Y139" s="337"/>
      <c r="Z139" s="337"/>
      <c r="AB139" s="5" t="str">
        <f>IF(AND(O139="",Y118=10),"→同居、近居対象の親族世帯の住所を記載してください。","")</f>
        <v/>
      </c>
    </row>
    <row r="140" spans="1:28" ht="15" customHeight="1" x14ac:dyDescent="0.2">
      <c r="A140" s="79"/>
      <c r="B140" s="389"/>
      <c r="C140" s="389"/>
      <c r="D140" s="389"/>
      <c r="E140" s="389"/>
      <c r="F140" s="389"/>
      <c r="G140" s="389"/>
      <c r="H140" s="354" t="s">
        <v>158</v>
      </c>
      <c r="I140" s="354"/>
      <c r="J140" s="354"/>
      <c r="K140" s="354"/>
      <c r="L140" s="354"/>
      <c r="M140" s="354"/>
      <c r="N140" s="354"/>
      <c r="O140" s="337"/>
      <c r="P140" s="337"/>
      <c r="Q140" s="337"/>
      <c r="R140" s="337"/>
      <c r="S140" s="337"/>
      <c r="T140" s="337"/>
      <c r="U140" s="337"/>
      <c r="V140" s="337"/>
      <c r="W140" s="337"/>
      <c r="X140" s="337"/>
      <c r="Y140" s="337"/>
      <c r="Z140" s="337"/>
      <c r="AB140" s="5" t="str">
        <f>IF(AND(O140="",Y118=10),"→同居、近居対象の親族世帯の小学校区を記載してください。","")</f>
        <v/>
      </c>
    </row>
    <row r="141" spans="1:28" ht="15" customHeight="1" x14ac:dyDescent="0.2">
      <c r="A141" s="79"/>
      <c r="B141" s="390"/>
      <c r="C141" s="390"/>
      <c r="D141" s="390"/>
      <c r="E141" s="390"/>
      <c r="F141" s="390"/>
      <c r="G141" s="390"/>
      <c r="H141" s="345" t="s">
        <v>242</v>
      </c>
      <c r="I141" s="346"/>
      <c r="J141" s="346"/>
      <c r="K141" s="346"/>
      <c r="L141" s="346"/>
      <c r="M141" s="346"/>
      <c r="N141" s="347"/>
      <c r="O141" s="337"/>
      <c r="P141" s="337"/>
      <c r="Q141" s="337"/>
      <c r="R141" s="337"/>
      <c r="S141" s="337"/>
      <c r="T141" s="337"/>
      <c r="U141" s="337"/>
      <c r="V141" s="337"/>
      <c r="W141" s="337"/>
      <c r="X141" s="337"/>
      <c r="Y141" s="337"/>
      <c r="Z141" s="337"/>
      <c r="AA141" s="78"/>
      <c r="AB141" s="5" t="str">
        <f>IF(AND(O141="",Y118=10),"→選択してください。","")</f>
        <v/>
      </c>
    </row>
    <row r="142" spans="1:28" ht="12.75" customHeight="1" x14ac:dyDescent="0.2">
      <c r="C142" s="46" t="s">
        <v>88</v>
      </c>
      <c r="G142" s="31"/>
    </row>
    <row r="143" spans="1:28" ht="12" customHeight="1" x14ac:dyDescent="0.2">
      <c r="C143" s="47" t="s">
        <v>236</v>
      </c>
      <c r="G143" s="31"/>
    </row>
    <row r="144" spans="1:28" x14ac:dyDescent="0.2">
      <c r="C144" s="47" t="s">
        <v>237</v>
      </c>
      <c r="D144" s="32"/>
      <c r="E144" s="32"/>
      <c r="F144" s="32"/>
      <c r="G144" s="32"/>
      <c r="H144" s="32"/>
      <c r="I144" s="32"/>
      <c r="J144" s="32"/>
      <c r="K144" s="32"/>
      <c r="L144" s="32"/>
      <c r="M144" s="32"/>
      <c r="N144" s="32"/>
    </row>
    <row r="145" spans="1:30" ht="13.5" customHeight="1" x14ac:dyDescent="0.2">
      <c r="C145" s="47"/>
      <c r="D145" s="34"/>
      <c r="E145" s="34"/>
      <c r="F145" s="34"/>
      <c r="G145" s="34"/>
      <c r="H145" s="34"/>
      <c r="I145" s="34"/>
      <c r="J145" s="34"/>
      <c r="K145" s="34"/>
      <c r="L145" s="34"/>
      <c r="M145" s="34"/>
      <c r="N145" s="34"/>
      <c r="O145" s="31"/>
      <c r="P145" s="31"/>
      <c r="Q145" s="31"/>
      <c r="R145" s="31"/>
      <c r="S145" s="31"/>
      <c r="T145" s="31"/>
      <c r="U145" s="31"/>
      <c r="V145" s="31"/>
    </row>
    <row r="146" spans="1:30" x14ac:dyDescent="0.2">
      <c r="C146" s="31"/>
      <c r="G146" s="31"/>
      <c r="AA146" s="29" t="s">
        <v>69</v>
      </c>
    </row>
    <row r="147" spans="1:30" x14ac:dyDescent="0.2">
      <c r="A147" s="1" t="s">
        <v>145</v>
      </c>
      <c r="Y147" s="393" t="s">
        <v>81</v>
      </c>
      <c r="Z147" s="393"/>
      <c r="AA147" s="393"/>
    </row>
    <row r="148" spans="1:30" ht="12.75" customHeight="1" x14ac:dyDescent="0.2">
      <c r="B148" s="338" t="s">
        <v>138</v>
      </c>
      <c r="C148" s="338"/>
      <c r="D148" s="338"/>
      <c r="E148" s="338"/>
      <c r="F148" s="338"/>
      <c r="G148" s="338"/>
      <c r="H148" s="338"/>
      <c r="I148" s="338"/>
      <c r="J148" s="338"/>
      <c r="K148" s="338"/>
      <c r="L148" s="338"/>
      <c r="M148" s="338"/>
      <c r="N148" s="338"/>
      <c r="O148" s="338"/>
      <c r="P148" s="338"/>
      <c r="Q148" s="338"/>
      <c r="R148" s="338"/>
      <c r="S148" s="338"/>
      <c r="T148" s="338"/>
      <c r="U148" s="338"/>
      <c r="V148" s="338"/>
      <c r="W148" s="338"/>
      <c r="X148" s="456"/>
      <c r="Y148" s="393"/>
      <c r="Z148" s="393"/>
      <c r="AA148" s="393"/>
    </row>
    <row r="149" spans="1:30" x14ac:dyDescent="0.2">
      <c r="B149" s="338"/>
      <c r="C149" s="338"/>
      <c r="D149" s="338"/>
      <c r="E149" s="338"/>
      <c r="F149" s="338"/>
      <c r="G149" s="338"/>
      <c r="H149" s="338"/>
      <c r="I149" s="338"/>
      <c r="J149" s="338"/>
      <c r="K149" s="338"/>
      <c r="L149" s="338"/>
      <c r="M149" s="338"/>
      <c r="N149" s="338"/>
      <c r="O149" s="338"/>
      <c r="P149" s="338"/>
      <c r="Q149" s="338"/>
      <c r="R149" s="338"/>
      <c r="S149" s="338"/>
      <c r="T149" s="338"/>
      <c r="U149" s="338"/>
      <c r="V149" s="338"/>
      <c r="W149" s="338"/>
      <c r="X149" s="456"/>
      <c r="Y149" s="370" t="str">
        <f>IF(AND(Y89&lt;&gt;"",Y89&gt;=0.2,B153="✔",(AC156+AC164+AC173)&gt;=2),MIN(15,SUM(Y162,Y172,Y179)),"")</f>
        <v/>
      </c>
      <c r="Z149" s="371"/>
      <c r="AA149" s="27" t="s">
        <v>0</v>
      </c>
    </row>
    <row r="150" spans="1:30" x14ac:dyDescent="0.2">
      <c r="B150" s="37"/>
      <c r="C150" s="382" t="s">
        <v>181</v>
      </c>
      <c r="D150" s="382"/>
      <c r="E150" s="382"/>
      <c r="F150" s="382"/>
      <c r="G150" s="382"/>
      <c r="H150" s="382"/>
      <c r="I150" s="382"/>
      <c r="J150" s="382"/>
      <c r="K150" s="382"/>
      <c r="L150" s="382"/>
      <c r="M150" s="382"/>
      <c r="N150" s="382"/>
      <c r="O150" s="382"/>
      <c r="P150" s="382"/>
      <c r="Q150" s="382"/>
      <c r="R150" s="382"/>
      <c r="S150" s="382"/>
      <c r="T150" s="382"/>
      <c r="U150" s="382"/>
      <c r="V150" s="382"/>
      <c r="W150" s="382"/>
      <c r="X150" s="382"/>
      <c r="Y150" s="382"/>
      <c r="Z150" s="382"/>
      <c r="AA150" s="382"/>
    </row>
    <row r="151" spans="1:30" ht="13.5" customHeight="1" x14ac:dyDescent="0.2">
      <c r="B151" s="37"/>
      <c r="C151" s="382"/>
      <c r="D151" s="382"/>
      <c r="E151" s="382"/>
      <c r="F151" s="382"/>
      <c r="G151" s="382"/>
      <c r="H151" s="382"/>
      <c r="I151" s="382"/>
      <c r="J151" s="382"/>
      <c r="K151" s="382"/>
      <c r="L151" s="382"/>
      <c r="M151" s="382"/>
      <c r="N151" s="382"/>
      <c r="O151" s="382"/>
      <c r="P151" s="382"/>
      <c r="Q151" s="382"/>
      <c r="R151" s="382"/>
      <c r="S151" s="382"/>
      <c r="T151" s="382"/>
      <c r="U151" s="382"/>
      <c r="V151" s="382"/>
      <c r="W151" s="382"/>
      <c r="X151" s="382"/>
      <c r="Y151" s="382"/>
      <c r="Z151" s="382"/>
      <c r="AA151" s="382"/>
    </row>
    <row r="152" spans="1:30" ht="7" customHeight="1" x14ac:dyDescent="0.2">
      <c r="G152" s="31"/>
    </row>
    <row r="153" spans="1:30" x14ac:dyDescent="0.2">
      <c r="B153" s="66"/>
      <c r="C153" s="1" t="s">
        <v>23</v>
      </c>
      <c r="H153" s="1" t="s">
        <v>170</v>
      </c>
      <c r="AD153" s="4" t="s">
        <v>72</v>
      </c>
    </row>
    <row r="155" spans="1:30" ht="7" customHeight="1" x14ac:dyDescent="0.2">
      <c r="G155" s="31"/>
    </row>
    <row r="156" spans="1:30" ht="13.5" customHeight="1" x14ac:dyDescent="0.2">
      <c r="B156" s="66"/>
      <c r="C156" s="1" t="s">
        <v>135</v>
      </c>
      <c r="H156" s="338" t="s">
        <v>141</v>
      </c>
      <c r="I156" s="338"/>
      <c r="J156" s="338"/>
      <c r="K156" s="338"/>
      <c r="L156" s="338"/>
      <c r="M156" s="338"/>
      <c r="N156" s="338"/>
      <c r="O156" s="338"/>
      <c r="P156" s="338"/>
      <c r="Q156" s="338"/>
      <c r="R156" s="338"/>
      <c r="S156" s="338"/>
      <c r="T156" s="338"/>
      <c r="U156" s="338"/>
      <c r="V156" s="338"/>
      <c r="W156" s="338"/>
      <c r="X156" s="338"/>
      <c r="Y156" s="338"/>
      <c r="Z156" s="338"/>
      <c r="AA156" s="338"/>
      <c r="AC156" s="4">
        <f>IF(AND(B156="✔",N161&gt;=7),1,0)</f>
        <v>0</v>
      </c>
    </row>
    <row r="157" spans="1:30" x14ac:dyDescent="0.2">
      <c r="H157" s="338"/>
      <c r="I157" s="338"/>
      <c r="J157" s="338"/>
      <c r="K157" s="338"/>
      <c r="L157" s="338"/>
      <c r="M157" s="338"/>
      <c r="N157" s="338"/>
      <c r="O157" s="338"/>
      <c r="P157" s="338"/>
      <c r="Q157" s="338"/>
      <c r="R157" s="338"/>
      <c r="S157" s="338"/>
      <c r="T157" s="338"/>
      <c r="U157" s="338"/>
      <c r="V157" s="338"/>
      <c r="W157" s="338"/>
      <c r="X157" s="338"/>
      <c r="Y157" s="338"/>
      <c r="Z157" s="338"/>
      <c r="AA157" s="338"/>
    </row>
    <row r="158" spans="1:30" x14ac:dyDescent="0.2">
      <c r="H158" s="338"/>
      <c r="I158" s="338"/>
      <c r="J158" s="338"/>
      <c r="K158" s="338"/>
      <c r="L158" s="338"/>
      <c r="M158" s="338"/>
      <c r="N158" s="338"/>
      <c r="O158" s="338"/>
      <c r="P158" s="338"/>
      <c r="Q158" s="338"/>
      <c r="R158" s="338"/>
      <c r="S158" s="338"/>
      <c r="T158" s="338"/>
      <c r="U158" s="338"/>
      <c r="V158" s="338"/>
      <c r="W158" s="338"/>
      <c r="X158" s="338"/>
      <c r="Y158" s="338"/>
      <c r="Z158" s="338"/>
      <c r="AA158" s="338"/>
    </row>
    <row r="159" spans="1:30" x14ac:dyDescent="0.2">
      <c r="H159" s="338"/>
      <c r="I159" s="338"/>
      <c r="J159" s="338"/>
      <c r="K159" s="338"/>
      <c r="L159" s="338"/>
      <c r="M159" s="338"/>
      <c r="N159" s="338"/>
      <c r="O159" s="338"/>
      <c r="P159" s="338"/>
      <c r="Q159" s="338"/>
      <c r="R159" s="338"/>
      <c r="S159" s="338"/>
      <c r="T159" s="338"/>
      <c r="U159" s="338"/>
      <c r="V159" s="338"/>
      <c r="W159" s="338"/>
      <c r="X159" s="338"/>
      <c r="Y159" s="338"/>
      <c r="Z159" s="338"/>
      <c r="AA159" s="338"/>
    </row>
    <row r="160" spans="1:30" x14ac:dyDescent="0.2">
      <c r="H160" s="394" t="s">
        <v>139</v>
      </c>
      <c r="I160" s="394"/>
      <c r="J160" s="394"/>
      <c r="K160" s="394"/>
      <c r="L160" s="394"/>
      <c r="M160" s="394"/>
      <c r="N160" s="394"/>
      <c r="O160" s="394"/>
      <c r="P160" s="394"/>
      <c r="Q160" s="394"/>
      <c r="R160" s="394"/>
      <c r="S160" s="394"/>
      <c r="T160" s="394"/>
      <c r="U160" s="394"/>
      <c r="V160" s="394"/>
      <c r="W160" s="394"/>
      <c r="X160" s="395"/>
      <c r="Y160" s="393" t="s">
        <v>81</v>
      </c>
      <c r="Z160" s="393"/>
      <c r="AA160" s="393"/>
    </row>
    <row r="161" spans="2:29" ht="13.5" customHeight="1" x14ac:dyDescent="0.2">
      <c r="D161" s="1" t="s">
        <v>136</v>
      </c>
      <c r="N161" s="348"/>
      <c r="O161" s="349"/>
      <c r="P161" s="350"/>
      <c r="Q161" s="1" t="s">
        <v>80</v>
      </c>
      <c r="Y161" s="393"/>
      <c r="Z161" s="393"/>
      <c r="AA161" s="393"/>
      <c r="AB161" s="5" t="str">
        <f>IF(AND(B156="✔",N161=""),"←建築大工技能を活用した見付面積を入力してください。","")</f>
        <v/>
      </c>
    </row>
    <row r="162" spans="2:29" x14ac:dyDescent="0.2">
      <c r="C162" s="43" t="s">
        <v>167</v>
      </c>
      <c r="H162" s="37"/>
      <c r="I162" s="37"/>
      <c r="J162" s="37"/>
      <c r="K162" s="37"/>
      <c r="L162" s="37"/>
      <c r="M162" s="37"/>
      <c r="N162" s="37"/>
      <c r="O162" s="37"/>
      <c r="P162" s="37"/>
      <c r="Q162" s="37"/>
      <c r="R162" s="37"/>
      <c r="S162" s="37"/>
      <c r="T162" s="37"/>
      <c r="U162" s="37"/>
      <c r="V162" s="37"/>
      <c r="W162" s="37"/>
      <c r="X162" s="37"/>
      <c r="Y162" s="370" t="str">
        <f>IF(AND(N161&gt;=7,B156="✔"),INT(N161)*1.1,"")</f>
        <v/>
      </c>
      <c r="Z162" s="371"/>
      <c r="AA162" s="27" t="s">
        <v>0</v>
      </c>
    </row>
    <row r="164" spans="2:29" x14ac:dyDescent="0.2">
      <c r="B164" s="66"/>
      <c r="C164" s="1" t="s">
        <v>143</v>
      </c>
      <c r="H164" s="59" t="s">
        <v>164</v>
      </c>
      <c r="AC164" s="4">
        <f>IF(AND(B164="✔",N168&gt;=7),1,0)</f>
        <v>0</v>
      </c>
    </row>
    <row r="165" spans="2:29" x14ac:dyDescent="0.2">
      <c r="H165" s="59" t="s">
        <v>165</v>
      </c>
    </row>
    <row r="166" spans="2:29" x14ac:dyDescent="0.2">
      <c r="H166" s="1" t="s">
        <v>173</v>
      </c>
    </row>
    <row r="167" spans="2:29" ht="13.5" customHeight="1" x14ac:dyDescent="0.2">
      <c r="H167" s="394" t="s">
        <v>174</v>
      </c>
      <c r="I167" s="394"/>
      <c r="J167" s="394"/>
      <c r="K167" s="394"/>
      <c r="L167" s="394"/>
      <c r="M167" s="394"/>
      <c r="N167" s="394"/>
      <c r="O167" s="394"/>
      <c r="P167" s="394"/>
      <c r="Q167" s="394"/>
      <c r="R167" s="394"/>
      <c r="S167" s="394"/>
      <c r="T167" s="394"/>
      <c r="U167" s="394"/>
      <c r="V167" s="394"/>
      <c r="W167" s="394"/>
      <c r="X167" s="431"/>
      <c r="Y167" s="3"/>
      <c r="AB167" s="57" t="str">
        <f>IF(AND(N168&gt;0,R168=""),"←こて塗り仕上げの材料を選択してください。",IF(AND(R168="その他のこて塗り",V168=""),"←こて塗りの材料を記載してください。",""))</f>
        <v/>
      </c>
    </row>
    <row r="168" spans="2:29" x14ac:dyDescent="0.2">
      <c r="D168" s="1" t="s">
        <v>160</v>
      </c>
      <c r="N168" s="348"/>
      <c r="O168" s="349"/>
      <c r="P168" s="350"/>
      <c r="Q168" s="1" t="s">
        <v>80</v>
      </c>
      <c r="R168" s="446"/>
      <c r="S168" s="446"/>
      <c r="T168" s="446"/>
      <c r="U168" s="446"/>
      <c r="V168" s="391"/>
      <c r="W168" s="392"/>
      <c r="X168" s="392"/>
      <c r="Y168" s="392"/>
      <c r="Z168" s="392"/>
      <c r="AB168" s="5" t="str">
        <f>IF(AND(B164="✔",N168=""),"←こて塗りの面積を入力してください。","")</f>
        <v/>
      </c>
      <c r="AC168" s="57"/>
    </row>
    <row r="169" spans="2:29" x14ac:dyDescent="0.2">
      <c r="C169" s="43" t="s">
        <v>166</v>
      </c>
      <c r="Y169" s="55"/>
      <c r="Z169" s="55"/>
      <c r="AB169" s="5"/>
      <c r="AC169" s="57"/>
    </row>
    <row r="170" spans="2:29" x14ac:dyDescent="0.2">
      <c r="Y170" s="393" t="s">
        <v>81</v>
      </c>
      <c r="Z170" s="393"/>
      <c r="AA170" s="393"/>
    </row>
    <row r="171" spans="2:29" x14ac:dyDescent="0.2">
      <c r="Y171" s="393"/>
      <c r="Z171" s="393"/>
      <c r="AA171" s="393"/>
    </row>
    <row r="172" spans="2:29" x14ac:dyDescent="0.2">
      <c r="Y172" s="370" t="str">
        <f>IF(AND(N168&gt;=7,B164="✔"),INT(N168)*1.3,"")</f>
        <v/>
      </c>
      <c r="Z172" s="371"/>
      <c r="AA172" s="27" t="s">
        <v>0</v>
      </c>
    </row>
    <row r="173" spans="2:29" x14ac:dyDescent="0.2">
      <c r="B173" s="66"/>
      <c r="C173" s="1" t="s">
        <v>144</v>
      </c>
      <c r="H173" s="338" t="s">
        <v>142</v>
      </c>
      <c r="I173" s="338"/>
      <c r="J173" s="338"/>
      <c r="K173" s="338"/>
      <c r="L173" s="338"/>
      <c r="M173" s="338"/>
      <c r="N173" s="338"/>
      <c r="O173" s="338"/>
      <c r="P173" s="338"/>
      <c r="Q173" s="338"/>
      <c r="R173" s="338"/>
      <c r="S173" s="338"/>
      <c r="T173" s="338"/>
      <c r="U173" s="338"/>
      <c r="V173" s="338"/>
      <c r="W173" s="338"/>
      <c r="X173" s="338"/>
      <c r="Y173" s="338"/>
      <c r="Z173" s="338"/>
      <c r="AA173" s="338"/>
      <c r="AC173" s="4">
        <f>IF(AND(B173="✔",N179&gt;=3),1,0)</f>
        <v>0</v>
      </c>
    </row>
    <row r="174" spans="2:29" x14ac:dyDescent="0.2">
      <c r="H174" s="338"/>
      <c r="I174" s="338"/>
      <c r="J174" s="338"/>
      <c r="K174" s="338"/>
      <c r="L174" s="338"/>
      <c r="M174" s="338"/>
      <c r="N174" s="338"/>
      <c r="O174" s="338"/>
      <c r="P174" s="338"/>
      <c r="Q174" s="338"/>
      <c r="R174" s="338"/>
      <c r="S174" s="338"/>
      <c r="T174" s="338"/>
      <c r="U174" s="338"/>
      <c r="V174" s="338"/>
      <c r="W174" s="338"/>
      <c r="X174" s="338"/>
      <c r="Y174" s="338"/>
      <c r="Z174" s="338"/>
      <c r="AA174" s="338"/>
    </row>
    <row r="175" spans="2:29" x14ac:dyDescent="0.2">
      <c r="H175" s="338"/>
      <c r="I175" s="338"/>
      <c r="J175" s="338"/>
      <c r="K175" s="338"/>
      <c r="L175" s="338"/>
      <c r="M175" s="338"/>
      <c r="N175" s="338"/>
      <c r="O175" s="338"/>
      <c r="P175" s="338"/>
      <c r="Q175" s="338"/>
      <c r="R175" s="338"/>
      <c r="S175" s="338"/>
      <c r="T175" s="338"/>
      <c r="U175" s="338"/>
      <c r="V175" s="338"/>
      <c r="W175" s="338"/>
      <c r="X175" s="338"/>
      <c r="Y175" s="338"/>
      <c r="Z175" s="338"/>
      <c r="AA175" s="338"/>
    </row>
    <row r="176" spans="2:29" ht="13.5" customHeight="1" x14ac:dyDescent="0.2">
      <c r="H176" s="380" t="s">
        <v>56</v>
      </c>
      <c r="I176" s="380"/>
      <c r="J176" s="380"/>
      <c r="K176" s="380"/>
      <c r="L176" s="380"/>
      <c r="M176" s="380"/>
      <c r="N176" s="380"/>
      <c r="O176" s="380"/>
      <c r="P176" s="404" t="s">
        <v>58</v>
      </c>
      <c r="Q176" s="404"/>
      <c r="R176" s="404"/>
      <c r="S176" s="404"/>
      <c r="T176" s="404"/>
      <c r="U176" s="404"/>
      <c r="V176" s="404"/>
      <c r="W176" s="404"/>
      <c r="X176" s="404"/>
      <c r="Y176" s="404"/>
      <c r="Z176" s="404"/>
      <c r="AA176" s="404"/>
    </row>
    <row r="177" spans="1:28" x14ac:dyDescent="0.2">
      <c r="H177" s="380" t="s">
        <v>57</v>
      </c>
      <c r="I177" s="380"/>
      <c r="J177" s="380"/>
      <c r="K177" s="380"/>
      <c r="L177" s="380"/>
      <c r="M177" s="380"/>
      <c r="N177" s="380"/>
      <c r="O177" s="380"/>
      <c r="P177" s="10" t="s">
        <v>59</v>
      </c>
      <c r="Q177" s="10"/>
      <c r="R177" s="10"/>
      <c r="S177" s="10"/>
      <c r="T177" s="10"/>
      <c r="U177" s="10"/>
      <c r="V177" s="10"/>
      <c r="W177" s="10"/>
      <c r="X177" s="10"/>
      <c r="Y177" s="393" t="s">
        <v>81</v>
      </c>
      <c r="Z177" s="393"/>
      <c r="AA177" s="393"/>
    </row>
    <row r="178" spans="1:28" x14ac:dyDescent="0.2">
      <c r="H178" s="394" t="s">
        <v>140</v>
      </c>
      <c r="I178" s="394"/>
      <c r="J178" s="394"/>
      <c r="K178" s="394"/>
      <c r="L178" s="394"/>
      <c r="M178" s="394"/>
      <c r="N178" s="394"/>
      <c r="O178" s="394"/>
      <c r="P178" s="394"/>
      <c r="Q178" s="394"/>
      <c r="R178" s="394"/>
      <c r="S178" s="394"/>
      <c r="T178" s="394"/>
      <c r="U178" s="394"/>
      <c r="V178" s="394"/>
      <c r="W178" s="394"/>
      <c r="X178" s="395"/>
      <c r="Y178" s="393"/>
      <c r="Z178" s="393"/>
      <c r="AA178" s="393"/>
    </row>
    <row r="179" spans="1:28" x14ac:dyDescent="0.2">
      <c r="G179" s="1" t="s">
        <v>83</v>
      </c>
      <c r="N179" s="348"/>
      <c r="O179" s="349"/>
      <c r="P179" s="350"/>
      <c r="Q179" s="1" t="s">
        <v>80</v>
      </c>
      <c r="Y179" s="370" t="str">
        <f>IF(AND(N179&gt;=3,B173="✔"),INT(N179)*1.9,"")</f>
        <v/>
      </c>
      <c r="Z179" s="371"/>
      <c r="AA179" s="27" t="s">
        <v>0</v>
      </c>
      <c r="AB179" s="5" t="str">
        <f>IF(AND(B173="✔",N179=""),"←木製建具の見付面積を入力してください。","")</f>
        <v/>
      </c>
    </row>
    <row r="180" spans="1:28" x14ac:dyDescent="0.2">
      <c r="C180" s="382" t="s">
        <v>189</v>
      </c>
      <c r="D180" s="382"/>
      <c r="E180" s="382"/>
      <c r="F180" s="382"/>
      <c r="G180" s="382"/>
      <c r="H180" s="382"/>
      <c r="I180" s="382"/>
      <c r="J180" s="382"/>
      <c r="K180" s="382"/>
      <c r="L180" s="382"/>
      <c r="M180" s="382"/>
      <c r="N180" s="382"/>
      <c r="O180" s="382"/>
      <c r="P180" s="382"/>
      <c r="Q180" s="382"/>
      <c r="R180" s="382"/>
      <c r="S180" s="382"/>
      <c r="T180" s="382"/>
      <c r="U180" s="382"/>
      <c r="V180" s="382"/>
      <c r="W180" s="382"/>
      <c r="X180" s="382"/>
      <c r="Y180" s="382"/>
      <c r="Z180" s="382"/>
      <c r="AA180" s="382"/>
    </row>
    <row r="181" spans="1:28" x14ac:dyDescent="0.2">
      <c r="C181" s="382"/>
      <c r="D181" s="382"/>
      <c r="E181" s="382"/>
      <c r="F181" s="382"/>
      <c r="G181" s="382"/>
      <c r="H181" s="382"/>
      <c r="I181" s="382"/>
      <c r="J181" s="382"/>
      <c r="K181" s="382"/>
      <c r="L181" s="382"/>
      <c r="M181" s="382"/>
      <c r="N181" s="382"/>
      <c r="O181" s="382"/>
      <c r="P181" s="382"/>
      <c r="Q181" s="382"/>
      <c r="R181" s="382"/>
      <c r="S181" s="382"/>
      <c r="T181" s="382"/>
      <c r="U181" s="382"/>
      <c r="V181" s="382"/>
      <c r="W181" s="382"/>
      <c r="X181" s="382"/>
      <c r="Y181" s="382"/>
      <c r="Z181" s="382"/>
      <c r="AA181" s="382"/>
    </row>
    <row r="182" spans="1:28" x14ac:dyDescent="0.2">
      <c r="C182" s="382"/>
      <c r="D182" s="382"/>
      <c r="E182" s="382"/>
      <c r="F182" s="382"/>
      <c r="G182" s="382"/>
      <c r="H182" s="382"/>
      <c r="I182" s="382"/>
      <c r="J182" s="382"/>
      <c r="K182" s="382"/>
      <c r="L182" s="382"/>
      <c r="M182" s="382"/>
      <c r="N182" s="382"/>
      <c r="O182" s="382"/>
      <c r="P182" s="382"/>
      <c r="Q182" s="382"/>
      <c r="R182" s="382"/>
      <c r="S182" s="382"/>
      <c r="T182" s="382"/>
      <c r="U182" s="382"/>
      <c r="V182" s="382"/>
      <c r="W182" s="382"/>
      <c r="X182" s="382"/>
      <c r="Y182" s="382"/>
      <c r="Z182" s="382"/>
      <c r="AA182" s="382"/>
    </row>
    <row r="183" spans="1:28" x14ac:dyDescent="0.2">
      <c r="C183" s="48"/>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row>
    <row r="184" spans="1:28" x14ac:dyDescent="0.2">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29" t="s">
        <v>69</v>
      </c>
    </row>
    <row r="185" spans="1:28" x14ac:dyDescent="0.2">
      <c r="G185" s="31"/>
      <c r="K185" s="374" t="str">
        <f>IF(Y89="","",MIN(SUM(Y89,Y100,Y118,Y149),50,ROUNDDOWN(S31/2,1)))</f>
        <v/>
      </c>
      <c r="L185" s="375"/>
      <c r="M185" s="376"/>
      <c r="AB185" s="65">
        <f>SUM(Y149,Y10,Y100,Y89,Y118)</f>
        <v>0</v>
      </c>
    </row>
    <row r="186" spans="1:28" x14ac:dyDescent="0.2">
      <c r="C186" s="1" t="s">
        <v>61</v>
      </c>
      <c r="G186" s="31"/>
      <c r="K186" s="377"/>
      <c r="L186" s="378"/>
      <c r="M186" s="379"/>
      <c r="N186" s="1" t="s">
        <v>62</v>
      </c>
    </row>
    <row r="187" spans="1:28" x14ac:dyDescent="0.2">
      <c r="A187" s="16" t="s">
        <v>74</v>
      </c>
      <c r="G187" s="31"/>
    </row>
    <row r="188" spans="1:28" x14ac:dyDescent="0.2">
      <c r="A188" s="21" t="s">
        <v>159</v>
      </c>
      <c r="G188" s="31"/>
    </row>
    <row r="189" spans="1:28" ht="16.5" x14ac:dyDescent="0.2">
      <c r="A189" s="38" t="s">
        <v>66</v>
      </c>
    </row>
    <row r="192" spans="1:28" x14ac:dyDescent="0.2">
      <c r="C192" s="1" t="s">
        <v>188</v>
      </c>
    </row>
    <row r="193" spans="3:28" x14ac:dyDescent="0.2">
      <c r="C193" s="21" t="s">
        <v>84</v>
      </c>
    </row>
    <row r="195" spans="3:28" x14ac:dyDescent="0.2">
      <c r="C195" s="1" t="s">
        <v>184</v>
      </c>
    </row>
    <row r="196" spans="3:28" x14ac:dyDescent="0.2">
      <c r="C196" s="1" t="s">
        <v>185</v>
      </c>
    </row>
    <row r="197" spans="3:28" x14ac:dyDescent="0.2">
      <c r="C197" s="1" t="str">
        <f>IF(I61="有","他に利用する補助金一覧表（様式第６号の２別紙）","")</f>
        <v/>
      </c>
    </row>
    <row r="198" spans="3:28" x14ac:dyDescent="0.2">
      <c r="C198" s="1" t="str">
        <f>IF(AND(I45="",I45=""),"",IF(I45="要","検査済証の写し",""))</f>
        <v/>
      </c>
    </row>
    <row r="199" spans="3:28" x14ac:dyDescent="0.2">
      <c r="C199" s="1" t="str">
        <f>IF(AND(T45="",T45=""),"",IF(T45="要","建築工事届の写し（検査済み証がある場合は不要）",""))</f>
        <v/>
      </c>
    </row>
    <row r="200" spans="3:28" x14ac:dyDescent="0.2">
      <c r="C200" s="1" t="str">
        <f>IF(B71="✔","変更後の改修部分の図面に改修内容を記載したもの）","")</f>
        <v/>
      </c>
    </row>
    <row r="201" spans="3:28" x14ac:dyDescent="0.2">
      <c r="C201" s="1" t="s">
        <v>186</v>
      </c>
    </row>
    <row r="202" spans="3:28" x14ac:dyDescent="0.2">
      <c r="C202" s="1" t="s">
        <v>187</v>
      </c>
    </row>
    <row r="203" spans="3:28" ht="25.5" customHeight="1" x14ac:dyDescent="0.2">
      <c r="C203" s="372" t="str">
        <f>IF(B77="","","県内プレカット加工証明書（様式第９号）の原本若しくはその写し又はプレカット工場が記載された県産材の産地証明書写し")</f>
        <v/>
      </c>
      <c r="D203" s="372"/>
      <c r="E203" s="372"/>
      <c r="F203" s="372"/>
      <c r="G203" s="372"/>
      <c r="H203" s="372"/>
      <c r="I203" s="372"/>
      <c r="J203" s="372"/>
      <c r="K203" s="372"/>
      <c r="L203" s="372"/>
      <c r="M203" s="372"/>
      <c r="N203" s="372"/>
      <c r="O203" s="372"/>
      <c r="P203" s="372"/>
      <c r="Q203" s="372"/>
      <c r="R203" s="372"/>
      <c r="S203" s="372"/>
      <c r="T203" s="372"/>
      <c r="U203" s="372"/>
      <c r="V203" s="372"/>
      <c r="W203" s="372"/>
      <c r="X203" s="372"/>
      <c r="Y203" s="372"/>
      <c r="Z203" s="372"/>
      <c r="AA203" s="372"/>
    </row>
    <row r="204" spans="3:28" ht="37.5" customHeight="1" x14ac:dyDescent="0.2">
      <c r="C204" s="372" t="str">
        <f>IF(Q88="","","県産内外装材の見付面積及び使用場所を図示した立面図、展開図等の図面並びに含水率の測定結果写真（日本農林規格県産材であることを証明する書類の写しで含水率20%以下であることを証することができる場合を除く。）")</f>
        <v/>
      </c>
      <c r="D204" s="372"/>
      <c r="E204" s="372"/>
      <c r="F204" s="372"/>
      <c r="G204" s="372"/>
      <c r="H204" s="372"/>
      <c r="I204" s="372"/>
      <c r="J204" s="372"/>
      <c r="K204" s="372"/>
      <c r="L204" s="372"/>
      <c r="M204" s="372"/>
      <c r="N204" s="372"/>
      <c r="O204" s="372"/>
      <c r="P204" s="372"/>
      <c r="Q204" s="372"/>
      <c r="R204" s="372"/>
      <c r="S204" s="372"/>
      <c r="T204" s="372"/>
      <c r="U204" s="372"/>
      <c r="V204" s="372"/>
      <c r="W204" s="372"/>
      <c r="X204" s="372"/>
      <c r="Y204" s="372"/>
      <c r="Z204" s="372"/>
      <c r="AA204" s="372"/>
    </row>
    <row r="205" spans="3:28" x14ac:dyDescent="0.2">
      <c r="C205" s="372" t="str">
        <f>IF(OR(Y100=0,Y100=""),"","補助対象住宅に転居後の世帯全員の住民票")</f>
        <v/>
      </c>
      <c r="D205" s="372"/>
      <c r="E205" s="372"/>
      <c r="F205" s="372"/>
      <c r="G205" s="372"/>
      <c r="H205" s="372"/>
      <c r="I205" s="372"/>
      <c r="J205" s="372"/>
      <c r="K205" s="372"/>
      <c r="L205" s="372"/>
      <c r="M205" s="372"/>
      <c r="N205" s="372"/>
      <c r="O205" s="372"/>
      <c r="P205" s="372"/>
      <c r="Q205" s="372"/>
      <c r="R205" s="372"/>
      <c r="S205" s="372"/>
      <c r="T205" s="372"/>
      <c r="U205" s="372"/>
      <c r="V205" s="372"/>
      <c r="W205" s="372"/>
      <c r="X205" s="372"/>
      <c r="Y205" s="372"/>
      <c r="Z205" s="372"/>
      <c r="AA205" s="372"/>
    </row>
    <row r="206" spans="3:28" x14ac:dyDescent="0.2">
      <c r="C206" s="372" t="str">
        <f>IF(AND(Y100=10,B102="",P102="✔"),"申請者の戸籍抄本、申請者の戸籍謄本","")</f>
        <v/>
      </c>
      <c r="D206" s="372"/>
      <c r="E206" s="372"/>
      <c r="F206" s="372"/>
      <c r="G206" s="372"/>
      <c r="H206" s="372"/>
      <c r="I206" s="372"/>
      <c r="J206" s="372"/>
      <c r="K206" s="372"/>
      <c r="L206" s="372"/>
      <c r="M206" s="372"/>
      <c r="N206" s="372"/>
      <c r="O206" s="372"/>
      <c r="P206" s="372"/>
      <c r="Q206" s="372"/>
      <c r="R206" s="372"/>
      <c r="S206" s="372"/>
      <c r="T206" s="372"/>
      <c r="U206" s="372"/>
      <c r="V206" s="372"/>
      <c r="W206" s="372"/>
      <c r="X206" s="372"/>
      <c r="Y206" s="372"/>
      <c r="Z206" s="372"/>
      <c r="AA206" s="372"/>
      <c r="AB206" s="72" t="str">
        <f>IF(C206="","","戸籍謄本、戸籍抄本、誓約書いづれか一つを添付してください。")</f>
        <v/>
      </c>
    </row>
    <row r="207" spans="3:28" ht="28.5" customHeight="1" x14ac:dyDescent="0.2">
      <c r="C207" s="338" t="str">
        <f>IF(B123="✔","同居又は近居する直系親族世帯全員の住民票の写し　（補助対象住宅に転居後のもの）
同居又は近居する直系親族と姓が異なる場合は、申請者の戸籍謄本等直系親族とわかる書類）","")</f>
        <v/>
      </c>
      <c r="D207" s="338"/>
      <c r="E207" s="338"/>
      <c r="F207" s="338"/>
      <c r="G207" s="338"/>
      <c r="H207" s="338"/>
      <c r="I207" s="338"/>
      <c r="J207" s="338"/>
      <c r="K207" s="338"/>
      <c r="L207" s="338"/>
      <c r="M207" s="338"/>
      <c r="N207" s="338"/>
      <c r="O207" s="338"/>
      <c r="P207" s="338"/>
      <c r="Q207" s="338"/>
      <c r="R207" s="338"/>
      <c r="S207" s="338"/>
      <c r="T207" s="338"/>
      <c r="U207" s="338"/>
      <c r="V207" s="338"/>
      <c r="W207" s="338"/>
      <c r="X207" s="338"/>
      <c r="Y207" s="338"/>
      <c r="Z207" s="338"/>
      <c r="AA207" s="338"/>
      <c r="AB207" s="72"/>
    </row>
    <row r="208" spans="3:28" x14ac:dyDescent="0.2">
      <c r="C208" s="1" t="str">
        <f>IF(Y118=10,"補助対象住宅に転居後の同居又は近居の対象となる直系親族世帯全員の住民票","")</f>
        <v/>
      </c>
    </row>
    <row r="209" spans="1:38" ht="15.75" customHeight="1" x14ac:dyDescent="0.2">
      <c r="C209" s="338" t="str">
        <f>IF(B153="","","各伝統技能の施工面積及び施工箇所を図示した立面図、展開図等の図面")</f>
        <v/>
      </c>
      <c r="D209" s="338"/>
      <c r="E209" s="338"/>
      <c r="F209" s="338"/>
      <c r="G209" s="338"/>
      <c r="H209" s="338"/>
      <c r="I209" s="338"/>
      <c r="J209" s="338"/>
      <c r="K209" s="338"/>
      <c r="L209" s="338"/>
      <c r="M209" s="338"/>
      <c r="N209" s="338"/>
      <c r="O209" s="338"/>
      <c r="P209" s="338"/>
      <c r="Q209" s="338"/>
      <c r="R209" s="338"/>
      <c r="S209" s="338"/>
      <c r="T209" s="338"/>
      <c r="U209" s="338"/>
      <c r="V209" s="338"/>
      <c r="W209" s="338"/>
      <c r="X209" s="338"/>
      <c r="Y209" s="338"/>
      <c r="Z209" s="338"/>
      <c r="AA209" s="338"/>
    </row>
    <row r="210" spans="1:38" x14ac:dyDescent="0.2">
      <c r="C210" s="1" t="str">
        <f>IF(B156="✔","建築大工技能に係る施工状況写真（建築主名を記載した工事看板を写し込んだもの）","")</f>
        <v/>
      </c>
    </row>
    <row r="211" spans="1:38" ht="29.25" customHeight="1" x14ac:dyDescent="0.2">
      <c r="C211" s="338" t="str">
        <f>IF(B164="✔","左官仕上げのこて塗りが確認できる施工状況写真（建築主名を記載した工事看板を写し込んだもの）","")</f>
        <v/>
      </c>
      <c r="D211" s="338"/>
      <c r="E211" s="338"/>
      <c r="F211" s="338"/>
      <c r="G211" s="338"/>
      <c r="H211" s="338"/>
      <c r="I211" s="338"/>
      <c r="J211" s="338"/>
      <c r="K211" s="338"/>
      <c r="L211" s="338"/>
      <c r="M211" s="338"/>
      <c r="N211" s="338"/>
      <c r="O211" s="338"/>
      <c r="P211" s="338"/>
      <c r="Q211" s="338"/>
      <c r="R211" s="338"/>
      <c r="S211" s="338"/>
      <c r="T211" s="338"/>
      <c r="U211" s="338"/>
      <c r="V211" s="338"/>
      <c r="W211" s="338"/>
      <c r="X211" s="338"/>
      <c r="Y211" s="338"/>
      <c r="Z211" s="338"/>
      <c r="AA211" s="338"/>
      <c r="AB211" s="72" t="str">
        <f>IF(C211="","","こて塗りで実際施工中の写真を添付してください（建築主名記載の工事看板入り）。")</f>
        <v/>
      </c>
    </row>
    <row r="212" spans="1:38" ht="44.25" customHeight="1" x14ac:dyDescent="0.2">
      <c r="C212" s="338" t="str">
        <f>IF(B173="✔","木製建具の種類及び見付面積が確認できる資料、設置完了後の写真（建具の種類ごとに建築主名、建具業者名及び建具の名称を記載した工事看板を写し込んだもの）及び当該木製建具に係る納品書の写し","")</f>
        <v/>
      </c>
      <c r="D212" s="338"/>
      <c r="E212" s="338"/>
      <c r="F212" s="338"/>
      <c r="G212" s="338"/>
      <c r="H212" s="338"/>
      <c r="I212" s="338"/>
      <c r="J212" s="338"/>
      <c r="K212" s="338"/>
      <c r="L212" s="338"/>
      <c r="M212" s="338"/>
      <c r="N212" s="338"/>
      <c r="O212" s="338"/>
      <c r="P212" s="338"/>
      <c r="Q212" s="338"/>
      <c r="R212" s="338"/>
      <c r="S212" s="338"/>
      <c r="T212" s="338"/>
      <c r="U212" s="338"/>
      <c r="V212" s="338"/>
      <c r="W212" s="338"/>
      <c r="X212" s="338"/>
      <c r="Y212" s="338"/>
      <c r="Z212" s="338"/>
      <c r="AA212" s="338"/>
    </row>
    <row r="213" spans="1:38" x14ac:dyDescent="0.2">
      <c r="C213" s="1" t="str">
        <f>IF(AC214="はい","現地審査に関する通知書（竣工時）の写し","")</f>
        <v/>
      </c>
      <c r="AB213" s="95" t="s">
        <v>202</v>
      </c>
      <c r="AC213" s="95"/>
      <c r="AD213" s="95"/>
      <c r="AE213" s="95"/>
      <c r="AF213" s="95"/>
      <c r="AG213" s="95"/>
      <c r="AH213" s="95"/>
      <c r="AI213" s="95"/>
      <c r="AJ213" s="95"/>
      <c r="AK213" s="95"/>
    </row>
    <row r="214" spans="1:38" x14ac:dyDescent="0.2">
      <c r="AB214" s="95" t="s">
        <v>203</v>
      </c>
      <c r="AC214" s="339" t="s">
        <v>220</v>
      </c>
      <c r="AD214" s="340"/>
      <c r="AE214" s="340"/>
      <c r="AF214" s="340"/>
      <c r="AG214" s="340"/>
      <c r="AH214" s="340"/>
      <c r="AI214" s="340"/>
      <c r="AJ214" s="340"/>
      <c r="AK214" s="341"/>
      <c r="AL214" s="95" t="s">
        <v>205</v>
      </c>
    </row>
    <row r="218" spans="1:38" x14ac:dyDescent="0.2">
      <c r="A218" s="338" t="s">
        <v>438</v>
      </c>
      <c r="B218" s="338"/>
      <c r="C218" s="338"/>
      <c r="D218" s="338"/>
      <c r="E218" s="338"/>
      <c r="F218" s="338"/>
      <c r="G218" s="338"/>
      <c r="H218" s="338"/>
      <c r="I218" s="338"/>
      <c r="J218" s="338"/>
      <c r="K218" s="338"/>
      <c r="L218" s="338"/>
      <c r="M218" s="338"/>
      <c r="N218" s="338"/>
      <c r="O218" s="338"/>
      <c r="P218" s="338"/>
      <c r="Q218" s="338"/>
      <c r="R218" s="338"/>
      <c r="S218" s="338"/>
      <c r="T218" s="338"/>
      <c r="U218" s="338"/>
      <c r="V218" s="338"/>
      <c r="W218" s="338"/>
      <c r="X218" s="338"/>
      <c r="Y218" s="338"/>
      <c r="Z218" s="338"/>
      <c r="AA218" s="338"/>
    </row>
    <row r="219" spans="1:38" x14ac:dyDescent="0.2">
      <c r="A219" s="338"/>
      <c r="B219" s="338"/>
      <c r="C219" s="338"/>
      <c r="D219" s="338"/>
      <c r="E219" s="338"/>
      <c r="F219" s="338"/>
      <c r="G219" s="338"/>
      <c r="H219" s="338"/>
      <c r="I219" s="338"/>
      <c r="J219" s="338"/>
      <c r="K219" s="338"/>
      <c r="L219" s="338"/>
      <c r="M219" s="338"/>
      <c r="N219" s="338"/>
      <c r="O219" s="338"/>
      <c r="P219" s="338"/>
      <c r="Q219" s="338"/>
      <c r="R219" s="338"/>
      <c r="S219" s="338"/>
      <c r="T219" s="338"/>
      <c r="U219" s="338"/>
      <c r="V219" s="338"/>
      <c r="W219" s="338"/>
      <c r="X219" s="338"/>
      <c r="Y219" s="338"/>
      <c r="Z219" s="338"/>
      <c r="AA219" s="338"/>
    </row>
    <row r="221" spans="1:38" ht="17.25" customHeight="1" x14ac:dyDescent="0.2">
      <c r="J221" s="403" t="s">
        <v>180</v>
      </c>
      <c r="K221" s="337"/>
      <c r="L221" s="337"/>
      <c r="M221" s="337"/>
      <c r="N221" s="337"/>
      <c r="O221" s="337"/>
      <c r="P221" s="337"/>
      <c r="Q221" s="337"/>
      <c r="R221" s="337"/>
      <c r="S221" s="337"/>
      <c r="T221" s="337"/>
      <c r="U221" s="337"/>
      <c r="V221" s="337"/>
      <c r="W221" s="337"/>
      <c r="X221" s="337"/>
      <c r="Y221" s="337"/>
      <c r="Z221" s="337"/>
      <c r="AA221" s="337"/>
      <c r="AB221" s="5" t="str">
        <f>IF(P221="","←工事監理者氏名（工事監理者が不要な場合は工事施工者氏名を選択し、当該内容）を入力してください。","")</f>
        <v>←工事監理者氏名（工事監理者が不要な場合は工事施工者氏名を選択し、当該内容）を入力してください。</v>
      </c>
    </row>
    <row r="222" spans="1:38" ht="17.25" customHeight="1" x14ac:dyDescent="0.2">
      <c r="J222" s="354" t="s">
        <v>149</v>
      </c>
      <c r="K222" s="354"/>
      <c r="L222" s="354"/>
      <c r="M222" s="354"/>
      <c r="N222" s="354"/>
      <c r="O222" s="354"/>
      <c r="P222" s="337"/>
      <c r="Q222" s="337"/>
      <c r="R222" s="337"/>
      <c r="S222" s="337"/>
      <c r="T222" s="337"/>
      <c r="U222" s="337"/>
      <c r="V222" s="337"/>
      <c r="W222" s="337"/>
      <c r="X222" s="337"/>
      <c r="Y222" s="337"/>
      <c r="Z222" s="337"/>
      <c r="AA222" s="337"/>
      <c r="AB222" s="5" t="str">
        <f>IF(P222="","←建築士事務所名を入力してください。","")</f>
        <v>←建築士事務所名を入力してください。</v>
      </c>
    </row>
    <row r="223" spans="1:38" ht="17.25" customHeight="1" x14ac:dyDescent="0.2">
      <c r="J223" s="396" t="s">
        <v>150</v>
      </c>
      <c r="K223" s="397"/>
      <c r="L223" s="397"/>
      <c r="M223" s="397"/>
      <c r="N223" s="397"/>
      <c r="O223" s="342"/>
      <c r="P223" s="345" t="s">
        <v>48</v>
      </c>
      <c r="Q223" s="346"/>
      <c r="R223" s="346"/>
      <c r="S223" s="346"/>
      <c r="T223" s="349"/>
      <c r="U223" s="349"/>
      <c r="V223" s="349"/>
      <c r="W223" s="349"/>
      <c r="X223" s="349"/>
      <c r="Y223" s="349"/>
      <c r="Z223" s="349"/>
      <c r="AA223" s="350"/>
      <c r="AB223" s="5" t="str">
        <f>IF(T223="","←建築士事務所の登録区分を選択（１級、２級、木造）してください。","")</f>
        <v>←建築士事務所の登録区分を選択（１級、２級、木造）してください。</v>
      </c>
    </row>
    <row r="224" spans="1:38" ht="17.25" customHeight="1" x14ac:dyDescent="0.2">
      <c r="J224" s="391"/>
      <c r="K224" s="392"/>
      <c r="L224" s="392"/>
      <c r="M224" s="392"/>
      <c r="N224" s="392"/>
      <c r="O224" s="398"/>
      <c r="P224" s="345" t="s">
        <v>151</v>
      </c>
      <c r="Q224" s="346"/>
      <c r="R224" s="346"/>
      <c r="S224" s="346"/>
      <c r="T224" s="349"/>
      <c r="U224" s="349"/>
      <c r="V224" s="349"/>
      <c r="W224" s="349"/>
      <c r="X224" s="349"/>
      <c r="Y224" s="349"/>
      <c r="Z224" s="346" t="s">
        <v>152</v>
      </c>
      <c r="AA224" s="347"/>
      <c r="AB224" s="5" t="str">
        <f>IF(T224="","←建築士事務所の登録を受けた都道府県名入力してください。","")</f>
        <v>←建築士事務所の登録を受けた都道府県名入力してください。</v>
      </c>
    </row>
    <row r="225" spans="1:28" ht="17.25" customHeight="1" x14ac:dyDescent="0.2">
      <c r="J225" s="399"/>
      <c r="K225" s="400"/>
      <c r="L225" s="400"/>
      <c r="M225" s="400"/>
      <c r="N225" s="400"/>
      <c r="O225" s="343"/>
      <c r="P225" s="345" t="s">
        <v>153</v>
      </c>
      <c r="Q225" s="346"/>
      <c r="R225" s="346"/>
      <c r="S225" s="346"/>
      <c r="T225" s="401"/>
      <c r="U225" s="401"/>
      <c r="V225" s="401"/>
      <c r="W225" s="401"/>
      <c r="X225" s="401"/>
      <c r="Y225" s="401"/>
      <c r="Z225" s="401"/>
      <c r="AA225" s="402"/>
      <c r="AB225" s="5" t="str">
        <f>IF(T225="","←建築士事務所の登録番号を入力してください。","")</f>
        <v>←建築士事務所の登録番号を入力してください。</v>
      </c>
    </row>
    <row r="226" spans="1:28" x14ac:dyDescent="0.2">
      <c r="A226" s="1" t="s">
        <v>154</v>
      </c>
    </row>
    <row r="227" spans="1:28" ht="26.25" customHeight="1" x14ac:dyDescent="0.2">
      <c r="A227" s="338" t="s">
        <v>175</v>
      </c>
      <c r="B227" s="338"/>
      <c r="C227" s="338"/>
      <c r="D227" s="338"/>
      <c r="E227" s="338"/>
      <c r="F227" s="338"/>
      <c r="G227" s="338"/>
      <c r="H227" s="338"/>
      <c r="I227" s="338"/>
      <c r="J227" s="338"/>
      <c r="K227" s="338"/>
      <c r="L227" s="338"/>
      <c r="M227" s="338"/>
      <c r="N227" s="338"/>
      <c r="O227" s="338"/>
      <c r="P227" s="338"/>
      <c r="Q227" s="338"/>
      <c r="R227" s="338"/>
      <c r="S227" s="338"/>
      <c r="T227" s="338"/>
      <c r="U227" s="338"/>
      <c r="V227" s="338"/>
      <c r="W227" s="338"/>
      <c r="X227" s="338"/>
      <c r="Y227" s="338"/>
      <c r="Z227" s="338"/>
      <c r="AA227" s="338"/>
    </row>
  </sheetData>
  <sheetProtection algorithmName="SHA-512" hashValue="HOgo+edtoRNF+vtd7OAj4ZHryH+yyNH4IVtzku/nbVBBkabK1PZTHf8N4BLujy0veLEVPvFNeyckVD+Pt/gMvw==" saltValue="+LG7xGOvUnWXrLknZyY0nA==" spinCount="100000" sheet="1" objects="1" scenarios="1" selectLockedCells="1"/>
  <mergeCells count="171">
    <mergeCell ref="D68:O68"/>
    <mergeCell ref="P68:T68"/>
    <mergeCell ref="U68:Z68"/>
    <mergeCell ref="D69:O69"/>
    <mergeCell ref="P69:T69"/>
    <mergeCell ref="U69:Z69"/>
    <mergeCell ref="D70:O70"/>
    <mergeCell ref="P70:T70"/>
    <mergeCell ref="U70:Z70"/>
    <mergeCell ref="D65:O65"/>
    <mergeCell ref="P65:T65"/>
    <mergeCell ref="U65:Z65"/>
    <mergeCell ref="D66:O66"/>
    <mergeCell ref="P66:T66"/>
    <mergeCell ref="U66:Z66"/>
    <mergeCell ref="D67:O67"/>
    <mergeCell ref="P67:T67"/>
    <mergeCell ref="U67:Z67"/>
    <mergeCell ref="I40:X40"/>
    <mergeCell ref="N35:Q35"/>
    <mergeCell ref="A16:AA16"/>
    <mergeCell ref="V36:W36"/>
    <mergeCell ref="S31:V31"/>
    <mergeCell ref="V35:W35"/>
    <mergeCell ref="C203:AA203"/>
    <mergeCell ref="D37:H37"/>
    <mergeCell ref="I37:X37"/>
    <mergeCell ref="U85:X86"/>
    <mergeCell ref="Y85:AA86"/>
    <mergeCell ref="Y87:Z87"/>
    <mergeCell ref="C180:AA182"/>
    <mergeCell ref="Q106:AA107"/>
    <mergeCell ref="Y147:AA148"/>
    <mergeCell ref="B148:X149"/>
    <mergeCell ref="Y172:Z172"/>
    <mergeCell ref="H178:X178"/>
    <mergeCell ref="I45:N45"/>
    <mergeCell ref="Y162:Z162"/>
    <mergeCell ref="Y170:AA171"/>
    <mergeCell ref="I36:M36"/>
    <mergeCell ref="C22:AA22"/>
    <mergeCell ref="C24:AA25"/>
    <mergeCell ref="D34:H34"/>
    <mergeCell ref="I34:X34"/>
    <mergeCell ref="D31:H31"/>
    <mergeCell ref="V32:W32"/>
    <mergeCell ref="R33:U33"/>
    <mergeCell ref="O31:R31"/>
    <mergeCell ref="V33:W33"/>
    <mergeCell ref="R32:U32"/>
    <mergeCell ref="D35:H36"/>
    <mergeCell ref="A218:AA219"/>
    <mergeCell ref="H167:X167"/>
    <mergeCell ref="B82:AA82"/>
    <mergeCell ref="U87:X87"/>
    <mergeCell ref="A3:AA3"/>
    <mergeCell ref="U88:X88"/>
    <mergeCell ref="Q88:T88"/>
    <mergeCell ref="D78:H78"/>
    <mergeCell ref="I78:X78"/>
    <mergeCell ref="I30:X30"/>
    <mergeCell ref="D29:H30"/>
    <mergeCell ref="I29:L29"/>
    <mergeCell ref="M29:X29"/>
    <mergeCell ref="I31:N31"/>
    <mergeCell ref="M32:Q33"/>
    <mergeCell ref="D32:H33"/>
    <mergeCell ref="I32:K33"/>
    <mergeCell ref="D42:H42"/>
    <mergeCell ref="D41:H41"/>
    <mergeCell ref="D40:H40"/>
    <mergeCell ref="I41:X41"/>
    <mergeCell ref="I42:X42"/>
    <mergeCell ref="W31:X31"/>
    <mergeCell ref="R168:U168"/>
    <mergeCell ref="A5:AA6"/>
    <mergeCell ref="C109:N110"/>
    <mergeCell ref="Q109:AA110"/>
    <mergeCell ref="Y100:Z100"/>
    <mergeCell ref="Y98:AA99"/>
    <mergeCell ref="Y118:Z118"/>
    <mergeCell ref="Y116:AA117"/>
    <mergeCell ref="C113:Z114"/>
    <mergeCell ref="Q87:T87"/>
    <mergeCell ref="Y89:Z89"/>
    <mergeCell ref="D61:H61"/>
    <mergeCell ref="I61:N61"/>
    <mergeCell ref="N36:Q36"/>
    <mergeCell ref="I35:M35"/>
    <mergeCell ref="D45:H45"/>
    <mergeCell ref="E87:P87"/>
    <mergeCell ref="C8:F8"/>
    <mergeCell ref="H8:I8"/>
    <mergeCell ref="K8:L8"/>
    <mergeCell ref="N12:Z12"/>
    <mergeCell ref="N13:Z13"/>
    <mergeCell ref="N11:Z11"/>
    <mergeCell ref="O10:Z10"/>
    <mergeCell ref="C20:AA21"/>
    <mergeCell ref="A227:AA227"/>
    <mergeCell ref="Y177:AA178"/>
    <mergeCell ref="Y179:Z179"/>
    <mergeCell ref="H160:X160"/>
    <mergeCell ref="Q103:AA104"/>
    <mergeCell ref="J223:O225"/>
    <mergeCell ref="P223:S223"/>
    <mergeCell ref="T223:AA223"/>
    <mergeCell ref="P224:S224"/>
    <mergeCell ref="T224:Y224"/>
    <mergeCell ref="Z224:AA224"/>
    <mergeCell ref="P225:S225"/>
    <mergeCell ref="T225:AA225"/>
    <mergeCell ref="C209:AA209"/>
    <mergeCell ref="C211:AA211"/>
    <mergeCell ref="C212:AA212"/>
    <mergeCell ref="J221:O221"/>
    <mergeCell ref="P221:AA221"/>
    <mergeCell ref="J222:O222"/>
    <mergeCell ref="P222:AA222"/>
    <mergeCell ref="N161:P161"/>
    <mergeCell ref="Y160:AA161"/>
    <mergeCell ref="H176:O176"/>
    <mergeCell ref="P176:AA176"/>
    <mergeCell ref="V47:W47"/>
    <mergeCell ref="Y149:Z149"/>
    <mergeCell ref="N168:P168"/>
    <mergeCell ref="H173:AA175"/>
    <mergeCell ref="H156:AA159"/>
    <mergeCell ref="C204:AA204"/>
    <mergeCell ref="C205:AA205"/>
    <mergeCell ref="C206:AA206"/>
    <mergeCell ref="P61:AA61"/>
    <mergeCell ref="K185:M186"/>
    <mergeCell ref="N179:P179"/>
    <mergeCell ref="H177:O177"/>
    <mergeCell ref="B137:G138"/>
    <mergeCell ref="C150:AA151"/>
    <mergeCell ref="H139:N139"/>
    <mergeCell ref="O139:Z139"/>
    <mergeCell ref="H140:N140"/>
    <mergeCell ref="O140:Z140"/>
    <mergeCell ref="C74:AA75"/>
    <mergeCell ref="E88:P88"/>
    <mergeCell ref="C106:N107"/>
    <mergeCell ref="B139:G141"/>
    <mergeCell ref="H141:N141"/>
    <mergeCell ref="V168:Z168"/>
    <mergeCell ref="O141:Z141"/>
    <mergeCell ref="C207:AA207"/>
    <mergeCell ref="AC214:AK214"/>
    <mergeCell ref="L32:L33"/>
    <mergeCell ref="S35:T35"/>
    <mergeCell ref="O45:S45"/>
    <mergeCell ref="T45:Y45"/>
    <mergeCell ref="S36:T36"/>
    <mergeCell ref="Y88:Z88"/>
    <mergeCell ref="Q85:T85"/>
    <mergeCell ref="H137:N137"/>
    <mergeCell ref="O137:Z137"/>
    <mergeCell ref="H138:N138"/>
    <mergeCell ref="O138:Z138"/>
    <mergeCell ref="D86:P86"/>
    <mergeCell ref="D85:P85"/>
    <mergeCell ref="Q86:T86"/>
    <mergeCell ref="D46:H46"/>
    <mergeCell ref="I46:N46"/>
    <mergeCell ref="O46:S46"/>
    <mergeCell ref="T46:Y46"/>
    <mergeCell ref="D47:N47"/>
    <mergeCell ref="O47:Q47"/>
    <mergeCell ref="S47:T47"/>
  </mergeCells>
  <phoneticPr fontId="1"/>
  <conditionalFormatting sqref="O10:Z10 N11:Z13 I34:X34 I40:X42 I30:I32 M29 Q86:Q87">
    <cfRule type="containsBlanks" dxfId="82" priority="177">
      <formula>LEN(TRIM(I10))=0</formula>
    </cfRule>
  </conditionalFormatting>
  <conditionalFormatting sqref="V32:W32">
    <cfRule type="expression" dxfId="81" priority="165">
      <formula>AND($I$31="併用住宅",$V$32="")</formula>
    </cfRule>
  </conditionalFormatting>
  <conditionalFormatting sqref="V33:W33">
    <cfRule type="expression" dxfId="80" priority="164">
      <formula>AND($I$31="併用住宅",$V$33="")</formula>
    </cfRule>
  </conditionalFormatting>
  <conditionalFormatting sqref="I61:N61">
    <cfRule type="containsBlanks" dxfId="79" priority="162">
      <formula>LEN(TRIM(I61))=0</formula>
    </cfRule>
  </conditionalFormatting>
  <conditionalFormatting sqref="U85:X86">
    <cfRule type="expression" dxfId="78" priority="156">
      <formula>$I$31="併用住宅"</formula>
    </cfRule>
  </conditionalFormatting>
  <conditionalFormatting sqref="B20">
    <cfRule type="containsBlanks" dxfId="77" priority="182">
      <formula>LEN(TRIM(B20))=0</formula>
    </cfRule>
  </conditionalFormatting>
  <conditionalFormatting sqref="U87:X87">
    <cfRule type="expression" dxfId="76" priority="154">
      <formula>$I$31="併用住宅"</formula>
    </cfRule>
    <cfRule type="expression" dxfId="75" priority="158">
      <formula>AND($I$31="併用住宅",$U$87="")</formula>
    </cfRule>
  </conditionalFormatting>
  <conditionalFormatting sqref="S31">
    <cfRule type="containsBlanks" dxfId="74" priority="101">
      <formula>LEN(TRIM(S31))=0</formula>
    </cfRule>
  </conditionalFormatting>
  <conditionalFormatting sqref="H8">
    <cfRule type="containsBlanks" dxfId="73" priority="93">
      <formula>LEN(TRIM(H8))=0</formula>
    </cfRule>
  </conditionalFormatting>
  <conditionalFormatting sqref="K8">
    <cfRule type="containsBlanks" dxfId="72" priority="92">
      <formula>LEN(TRIM(K8))=0</formula>
    </cfRule>
  </conditionalFormatting>
  <conditionalFormatting sqref="C8:F8">
    <cfRule type="containsBlanks" dxfId="71" priority="91">
      <formula>LEN(TRIM(C8))=0</formula>
    </cfRule>
  </conditionalFormatting>
  <conditionalFormatting sqref="N168:P168">
    <cfRule type="containsBlanks" dxfId="70" priority="184">
      <formula>LEN(TRIM(N168))=0</formula>
    </cfRule>
  </conditionalFormatting>
  <conditionalFormatting sqref="N179:P179">
    <cfRule type="containsBlanks" dxfId="69" priority="185">
      <formula>LEN(TRIM(N179))=0</formula>
    </cfRule>
  </conditionalFormatting>
  <conditionalFormatting sqref="V35 S35">
    <cfRule type="containsBlanks" dxfId="68" priority="80">
      <formula>LEN(TRIM(S35))=0</formula>
    </cfRule>
  </conditionalFormatting>
  <conditionalFormatting sqref="N35:Q35">
    <cfRule type="containsBlanks" dxfId="67" priority="79">
      <formula>LEN(TRIM(N35))=0</formula>
    </cfRule>
  </conditionalFormatting>
  <conditionalFormatting sqref="V36 S36">
    <cfRule type="containsBlanks" dxfId="66" priority="78">
      <formula>LEN(TRIM(S36))=0</formula>
    </cfRule>
  </conditionalFormatting>
  <conditionalFormatting sqref="N36:Q36">
    <cfRule type="containsBlanks" dxfId="65" priority="77">
      <formula>LEN(TRIM(N36))=0</formula>
    </cfRule>
  </conditionalFormatting>
  <conditionalFormatting sqref="U88:X88">
    <cfRule type="expression" dxfId="64" priority="180">
      <formula>$I$31="併用住宅"</formula>
    </cfRule>
    <cfRule type="expression" dxfId="63" priority="181">
      <formula>AND($I$31="併用住宅",#REF!="")</formula>
    </cfRule>
  </conditionalFormatting>
  <conditionalFormatting sqref="N161:P161">
    <cfRule type="containsBlanks" dxfId="62" priority="183">
      <formula>LEN(TRIM(N161))=0</formula>
    </cfRule>
  </conditionalFormatting>
  <conditionalFormatting sqref="P221:AA222">
    <cfRule type="containsBlanks" dxfId="61" priority="54">
      <formula>LEN(TRIM(P221))=0</formula>
    </cfRule>
  </conditionalFormatting>
  <conditionalFormatting sqref="T223:AA223 T225:AA225 T224 Z224">
    <cfRule type="containsBlanks" dxfId="60" priority="53">
      <formula>LEN(TRIM(T223))=0</formula>
    </cfRule>
  </conditionalFormatting>
  <conditionalFormatting sqref="O137:Z140">
    <cfRule type="containsBlanks" dxfId="59" priority="52">
      <formula>LEN(TRIM(O137))=0</formula>
    </cfRule>
  </conditionalFormatting>
  <conditionalFormatting sqref="I37:X37">
    <cfRule type="expression" dxfId="58" priority="51">
      <formula>AND($I$34="その他",$I$37="")</formula>
    </cfRule>
  </conditionalFormatting>
  <conditionalFormatting sqref="R168:U168">
    <cfRule type="containsBlanks" dxfId="57" priority="49">
      <formula>LEN(TRIM(R168))=0</formula>
    </cfRule>
  </conditionalFormatting>
  <conditionalFormatting sqref="V168:Z168">
    <cfRule type="expression" dxfId="56" priority="45">
      <formula>AND($R$168="その他のこて塗り",$V$168="")</formula>
    </cfRule>
    <cfRule type="expression" dxfId="55" priority="46">
      <formula>"$R$158=""その他のこて塗り"""</formula>
    </cfRule>
  </conditionalFormatting>
  <conditionalFormatting sqref="I78:X78">
    <cfRule type="containsBlanks" dxfId="54" priority="44">
      <formula>LEN(TRIM(I78))=0</formula>
    </cfRule>
  </conditionalFormatting>
  <conditionalFormatting sqref="Q88">
    <cfRule type="containsBlanks" dxfId="53" priority="43">
      <formula>LEN(TRIM(Q88))=0</formula>
    </cfRule>
  </conditionalFormatting>
  <conditionalFormatting sqref="B24">
    <cfRule type="containsBlanks" dxfId="52" priority="42">
      <formula>LEN(TRIM(B24))=0</formula>
    </cfRule>
  </conditionalFormatting>
  <conditionalFormatting sqref="B39">
    <cfRule type="containsBlanks" dxfId="51" priority="41">
      <formula>LEN(TRIM(B39))=0</formula>
    </cfRule>
  </conditionalFormatting>
  <conditionalFormatting sqref="P102">
    <cfRule type="containsBlanks" dxfId="50" priority="33">
      <formula>LEN(TRIM(P102))=0</formula>
    </cfRule>
  </conditionalFormatting>
  <conditionalFormatting sqref="B49">
    <cfRule type="containsBlanks" dxfId="49" priority="39">
      <formula>LEN(TRIM(B49))=0</formula>
    </cfRule>
  </conditionalFormatting>
  <conditionalFormatting sqref="B60">
    <cfRule type="containsBlanks" dxfId="48" priority="38">
      <formula>LEN(TRIM(B60))=0</formula>
    </cfRule>
  </conditionalFormatting>
  <conditionalFormatting sqref="B74">
    <cfRule type="containsBlanks" dxfId="47" priority="37">
      <formula>LEN(TRIM(B74))=0</formula>
    </cfRule>
  </conditionalFormatting>
  <conditionalFormatting sqref="B77">
    <cfRule type="containsBlanks" dxfId="46" priority="36">
      <formula>LEN(TRIM(B77))=0</formula>
    </cfRule>
  </conditionalFormatting>
  <conditionalFormatting sqref="B81">
    <cfRule type="containsBlanks" dxfId="45" priority="35">
      <formula>LEN(TRIM(B81))=0</formula>
    </cfRule>
  </conditionalFormatting>
  <conditionalFormatting sqref="B102">
    <cfRule type="containsBlanks" dxfId="44" priority="34">
      <formula>LEN(TRIM(B102))=0</formula>
    </cfRule>
  </conditionalFormatting>
  <conditionalFormatting sqref="B123">
    <cfRule type="containsBlanks" dxfId="43" priority="32">
      <formula>LEN(TRIM(B123))=0</formula>
    </cfRule>
  </conditionalFormatting>
  <conditionalFormatting sqref="B125">
    <cfRule type="containsBlanks" dxfId="42" priority="31">
      <formula>LEN(TRIM(B125))=0</formula>
    </cfRule>
  </conditionalFormatting>
  <conditionalFormatting sqref="B128">
    <cfRule type="containsBlanks" dxfId="41" priority="30">
      <formula>LEN(TRIM(B128))=0</formula>
    </cfRule>
  </conditionalFormatting>
  <conditionalFormatting sqref="B131">
    <cfRule type="containsBlanks" dxfId="40" priority="29">
      <formula>LEN(TRIM(B131))=0</formula>
    </cfRule>
  </conditionalFormatting>
  <conditionalFormatting sqref="B133">
    <cfRule type="containsBlanks" dxfId="39" priority="28">
      <formula>LEN(TRIM(B133))=0</formula>
    </cfRule>
  </conditionalFormatting>
  <conditionalFormatting sqref="B135">
    <cfRule type="containsBlanks" dxfId="38" priority="27">
      <formula>LEN(TRIM(B135))=0</formula>
    </cfRule>
  </conditionalFormatting>
  <conditionalFormatting sqref="B153">
    <cfRule type="containsBlanks" dxfId="37" priority="26">
      <formula>LEN(TRIM(B153))=0</formula>
    </cfRule>
  </conditionalFormatting>
  <conditionalFormatting sqref="B156">
    <cfRule type="containsBlanks" dxfId="36" priority="25">
      <formula>LEN(TRIM(B156))=0</formula>
    </cfRule>
  </conditionalFormatting>
  <conditionalFormatting sqref="B173">
    <cfRule type="containsBlanks" dxfId="35" priority="23">
      <formula>LEN(TRIM(B173))=0</formula>
    </cfRule>
  </conditionalFormatting>
  <conditionalFormatting sqref="B164">
    <cfRule type="containsBlanks" dxfId="34" priority="22">
      <formula>LEN(TRIM(B164))=0</formula>
    </cfRule>
  </conditionalFormatting>
  <conditionalFormatting sqref="I45:N45">
    <cfRule type="containsBlanks" dxfId="33" priority="21">
      <formula>LEN(TRIM(I45))=0</formula>
    </cfRule>
  </conditionalFormatting>
  <conditionalFormatting sqref="T45:Y45">
    <cfRule type="containsBlanks" dxfId="32" priority="20">
      <formula>LEN(TRIM(T45))=0</formula>
    </cfRule>
  </conditionalFormatting>
  <conditionalFormatting sqref="B44">
    <cfRule type="containsBlanks" dxfId="31" priority="19">
      <formula>LEN(TRIM(B44))=0</formula>
    </cfRule>
  </conditionalFormatting>
  <conditionalFormatting sqref="I46:N46">
    <cfRule type="containsBlanks" dxfId="30" priority="18">
      <formula>LEN(TRIM(I46))=0</formula>
    </cfRule>
  </conditionalFormatting>
  <conditionalFormatting sqref="T46:Y46">
    <cfRule type="containsBlanks" dxfId="29" priority="17">
      <formula>LEN(TRIM(T46))=0</formula>
    </cfRule>
  </conditionalFormatting>
  <conditionalFormatting sqref="O47">
    <cfRule type="containsBlanks" dxfId="28" priority="16">
      <formula>LEN(TRIM(O47))=0</formula>
    </cfRule>
  </conditionalFormatting>
  <conditionalFormatting sqref="V47 S47">
    <cfRule type="containsBlanks" dxfId="27" priority="15">
      <formula>LEN(TRIM(S47))=0</formula>
    </cfRule>
  </conditionalFormatting>
  <conditionalFormatting sqref="B71">
    <cfRule type="containsBlanks" dxfId="26" priority="14">
      <formula>LEN(TRIM(B71))=0</formula>
    </cfRule>
  </conditionalFormatting>
  <conditionalFormatting sqref="O141:Z141">
    <cfRule type="containsBlanks" dxfId="25" priority="13">
      <formula>LEN(TRIM(O141))=0</formula>
    </cfRule>
  </conditionalFormatting>
  <conditionalFormatting sqref="B54">
    <cfRule type="containsBlanks" dxfId="24" priority="12">
      <formula>LEN(TRIM(B54))=0</formula>
    </cfRule>
  </conditionalFormatting>
  <conditionalFormatting sqref="B51">
    <cfRule type="containsBlanks" dxfId="23" priority="11">
      <formula>LEN(TRIM(B51))=0</formula>
    </cfRule>
  </conditionalFormatting>
  <conditionalFormatting sqref="I63:X64">
    <cfRule type="expression" dxfId="22" priority="9">
      <formula>AND($I$34="その他",#REF!="")</formula>
    </cfRule>
  </conditionalFormatting>
  <conditionalFormatting sqref="U65:U66 U68:U70">
    <cfRule type="expression" dxfId="21" priority="8">
      <formula>AND($I$34="その他",#REF!="")</formula>
    </cfRule>
  </conditionalFormatting>
  <conditionalFormatting sqref="P65:P66 P68:P70">
    <cfRule type="expression" dxfId="20" priority="7">
      <formula>AND($I$34="その他",#REF!="")</formula>
    </cfRule>
  </conditionalFormatting>
  <conditionalFormatting sqref="D66:Z66 D68:Z70">
    <cfRule type="cellIs" dxfId="19" priority="6" operator="equal">
      <formula>""</formula>
    </cfRule>
  </conditionalFormatting>
  <conditionalFormatting sqref="U67">
    <cfRule type="expression" dxfId="18" priority="5">
      <formula>AND($I$34="その他",#REF!="")</formula>
    </cfRule>
  </conditionalFormatting>
  <conditionalFormatting sqref="P67">
    <cfRule type="expression" dxfId="17" priority="4">
      <formula>AND($I$34="その他",#REF!="")</formula>
    </cfRule>
  </conditionalFormatting>
  <conditionalFormatting sqref="D67:Z67">
    <cfRule type="cellIs" dxfId="16" priority="3" operator="equal">
      <formula>""</formula>
    </cfRule>
  </conditionalFormatting>
  <conditionalFormatting sqref="C58">
    <cfRule type="containsBlanks" dxfId="15" priority="1">
      <formula>LEN(TRIM(C58))=0</formula>
    </cfRule>
  </conditionalFormatting>
  <conditionalFormatting sqref="B56">
    <cfRule type="containsBlanks" dxfId="14" priority="2">
      <formula>LEN(TRIM(B56))=0</formula>
    </cfRule>
  </conditionalFormatting>
  <dataValidations count="19">
    <dataValidation type="list" allowBlank="1" showInputMessage="1" showErrorMessage="1" sqref="I61:N61 I46:N46 T46:Y46">
      <formula1>"有,無,"</formula1>
    </dataValidation>
    <dataValidation type="list" allowBlank="1" showInputMessage="1" showErrorMessage="1" sqref="I34:X34">
      <formula1>"在来軸組工法,伝統工法,その他"</formula1>
    </dataValidation>
    <dataValidation type="decimal" operator="greaterThanOrEqual" allowBlank="1" showInputMessage="1" showErrorMessage="1" errorTitle="エラー" error="10以上の数値を入力してください。（10未満の数値や数値以外の内容は入力できません。）" sqref="Q86:T86">
      <formula1>0.3</formula1>
    </dataValidation>
    <dataValidation type="decimal" allowBlank="1" showInputMessage="1" showErrorMessage="1" errorTitle="エラー" error="0.3以上の数値を入力してください。（0.3未満は補助対象外です。_x000a_また数値以外の内容は入力できません。）" sqref="Q87:T87">
      <formula1>0.3</formula1>
      <formula2>Q86</formula2>
    </dataValidation>
    <dataValidation type="list" allowBlank="1" showInputMessage="1" showErrorMessage="1" sqref="M29:X29">
      <formula1>"鳥取市,米子市,倉吉市,境港市,岩美町,若桜町,智頭町,八頭町,三朝町,湯梨浜町,琴浦町,北栄町,大山町,日吉津村,伯耆町,南部町,日野町,日南町,江府町,"</formula1>
    </dataValidation>
    <dataValidation type="list" allowBlank="1" showInputMessage="1" showErrorMessage="1" sqref="H8:I8 S35:T36 S47:T47">
      <formula1>"1,2,3,4,5,6,7,8,9,10,11,12,"</formula1>
    </dataValidation>
    <dataValidation type="list" allowBlank="1" showInputMessage="1" showErrorMessage="1" sqref="K8:L8">
      <formula1>"1,2,3,4,5,6,7,8,9,10,11,12,13,14,15,16,17,18,19,20,21,22,23,24,25,26,27,28,29,30,31, "</formula1>
    </dataValidation>
    <dataValidation type="list" allowBlank="1" showInputMessage="1" showErrorMessage="1" sqref="C8:F8 N35:Q36 O47">
      <formula1>"2,3,4,5,6,7,8,9,10,"</formula1>
    </dataValidation>
    <dataValidation type="list" allowBlank="1" showInputMessage="1" showErrorMessage="1" sqref="I45:N45 T45:Y45">
      <formula1>"要,不要,"</formula1>
    </dataValidation>
    <dataValidation type="list" allowBlank="1" showInputMessage="1" showErrorMessage="1" sqref="V35:W36 V47:W47">
      <formula1>"1,2,3,4,5,6,7,8,9,10,11,12,13,14,15,16,17,18,19,20,21,22,23,24,25,26,27,28,29,30,31,"</formula1>
    </dataValidation>
    <dataValidation type="list" allowBlank="1" showInputMessage="1" showErrorMessage="1" sqref="I31:N31">
      <formula1>"増築,改築,修繕,模様替"</formula1>
    </dataValidation>
    <dataValidation type="list" allowBlank="1" showInputMessage="1" showErrorMessage="1" sqref="B20 B135 B24 B39 B74 B49 B71 B77 B81 B102 P102 B123 B125 B128 B131 B133 B173 B153 B156 B164 B44 B60 B54 B51 B56 C58">
      <formula1>"✔,"</formula1>
    </dataValidation>
    <dataValidation type="list" allowBlank="1" showInputMessage="1" showErrorMessage="1" sqref="T223:AA223">
      <formula1>"一級建築士事務所,二級建築士事務所,木造建築士事務所"</formula1>
    </dataValidation>
    <dataValidation type="list" allowBlank="1" showInputMessage="1" showErrorMessage="1" sqref="R168:U168">
      <formula1>"モルタル塗,漆喰塗,土壁塗,そとん壁,じゅらく塗,珪藻土塗,その他のこて塗り"</formula1>
    </dataValidation>
    <dataValidation type="list" allowBlank="1" showInputMessage="1" showErrorMessage="1" sqref="J221:O221">
      <formula1>"工事監理者氏名,工事施工者氏名"</formula1>
    </dataValidation>
    <dataValidation type="whole" allowBlank="1" showInputMessage="1" showErrorMessage="1" error="1以上が補助対象です。整数値以外入力不可です。" sqref="Q88:T88">
      <formula1>1</formula1>
      <formula2>10000</formula2>
    </dataValidation>
    <dataValidation type="list" allowBlank="1" showInputMessage="1" showErrorMessage="1" sqref="AC214:AK214">
      <formula1>"はい,いいえ"</formula1>
    </dataValidation>
    <dataValidation type="list" allowBlank="1" showInputMessage="1" showErrorMessage="1" sqref="O141:Z141">
      <formula1>"申請者と同じ,申請者と異なる"</formula1>
    </dataValidation>
    <dataValidation type="list" allowBlank="1" showInputMessage="1" showErrorMessage="1" sqref="I78:X78">
      <formula1>"智頭,久大,大山,ミヨシ,その他"</formula1>
    </dataValidation>
  </dataValidations>
  <pageMargins left="0.70866141732283472" right="0.70866141732283472" top="0.35433070866141736" bottom="0.35433070866141736" header="0.31496062992125984" footer="0.31496062992125984"/>
  <pageSetup paperSize="9" orientation="portrait" horizontalDpi="1200" verticalDpi="1200" r:id="rId1"/>
  <rowBreaks count="3" manualBreakCount="3">
    <brk id="72" max="26" man="1"/>
    <brk id="136" max="26" man="1"/>
    <brk id="184" max="16383" man="1"/>
  </rowBreaks>
  <colBreaks count="1" manualBreakCount="1">
    <brk id="27" max="196"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K63"/>
  <sheetViews>
    <sheetView view="pageBreakPreview" topLeftCell="A13" zoomScaleNormal="100" zoomScaleSheetLayoutView="100" workbookViewId="0">
      <selection activeCell="A17" sqref="A17:Z17"/>
    </sheetView>
  </sheetViews>
  <sheetFormatPr defaultColWidth="3.08984375" defaultRowHeight="18" customHeight="1" x14ac:dyDescent="0.2"/>
  <cols>
    <col min="1" max="26" width="3.08984375" style="1"/>
    <col min="27" max="27" width="9.08984375" style="21" customWidth="1"/>
    <col min="28" max="16384" width="3.08984375" style="1"/>
  </cols>
  <sheetData>
    <row r="1" spans="1:63" ht="15.75" customHeight="1" x14ac:dyDescent="0.2">
      <c r="A1" s="1" t="s">
        <v>196</v>
      </c>
    </row>
    <row r="2" spans="1:63" ht="15.75" customHeight="1" x14ac:dyDescent="0.2">
      <c r="A2" s="325"/>
      <c r="B2" s="325"/>
      <c r="C2" s="325"/>
      <c r="D2" s="325"/>
      <c r="E2" s="325"/>
      <c r="F2" s="325"/>
      <c r="G2" s="325"/>
      <c r="H2" s="325"/>
      <c r="I2" s="325"/>
      <c r="J2" s="325"/>
      <c r="K2" s="325"/>
      <c r="L2" s="325"/>
      <c r="M2" s="325"/>
      <c r="N2" s="325"/>
      <c r="O2" s="326" t="s">
        <v>434</v>
      </c>
      <c r="P2" s="326"/>
      <c r="Q2" s="482" t="str">
        <f>IF(【様式第６号の２】事業報告書兼チェックシート!C8="","",【様式第６号の２】事業報告書兼チェックシート!C8)</f>
        <v/>
      </c>
      <c r="R2" s="482"/>
      <c r="S2" s="327" t="s">
        <v>9</v>
      </c>
      <c r="T2" s="482" t="str">
        <f>IF(【様式第６号の２】事業報告書兼チェックシート!H8="","",【様式第６号の２】事業報告書兼チェックシート!H8)</f>
        <v/>
      </c>
      <c r="U2" s="482"/>
      <c r="V2" s="327" t="s">
        <v>396</v>
      </c>
      <c r="W2" s="482" t="str">
        <f>IF(【様式第６号の２】事業報告書兼チェックシート!K8="","",【様式第６号の２】事業報告書兼チェックシート!K8)</f>
        <v/>
      </c>
      <c r="X2" s="482"/>
      <c r="Y2" s="327" t="s">
        <v>8</v>
      </c>
      <c r="Z2" s="327"/>
      <c r="AA2" s="93" t="str">
        <f>IF(A2="令和　年　月　日","←申請日を入力してください。","")</f>
        <v/>
      </c>
      <c r="BK2" s="106" t="s">
        <v>192</v>
      </c>
    </row>
    <row r="3" spans="1:63" ht="15.75" customHeight="1" x14ac:dyDescent="0.2">
      <c r="A3" s="73"/>
      <c r="B3" s="73"/>
      <c r="C3" s="73"/>
      <c r="D3" s="73"/>
      <c r="E3" s="73"/>
      <c r="F3" s="73"/>
      <c r="G3" s="73"/>
      <c r="H3" s="73"/>
      <c r="I3" s="73"/>
      <c r="J3" s="73"/>
      <c r="K3" s="73"/>
      <c r="L3" s="73"/>
      <c r="M3" s="73"/>
      <c r="N3" s="73"/>
      <c r="O3" s="73"/>
      <c r="P3" s="73"/>
      <c r="Q3" s="73"/>
      <c r="R3" s="73"/>
      <c r="S3" s="73"/>
      <c r="T3" s="73"/>
      <c r="U3" s="73"/>
      <c r="V3" s="73"/>
      <c r="W3" s="73"/>
      <c r="X3" s="73"/>
      <c r="Y3" s="73"/>
      <c r="Z3" s="73"/>
      <c r="BK3" s="106" t="s">
        <v>204</v>
      </c>
    </row>
    <row r="4" spans="1:63" ht="15.75" customHeight="1" x14ac:dyDescent="0.2"/>
    <row r="5" spans="1:63" ht="15.75" customHeight="1" x14ac:dyDescent="0.2">
      <c r="B5" s="1" t="str">
        <f>IF(【様式第６号の２】事業報告書兼チェックシート!BG29="","鳥取県　　　　　所長　様",【様式第６号の２】事業報告書兼チェックシート!BG29&amp;"　様")</f>
        <v>鳥取県　　　　　所長　様</v>
      </c>
    </row>
    <row r="6" spans="1:63" ht="15.75" customHeight="1" x14ac:dyDescent="0.2"/>
    <row r="7" spans="1:63" ht="15.75" customHeight="1" x14ac:dyDescent="0.2"/>
    <row r="8" spans="1:63" ht="15.75" customHeight="1" x14ac:dyDescent="0.2">
      <c r="M8" s="1" t="s">
        <v>15</v>
      </c>
    </row>
    <row r="9" spans="1:63" ht="15.75" customHeight="1" x14ac:dyDescent="0.2">
      <c r="M9" s="1" t="s">
        <v>14</v>
      </c>
      <c r="O9" s="74" t="s">
        <v>38</v>
      </c>
      <c r="P9" s="481" t="str">
        <f>IF(【様式第６号の２】事業報告書兼チェックシート!O10="","",【様式第６号の２】事業報告書兼チェックシート!O10)</f>
        <v/>
      </c>
      <c r="Q9" s="481"/>
      <c r="R9" s="481"/>
      <c r="S9" s="481"/>
      <c r="T9" s="481"/>
      <c r="U9" s="481"/>
      <c r="V9" s="481"/>
      <c r="W9" s="481"/>
      <c r="X9" s="481"/>
    </row>
    <row r="10" spans="1:63" ht="35.25" customHeight="1" x14ac:dyDescent="0.2">
      <c r="O10" s="483" t="str">
        <f>IF(【様式第６号の２】事業報告書兼チェックシート!N11="","",【様式第６号の２】事業報告書兼チェックシート!N11)</f>
        <v/>
      </c>
      <c r="P10" s="483"/>
      <c r="Q10" s="483"/>
      <c r="R10" s="483"/>
      <c r="S10" s="483"/>
      <c r="T10" s="483"/>
      <c r="U10" s="483"/>
      <c r="V10" s="483"/>
      <c r="W10" s="483"/>
      <c r="X10" s="483"/>
    </row>
    <row r="11" spans="1:63" ht="16.5" customHeight="1" x14ac:dyDescent="0.2">
      <c r="M11" s="1" t="s">
        <v>6</v>
      </c>
      <c r="O11" s="483" t="str">
        <f>IF(【様式第６号の２】事業報告書兼チェックシート!N12="","",【様式第６号の２】事業報告書兼チェックシート!N12)</f>
        <v/>
      </c>
      <c r="P11" s="483"/>
      <c r="Q11" s="483"/>
      <c r="R11" s="483"/>
      <c r="S11" s="483"/>
      <c r="T11" s="483"/>
      <c r="U11" s="483"/>
      <c r="V11" s="483"/>
      <c r="W11" s="483"/>
      <c r="X11" s="483"/>
      <c r="AA11" s="21" t="s">
        <v>63</v>
      </c>
    </row>
    <row r="12" spans="1:63" ht="16.5" customHeight="1" x14ac:dyDescent="0.2">
      <c r="M12" s="1" t="s">
        <v>10</v>
      </c>
      <c r="O12" s="483" t="str">
        <f>IF(【様式第６号の２】事業報告書兼チェックシート!N13="","",【様式第６号の２】事業報告書兼チェックシート!N13)</f>
        <v/>
      </c>
      <c r="P12" s="483"/>
      <c r="Q12" s="483"/>
      <c r="R12" s="483"/>
      <c r="S12" s="483"/>
      <c r="T12" s="483"/>
      <c r="U12" s="483"/>
      <c r="V12" s="483"/>
      <c r="W12" s="483"/>
      <c r="X12" s="483"/>
    </row>
    <row r="13" spans="1:63" ht="16.5" customHeight="1" x14ac:dyDescent="0.2"/>
    <row r="14" spans="1:63" ht="16.5" customHeight="1" x14ac:dyDescent="0.2"/>
    <row r="15" spans="1:63" ht="16.5" customHeight="1" x14ac:dyDescent="0.2">
      <c r="A15" s="477" t="s">
        <v>191</v>
      </c>
      <c r="B15" s="477"/>
      <c r="C15" s="477"/>
      <c r="D15" s="477"/>
      <c r="E15" s="477"/>
      <c r="F15" s="477"/>
      <c r="G15" s="477"/>
      <c r="H15" s="477"/>
      <c r="I15" s="477"/>
      <c r="J15" s="477"/>
      <c r="K15" s="477"/>
      <c r="L15" s="477"/>
      <c r="M15" s="477"/>
      <c r="N15" s="477"/>
      <c r="O15" s="477"/>
      <c r="P15" s="477"/>
      <c r="Q15" s="477"/>
      <c r="R15" s="477"/>
      <c r="S15" s="477"/>
      <c r="T15" s="477"/>
      <c r="U15" s="477"/>
      <c r="V15" s="477"/>
      <c r="W15" s="477"/>
      <c r="X15" s="477"/>
      <c r="Y15" s="477"/>
      <c r="Z15" s="477"/>
      <c r="AA15" s="94"/>
      <c r="AB15" s="94"/>
      <c r="AC15" s="94"/>
      <c r="AD15" s="94"/>
      <c r="AE15" s="94"/>
      <c r="AF15" s="94"/>
      <c r="AG15" s="94"/>
    </row>
    <row r="16" spans="1:63" ht="16.5" customHeight="1" x14ac:dyDescent="0.2">
      <c r="AA16" s="94"/>
      <c r="AB16" s="94"/>
      <c r="AC16" s="469"/>
      <c r="AD16" s="470"/>
      <c r="AE16" s="470"/>
      <c r="AF16" s="470"/>
      <c r="AG16" s="471"/>
      <c r="AH16" s="95"/>
    </row>
    <row r="17" spans="1:52" ht="45" customHeight="1" x14ac:dyDescent="0.2">
      <c r="A17" s="472" t="s">
        <v>192</v>
      </c>
      <c r="B17" s="472"/>
      <c r="C17" s="472"/>
      <c r="D17" s="472"/>
      <c r="E17" s="472"/>
      <c r="F17" s="472"/>
      <c r="G17" s="472"/>
      <c r="H17" s="472"/>
      <c r="I17" s="472"/>
      <c r="J17" s="472"/>
      <c r="K17" s="472"/>
      <c r="L17" s="472"/>
      <c r="M17" s="472"/>
      <c r="N17" s="472"/>
      <c r="O17" s="472"/>
      <c r="P17" s="472"/>
      <c r="Q17" s="472"/>
      <c r="R17" s="472"/>
      <c r="S17" s="472"/>
      <c r="T17" s="472"/>
      <c r="U17" s="472"/>
      <c r="V17" s="472"/>
      <c r="W17" s="472"/>
      <c r="X17" s="472"/>
      <c r="Y17" s="472"/>
      <c r="Z17" s="472"/>
      <c r="AA17" s="93" t="str">
        <f>IF(OR(A17=BK2,A17=BK3),"←交付決定年月日及びその番号を入力してください（変更承認を受けている場合はその承認年月日及びその番号の追記も必要になります。）","")</f>
        <v>←交付決定年月日及びその番号を入力してください（変更承認を受けている場合はその承認年月日及びその番号の追記も必要になります。）</v>
      </c>
    </row>
    <row r="18" spans="1:52" ht="16.5" customHeight="1" x14ac:dyDescent="0.2">
      <c r="AA18" s="94" t="s">
        <v>224</v>
      </c>
    </row>
    <row r="19" spans="1:52" ht="16.5" customHeight="1" x14ac:dyDescent="0.2">
      <c r="A19" s="477" t="s">
        <v>16</v>
      </c>
      <c r="B19" s="477"/>
      <c r="C19" s="477"/>
      <c r="D19" s="477"/>
      <c r="E19" s="477"/>
      <c r="F19" s="477"/>
      <c r="G19" s="477"/>
      <c r="H19" s="477"/>
      <c r="I19" s="477"/>
      <c r="J19" s="477"/>
      <c r="K19" s="477"/>
      <c r="L19" s="477"/>
      <c r="M19" s="477"/>
      <c r="N19" s="477"/>
      <c r="O19" s="477"/>
      <c r="P19" s="477"/>
      <c r="Q19" s="477"/>
      <c r="R19" s="477"/>
      <c r="S19" s="477"/>
      <c r="T19" s="477"/>
      <c r="U19" s="477"/>
      <c r="V19" s="477"/>
      <c r="W19" s="477"/>
      <c r="X19" s="477"/>
      <c r="Y19" s="477"/>
      <c r="Z19" s="477"/>
      <c r="AA19" s="472" t="s">
        <v>204</v>
      </c>
      <c r="AB19" s="472"/>
      <c r="AC19" s="472"/>
      <c r="AD19" s="472"/>
      <c r="AE19" s="472"/>
      <c r="AF19" s="472"/>
      <c r="AG19" s="472"/>
      <c r="AH19" s="472"/>
      <c r="AI19" s="472"/>
      <c r="AJ19" s="472"/>
      <c r="AK19" s="472"/>
      <c r="AL19" s="472"/>
      <c r="AM19" s="472"/>
      <c r="AN19" s="472"/>
      <c r="AO19" s="472"/>
      <c r="AP19" s="472"/>
      <c r="AQ19" s="472"/>
      <c r="AR19" s="472"/>
      <c r="AS19" s="472"/>
      <c r="AT19" s="472"/>
      <c r="AU19" s="472"/>
      <c r="AV19" s="472"/>
      <c r="AW19" s="472"/>
      <c r="AX19" s="472"/>
      <c r="AY19" s="472"/>
      <c r="AZ19" s="472"/>
    </row>
    <row r="20" spans="1:52" ht="16.5" customHeight="1" x14ac:dyDescent="0.2"/>
    <row r="21" spans="1:52" ht="16.5" customHeight="1" x14ac:dyDescent="0.2">
      <c r="B21" s="345" t="s">
        <v>194</v>
      </c>
      <c r="C21" s="346"/>
      <c r="D21" s="346"/>
      <c r="E21" s="346"/>
      <c r="F21" s="346"/>
      <c r="G21" s="347"/>
      <c r="H21" s="345" t="s">
        <v>17</v>
      </c>
      <c r="I21" s="346"/>
      <c r="J21" s="346"/>
      <c r="K21" s="346"/>
      <c r="L21" s="346"/>
      <c r="M21" s="346"/>
      <c r="N21" s="346"/>
      <c r="O21" s="346"/>
      <c r="P21" s="346"/>
      <c r="Q21" s="346"/>
      <c r="R21" s="346"/>
      <c r="S21" s="346"/>
      <c r="T21" s="346"/>
      <c r="U21" s="346"/>
      <c r="V21" s="346"/>
      <c r="W21" s="346"/>
      <c r="X21" s="346"/>
      <c r="Y21" s="347"/>
    </row>
    <row r="22" spans="1:52" ht="16.5" customHeight="1" x14ac:dyDescent="0.2">
      <c r="B22" s="396" t="s">
        <v>195</v>
      </c>
      <c r="C22" s="397"/>
      <c r="D22" s="397"/>
      <c r="E22" s="397"/>
      <c r="F22" s="397"/>
      <c r="G22" s="342"/>
      <c r="H22" s="478" t="s">
        <v>18</v>
      </c>
      <c r="I22" s="479"/>
      <c r="J22" s="479"/>
      <c r="K22" s="479"/>
      <c r="L22" s="479"/>
      <c r="M22" s="479"/>
      <c r="N22" s="479"/>
      <c r="O22" s="479"/>
      <c r="P22" s="480"/>
      <c r="Q22" s="345" t="s">
        <v>193</v>
      </c>
      <c r="R22" s="346"/>
      <c r="S22" s="346"/>
      <c r="T22" s="346"/>
      <c r="U22" s="346"/>
      <c r="V22" s="346"/>
      <c r="W22" s="346"/>
      <c r="X22" s="346"/>
      <c r="Y22" s="347"/>
    </row>
    <row r="23" spans="1:52" ht="16.5" customHeight="1" x14ac:dyDescent="0.2">
      <c r="B23" s="399"/>
      <c r="C23" s="400"/>
      <c r="D23" s="400"/>
      <c r="E23" s="400"/>
      <c r="F23" s="400"/>
      <c r="G23" s="343"/>
      <c r="H23" s="475" t="str">
        <f>IF('要入力　交付決定状況入力シート'!C9="","",'要入力　交付決定状況入力シート'!C9)</f>
        <v/>
      </c>
      <c r="I23" s="476"/>
      <c r="J23" s="476"/>
      <c r="K23" s="476"/>
      <c r="L23" s="476"/>
      <c r="M23" s="476"/>
      <c r="N23" s="476"/>
      <c r="O23" s="476"/>
      <c r="P23" s="75" t="s">
        <v>19</v>
      </c>
      <c r="Q23" s="475" t="str">
        <f>'要入力　交付決定状況入力シート'!D9</f>
        <v/>
      </c>
      <c r="R23" s="476"/>
      <c r="S23" s="476"/>
      <c r="T23" s="476"/>
      <c r="U23" s="476"/>
      <c r="V23" s="476"/>
      <c r="W23" s="476"/>
      <c r="X23" s="476"/>
      <c r="Y23" s="75" t="s">
        <v>19</v>
      </c>
      <c r="AA23" s="94" t="str">
        <f>IF(OR(H23="",Q23=""),"←金額は｢要入力　交付決定状況入力シート｣と連動、当該シートの青の欄に交付決定通知（変更した場合は変更承認通知）記載の金額を入力してください。","")</f>
        <v>←金額は｢要入力　交付決定状況入力シート｣と連動、当該シートの青の欄に交付決定通知（変更した場合は変更承認通知）記載の金額を入力してください。</v>
      </c>
    </row>
    <row r="24" spans="1:52" ht="16.5" customHeight="1" x14ac:dyDescent="0.2">
      <c r="B24" s="345" t="s">
        <v>197</v>
      </c>
      <c r="C24" s="346"/>
      <c r="D24" s="346"/>
      <c r="E24" s="346"/>
      <c r="F24" s="346"/>
      <c r="G24" s="347"/>
      <c r="H24" s="473" t="str">
        <f>IF(【様式第６号の２】事業報告書兼チェックシート!K185="","",'要入力　交付決定状況入力シート'!G9)</f>
        <v/>
      </c>
      <c r="I24" s="474"/>
      <c r="J24" s="474"/>
      <c r="K24" s="474"/>
      <c r="L24" s="474"/>
      <c r="M24" s="474"/>
      <c r="N24" s="474"/>
      <c r="O24" s="474"/>
      <c r="P24" s="75" t="s">
        <v>19</v>
      </c>
      <c r="Q24" s="473" t="str">
        <f>IF(【様式第６号の２】事業報告書兼チェックシート!K185="","",'要入力　交付決定状況入力シート'!H9)</f>
        <v/>
      </c>
      <c r="R24" s="474"/>
      <c r="S24" s="474"/>
      <c r="T24" s="474"/>
      <c r="U24" s="474"/>
      <c r="V24" s="474"/>
      <c r="W24" s="474"/>
      <c r="X24" s="474"/>
      <c r="Y24" s="75" t="s">
        <v>19</v>
      </c>
      <c r="AA24" s="94" t="s">
        <v>64</v>
      </c>
    </row>
    <row r="25" spans="1:52" ht="16.5" customHeight="1" x14ac:dyDescent="0.2">
      <c r="B25" s="345" t="s">
        <v>198</v>
      </c>
      <c r="C25" s="346"/>
      <c r="D25" s="346"/>
      <c r="E25" s="346"/>
      <c r="F25" s="346"/>
      <c r="G25" s="347"/>
      <c r="H25" s="473" t="str">
        <f>IF(H23="","",H24-H23)</f>
        <v/>
      </c>
      <c r="I25" s="474"/>
      <c r="J25" s="474"/>
      <c r="K25" s="474"/>
      <c r="L25" s="474"/>
      <c r="M25" s="474"/>
      <c r="N25" s="474"/>
      <c r="O25" s="474"/>
      <c r="P25" s="75" t="s">
        <v>19</v>
      </c>
      <c r="Q25" s="473" t="str">
        <f>IF(Q23="","",Q24-Q23)</f>
        <v/>
      </c>
      <c r="R25" s="474"/>
      <c r="S25" s="474"/>
      <c r="T25" s="474"/>
      <c r="U25" s="474"/>
      <c r="V25" s="474"/>
      <c r="W25" s="474"/>
      <c r="X25" s="474"/>
      <c r="Y25" s="75" t="s">
        <v>19</v>
      </c>
      <c r="AA25" s="94"/>
    </row>
    <row r="26" spans="1:52" ht="16.5" customHeight="1" x14ac:dyDescent="0.2">
      <c r="B26" s="396" t="s">
        <v>20</v>
      </c>
      <c r="C26" s="397"/>
      <c r="D26" s="397"/>
      <c r="E26" s="397"/>
      <c r="F26" s="397"/>
      <c r="G26" s="342"/>
      <c r="H26" s="76"/>
      <c r="I26" s="77"/>
      <c r="J26" s="39"/>
      <c r="K26" s="39"/>
      <c r="L26" s="39"/>
      <c r="M26" s="39"/>
      <c r="N26" s="39"/>
      <c r="O26" s="39"/>
      <c r="P26" s="39"/>
      <c r="Q26" s="39"/>
      <c r="R26" s="39"/>
      <c r="S26" s="39"/>
      <c r="T26" s="39"/>
      <c r="U26" s="39"/>
      <c r="V26" s="39"/>
      <c r="W26" s="39"/>
      <c r="X26" s="39"/>
      <c r="Y26" s="40"/>
      <c r="AA26" s="94"/>
    </row>
    <row r="27" spans="1:52" ht="16.5" customHeight="1" x14ac:dyDescent="0.2">
      <c r="B27" s="78"/>
      <c r="C27" s="3"/>
      <c r="D27" s="3"/>
      <c r="E27" s="3"/>
      <c r="F27" s="3"/>
      <c r="G27" s="79"/>
      <c r="H27" s="80" t="s">
        <v>190</v>
      </c>
      <c r="I27" s="81"/>
      <c r="J27" s="81"/>
      <c r="K27" s="81"/>
      <c r="L27" s="81"/>
      <c r="M27" s="81"/>
      <c r="N27" s="81"/>
      <c r="O27" s="81"/>
      <c r="P27" s="81"/>
      <c r="Q27" s="81"/>
      <c r="R27" s="81"/>
      <c r="S27" s="81"/>
      <c r="T27" s="81"/>
      <c r="U27" s="81"/>
      <c r="V27" s="81"/>
      <c r="W27" s="81"/>
      <c r="X27" s="81"/>
      <c r="Y27" s="82"/>
      <c r="AA27" s="94" t="s">
        <v>65</v>
      </c>
    </row>
    <row r="28" spans="1:52" ht="16.5" customHeight="1" x14ac:dyDescent="0.2">
      <c r="B28" s="78"/>
      <c r="C28" s="3"/>
      <c r="D28" s="3"/>
      <c r="E28" s="3"/>
      <c r="F28" s="3"/>
      <c r="G28" s="79"/>
      <c r="H28" s="80" t="str">
        <f>IF(【様式第６号の２】事業報告書兼チェックシート!I61="有","・他に利用する補助金一覧表（様式第６号の２別紙）","")</f>
        <v/>
      </c>
      <c r="I28" s="81"/>
      <c r="J28" s="81"/>
      <c r="K28" s="81"/>
      <c r="L28" s="81"/>
      <c r="M28" s="81"/>
      <c r="N28" s="81"/>
      <c r="O28" s="81"/>
      <c r="P28" s="81"/>
      <c r="Q28" s="81"/>
      <c r="R28" s="81"/>
      <c r="S28" s="81"/>
      <c r="T28" s="81"/>
      <c r="U28" s="81"/>
      <c r="V28" s="81"/>
      <c r="W28" s="81"/>
      <c r="X28" s="81"/>
      <c r="Y28" s="82"/>
    </row>
    <row r="29" spans="1:52" ht="16.5" customHeight="1" x14ac:dyDescent="0.2">
      <c r="B29" s="78"/>
      <c r="C29" s="3"/>
      <c r="D29" s="3"/>
      <c r="E29" s="3"/>
      <c r="F29" s="3"/>
      <c r="G29" s="79"/>
      <c r="H29" s="463" t="str">
        <f>IF(【様式第６号の２】事業報告書兼チェックシート!C198="","","・"&amp;【様式第６号の２】事業報告書兼チェックシート!C198)</f>
        <v/>
      </c>
      <c r="I29" s="464"/>
      <c r="J29" s="464"/>
      <c r="K29" s="464"/>
      <c r="L29" s="464"/>
      <c r="M29" s="464"/>
      <c r="N29" s="464"/>
      <c r="O29" s="464"/>
      <c r="P29" s="464"/>
      <c r="Q29" s="464"/>
      <c r="R29" s="464"/>
      <c r="S29" s="464"/>
      <c r="T29" s="464"/>
      <c r="U29" s="464"/>
      <c r="V29" s="464"/>
      <c r="W29" s="464"/>
      <c r="X29" s="464"/>
      <c r="Y29" s="465"/>
    </row>
    <row r="30" spans="1:52" ht="16.5" customHeight="1" x14ac:dyDescent="0.2">
      <c r="B30" s="78"/>
      <c r="C30" s="3"/>
      <c r="D30" s="3"/>
      <c r="E30" s="3"/>
      <c r="F30" s="3"/>
      <c r="G30" s="79"/>
      <c r="H30" s="463" t="str">
        <f>IF(【様式第６号の２】事業報告書兼チェックシート!C199="","","・"&amp;【様式第６号の２】事業報告書兼チェックシート!C199)</f>
        <v/>
      </c>
      <c r="I30" s="464"/>
      <c r="J30" s="464"/>
      <c r="K30" s="464"/>
      <c r="L30" s="464"/>
      <c r="M30" s="464"/>
      <c r="N30" s="464"/>
      <c r="O30" s="464"/>
      <c r="P30" s="464"/>
      <c r="Q30" s="464"/>
      <c r="R30" s="464"/>
      <c r="S30" s="464"/>
      <c r="T30" s="464"/>
      <c r="U30" s="464"/>
      <c r="V30" s="464"/>
      <c r="W30" s="464"/>
      <c r="X30" s="464"/>
      <c r="Y30" s="465"/>
    </row>
    <row r="31" spans="1:52" ht="16.5" customHeight="1" x14ac:dyDescent="0.2">
      <c r="B31" s="78"/>
      <c r="C31" s="3"/>
      <c r="D31" s="3"/>
      <c r="E31" s="3"/>
      <c r="F31" s="3"/>
      <c r="G31" s="79"/>
      <c r="H31" s="463" t="str">
        <f>IF(【様式第６号の２】事業報告書兼チェックシート!C200="","","・"&amp;【様式第６号の２】事業報告書兼チェックシート!C200)</f>
        <v/>
      </c>
      <c r="I31" s="464"/>
      <c r="J31" s="464"/>
      <c r="K31" s="464"/>
      <c r="L31" s="464"/>
      <c r="M31" s="464"/>
      <c r="N31" s="464"/>
      <c r="O31" s="464"/>
      <c r="P31" s="464"/>
      <c r="Q31" s="464"/>
      <c r="R31" s="464"/>
      <c r="S31" s="464"/>
      <c r="T31" s="464"/>
      <c r="U31" s="464"/>
      <c r="V31" s="464"/>
      <c r="W31" s="464"/>
      <c r="X31" s="464"/>
      <c r="Y31" s="465"/>
    </row>
    <row r="32" spans="1:52" ht="16.5" customHeight="1" x14ac:dyDescent="0.2">
      <c r="B32" s="78"/>
      <c r="C32" s="3"/>
      <c r="D32" s="3"/>
      <c r="E32" s="3"/>
      <c r="F32" s="3"/>
      <c r="G32" s="79"/>
      <c r="H32" s="463" t="str">
        <f>IF(【様式第６号の２】事業報告書兼チェックシート!C201="","","・"&amp;【様式第６号の２】事業報告書兼チェックシート!C201)</f>
        <v>・完成写真及び口座振替依頼書</v>
      </c>
      <c r="I32" s="464"/>
      <c r="J32" s="464"/>
      <c r="K32" s="464"/>
      <c r="L32" s="464"/>
      <c r="M32" s="464"/>
      <c r="N32" s="464"/>
      <c r="O32" s="464"/>
      <c r="P32" s="464"/>
      <c r="Q32" s="464"/>
      <c r="R32" s="464"/>
      <c r="S32" s="464"/>
      <c r="T32" s="464"/>
      <c r="U32" s="464"/>
      <c r="V32" s="464"/>
      <c r="W32" s="464"/>
      <c r="X32" s="464"/>
      <c r="Y32" s="465"/>
    </row>
    <row r="33" spans="2:27" ht="16.5" customHeight="1" x14ac:dyDescent="0.2">
      <c r="B33" s="78"/>
      <c r="C33" s="3"/>
      <c r="D33" s="3"/>
      <c r="E33" s="3"/>
      <c r="F33" s="3"/>
      <c r="G33" s="79"/>
      <c r="H33" s="463" t="str">
        <f>IF(【様式第６号の２】事業報告書兼チェックシート!C202="","","・"&amp;【様式第６号の２】事業報告書兼チェックシート!C202)</f>
        <v>・県産材の産地証明書の写し</v>
      </c>
      <c r="I33" s="464"/>
      <c r="J33" s="464"/>
      <c r="K33" s="464"/>
      <c r="L33" s="464"/>
      <c r="M33" s="464"/>
      <c r="N33" s="464"/>
      <c r="O33" s="464"/>
      <c r="P33" s="464"/>
      <c r="Q33" s="464"/>
      <c r="R33" s="464"/>
      <c r="S33" s="464"/>
      <c r="T33" s="464"/>
      <c r="U33" s="464"/>
      <c r="V33" s="464"/>
      <c r="W33" s="464"/>
      <c r="X33" s="464"/>
      <c r="Y33" s="465"/>
    </row>
    <row r="34" spans="2:27" ht="32.25" customHeight="1" x14ac:dyDescent="0.2">
      <c r="B34" s="78"/>
      <c r="C34" s="3"/>
      <c r="D34" s="3"/>
      <c r="E34" s="3"/>
      <c r="F34" s="3"/>
      <c r="G34" s="79"/>
      <c r="H34" s="466" t="str">
        <f>IF(【様式第６号の２】事業報告書兼チェックシート!C203="","","・"&amp;【様式第６号の２】事業報告書兼チェックシート!C203)</f>
        <v/>
      </c>
      <c r="I34" s="467"/>
      <c r="J34" s="467"/>
      <c r="K34" s="467"/>
      <c r="L34" s="467"/>
      <c r="M34" s="467"/>
      <c r="N34" s="467"/>
      <c r="O34" s="467"/>
      <c r="P34" s="467"/>
      <c r="Q34" s="467"/>
      <c r="R34" s="467"/>
      <c r="S34" s="467"/>
      <c r="T34" s="467"/>
      <c r="U34" s="467"/>
      <c r="V34" s="467"/>
      <c r="W34" s="467"/>
      <c r="X34" s="467"/>
      <c r="Y34" s="468"/>
    </row>
    <row r="35" spans="2:27" ht="57" customHeight="1" x14ac:dyDescent="0.2">
      <c r="B35" s="78"/>
      <c r="C35" s="3"/>
      <c r="D35" s="3"/>
      <c r="E35" s="3"/>
      <c r="F35" s="3"/>
      <c r="G35" s="79"/>
      <c r="H35" s="466"/>
      <c r="I35" s="467"/>
      <c r="J35" s="467"/>
      <c r="K35" s="467"/>
      <c r="L35" s="467"/>
      <c r="M35" s="467"/>
      <c r="N35" s="467"/>
      <c r="O35" s="467"/>
      <c r="P35" s="467"/>
      <c r="Q35" s="467"/>
      <c r="R35" s="467"/>
      <c r="S35" s="467"/>
      <c r="T35" s="467"/>
      <c r="U35" s="467"/>
      <c r="V35" s="467"/>
      <c r="W35" s="467"/>
      <c r="X35" s="467"/>
      <c r="Y35" s="468"/>
    </row>
    <row r="36" spans="2:27" ht="16.5" customHeight="1" x14ac:dyDescent="0.2">
      <c r="B36" s="78"/>
      <c r="C36" s="3"/>
      <c r="D36" s="3"/>
      <c r="E36" s="3"/>
      <c r="F36" s="3"/>
      <c r="G36" s="79"/>
      <c r="H36" s="463" t="str">
        <f>IF(【様式第６号の２】事業報告書兼チェックシート!C205="","","・"&amp;【様式第６号の２】事業報告書兼チェックシート!C205)</f>
        <v/>
      </c>
      <c r="I36" s="464"/>
      <c r="J36" s="464"/>
      <c r="K36" s="464"/>
      <c r="L36" s="464"/>
      <c r="M36" s="464"/>
      <c r="N36" s="464"/>
      <c r="O36" s="464"/>
      <c r="P36" s="464"/>
      <c r="Q36" s="464"/>
      <c r="R36" s="464"/>
      <c r="S36" s="464"/>
      <c r="T36" s="464"/>
      <c r="U36" s="464"/>
      <c r="V36" s="464"/>
      <c r="W36" s="464"/>
      <c r="X36" s="464"/>
      <c r="Y36" s="465"/>
    </row>
    <row r="37" spans="2:27" ht="16.5" customHeight="1" x14ac:dyDescent="0.2">
      <c r="B37" s="78"/>
      <c r="C37" s="3"/>
      <c r="D37" s="3"/>
      <c r="E37" s="3"/>
      <c r="F37" s="3"/>
      <c r="G37" s="79"/>
      <c r="H37" s="463" t="str">
        <f>IF(【様式第６号の２】事業報告書兼チェックシート!C206="","","・"&amp;【様式第６号の２】事業報告書兼チェックシート!C206)</f>
        <v/>
      </c>
      <c r="I37" s="464"/>
      <c r="J37" s="464"/>
      <c r="K37" s="464"/>
      <c r="L37" s="464"/>
      <c r="M37" s="464"/>
      <c r="N37" s="464"/>
      <c r="O37" s="464"/>
      <c r="P37" s="464"/>
      <c r="Q37" s="464"/>
      <c r="R37" s="464"/>
      <c r="S37" s="464"/>
      <c r="T37" s="464"/>
      <c r="U37" s="464"/>
      <c r="V37" s="464"/>
      <c r="W37" s="464"/>
      <c r="X37" s="464"/>
      <c r="Y37" s="465"/>
    </row>
    <row r="38" spans="2:27" s="62" customFormat="1" ht="50.25" customHeight="1" x14ac:dyDescent="0.2">
      <c r="B38" s="112"/>
      <c r="C38" s="113"/>
      <c r="D38" s="113"/>
      <c r="E38" s="113"/>
      <c r="F38" s="113"/>
      <c r="G38" s="114"/>
      <c r="H38" s="466" t="str">
        <f>IF(【様式第６号の２】事業報告書兼チェックシート!C207="","","・"&amp;【様式第６号の２】事業報告書兼チェックシート!C207)</f>
        <v/>
      </c>
      <c r="I38" s="467"/>
      <c r="J38" s="467"/>
      <c r="K38" s="467"/>
      <c r="L38" s="467"/>
      <c r="M38" s="467"/>
      <c r="N38" s="467"/>
      <c r="O38" s="467"/>
      <c r="P38" s="467"/>
      <c r="Q38" s="467"/>
      <c r="R38" s="467"/>
      <c r="S38" s="467"/>
      <c r="T38" s="467"/>
      <c r="U38" s="467"/>
      <c r="V38" s="467"/>
      <c r="W38" s="467"/>
      <c r="X38" s="467"/>
      <c r="Y38" s="468"/>
      <c r="AA38" s="115"/>
    </row>
    <row r="39" spans="2:27" ht="30.75" customHeight="1" x14ac:dyDescent="0.2">
      <c r="B39" s="78"/>
      <c r="C39" s="3"/>
      <c r="D39" s="3"/>
      <c r="E39" s="3"/>
      <c r="F39" s="3"/>
      <c r="G39" s="79"/>
      <c r="H39" s="466" t="str">
        <f>IF(【様式第６号の２】事業報告書兼チェックシート!C208="","","・"&amp;【様式第６号の２】事業報告書兼チェックシート!C208)</f>
        <v/>
      </c>
      <c r="I39" s="467"/>
      <c r="J39" s="467"/>
      <c r="K39" s="467"/>
      <c r="L39" s="467"/>
      <c r="M39" s="467"/>
      <c r="N39" s="467"/>
      <c r="O39" s="467"/>
      <c r="P39" s="467"/>
      <c r="Q39" s="467"/>
      <c r="R39" s="467"/>
      <c r="S39" s="467"/>
      <c r="T39" s="467"/>
      <c r="U39" s="467"/>
      <c r="V39" s="467"/>
      <c r="W39" s="467"/>
      <c r="X39" s="467"/>
      <c r="Y39" s="468"/>
    </row>
    <row r="40" spans="2:27" ht="16.5" customHeight="1" x14ac:dyDescent="0.2">
      <c r="B40" s="78"/>
      <c r="C40" s="3"/>
      <c r="D40" s="3"/>
      <c r="E40" s="3"/>
      <c r="F40" s="3"/>
      <c r="G40" s="79"/>
      <c r="H40" s="463" t="str">
        <f>IF(【様式第６号の２】事業報告書兼チェックシート!C209="","","・"&amp;【様式第６号の２】事業報告書兼チェックシート!C209)</f>
        <v/>
      </c>
      <c r="I40" s="464"/>
      <c r="J40" s="464"/>
      <c r="K40" s="464"/>
      <c r="L40" s="464"/>
      <c r="M40" s="464"/>
      <c r="N40" s="464"/>
      <c r="O40" s="464"/>
      <c r="P40" s="464"/>
      <c r="Q40" s="464"/>
      <c r="R40" s="464"/>
      <c r="S40" s="464"/>
      <c r="T40" s="464"/>
      <c r="U40" s="464"/>
      <c r="V40" s="464"/>
      <c r="W40" s="464"/>
      <c r="X40" s="464"/>
      <c r="Y40" s="465"/>
    </row>
    <row r="41" spans="2:27" ht="38.25" customHeight="1" x14ac:dyDescent="0.2">
      <c r="B41" s="78"/>
      <c r="C41" s="3"/>
      <c r="D41" s="3"/>
      <c r="E41" s="3"/>
      <c r="F41" s="3"/>
      <c r="G41" s="79"/>
      <c r="H41" s="466" t="str">
        <f>IF(【様式第６号の２】事業報告書兼チェックシート!C210="","","・"&amp;【様式第６号の２】事業報告書兼チェックシート!C210)</f>
        <v/>
      </c>
      <c r="I41" s="467"/>
      <c r="J41" s="467"/>
      <c r="K41" s="467"/>
      <c r="L41" s="467"/>
      <c r="M41" s="467"/>
      <c r="N41" s="467"/>
      <c r="O41" s="467"/>
      <c r="P41" s="467"/>
      <c r="Q41" s="467"/>
      <c r="R41" s="467"/>
      <c r="S41" s="467"/>
      <c r="T41" s="467"/>
      <c r="U41" s="467"/>
      <c r="V41" s="467"/>
      <c r="W41" s="467"/>
      <c r="X41" s="467"/>
      <c r="Y41" s="468"/>
    </row>
    <row r="42" spans="2:27" ht="30" customHeight="1" x14ac:dyDescent="0.2">
      <c r="B42" s="78"/>
      <c r="C42" s="3"/>
      <c r="D42" s="3"/>
      <c r="E42" s="3"/>
      <c r="F42" s="3"/>
      <c r="G42" s="79"/>
      <c r="H42" s="466" t="str">
        <f>IF(【様式第６号の２】事業報告書兼チェックシート!C211="","","・"&amp;【様式第６号の２】事業報告書兼チェックシート!C211)</f>
        <v/>
      </c>
      <c r="I42" s="467"/>
      <c r="J42" s="467"/>
      <c r="K42" s="467"/>
      <c r="L42" s="467"/>
      <c r="M42" s="467"/>
      <c r="N42" s="467"/>
      <c r="O42" s="467"/>
      <c r="P42" s="467"/>
      <c r="Q42" s="467"/>
      <c r="R42" s="467"/>
      <c r="S42" s="467"/>
      <c r="T42" s="467"/>
      <c r="U42" s="467"/>
      <c r="V42" s="467"/>
      <c r="W42" s="467"/>
      <c r="X42" s="467"/>
      <c r="Y42" s="468"/>
    </row>
    <row r="43" spans="2:27" ht="43.5" customHeight="1" x14ac:dyDescent="0.2">
      <c r="B43" s="78"/>
      <c r="C43" s="3"/>
      <c r="D43" s="3"/>
      <c r="E43" s="3"/>
      <c r="F43" s="3"/>
      <c r="G43" s="79"/>
      <c r="H43" s="466" t="str">
        <f>IF(【様式第６号の２】事業報告書兼チェックシート!C212="","","・"&amp;【様式第６号の２】事業報告書兼チェックシート!C212)</f>
        <v/>
      </c>
      <c r="I43" s="467"/>
      <c r="J43" s="467"/>
      <c r="K43" s="467"/>
      <c r="L43" s="467"/>
      <c r="M43" s="467"/>
      <c r="N43" s="467"/>
      <c r="O43" s="467"/>
      <c r="P43" s="467"/>
      <c r="Q43" s="467"/>
      <c r="R43" s="467"/>
      <c r="S43" s="467"/>
      <c r="T43" s="467"/>
      <c r="U43" s="467"/>
      <c r="V43" s="467"/>
      <c r="W43" s="467"/>
      <c r="X43" s="467"/>
      <c r="Y43" s="468"/>
    </row>
    <row r="44" spans="2:27" ht="16.5" customHeight="1" x14ac:dyDescent="0.2">
      <c r="B44" s="78"/>
      <c r="C44" s="3"/>
      <c r="D44" s="3"/>
      <c r="E44" s="3"/>
      <c r="F44" s="3"/>
      <c r="G44" s="79"/>
      <c r="H44" s="463" t="str">
        <f>IF(【様式第６号の２】事業報告書兼チェックシート!C213="","","・"&amp;【様式第６号の２】事業報告書兼チェックシート!C213)</f>
        <v/>
      </c>
      <c r="I44" s="464"/>
      <c r="J44" s="464"/>
      <c r="K44" s="464"/>
      <c r="L44" s="464"/>
      <c r="M44" s="464"/>
      <c r="N44" s="464"/>
      <c r="O44" s="464"/>
      <c r="P44" s="464"/>
      <c r="Q44" s="464"/>
      <c r="R44" s="464"/>
      <c r="S44" s="464"/>
      <c r="T44" s="464"/>
      <c r="U44" s="464"/>
      <c r="V44" s="464"/>
      <c r="W44" s="464"/>
      <c r="X44" s="464"/>
      <c r="Y44" s="465"/>
    </row>
    <row r="45" spans="2:27" ht="18.75" customHeight="1" x14ac:dyDescent="0.2">
      <c r="B45" s="78"/>
      <c r="C45" s="3"/>
      <c r="D45" s="3"/>
      <c r="E45" s="3"/>
      <c r="F45" s="3"/>
      <c r="G45" s="79"/>
      <c r="H45" s="463" t="str">
        <f>IF(【様式第６号の２】事業報告書兼チェックシート!C214="","","・"&amp;【様式第６号の２】事業報告書兼チェックシート!C214)</f>
        <v/>
      </c>
      <c r="I45" s="464"/>
      <c r="J45" s="464"/>
      <c r="K45" s="464"/>
      <c r="L45" s="464"/>
      <c r="M45" s="464"/>
      <c r="N45" s="464"/>
      <c r="O45" s="464"/>
      <c r="P45" s="464"/>
      <c r="Q45" s="464"/>
      <c r="R45" s="464"/>
      <c r="S45" s="464"/>
      <c r="T45" s="464"/>
      <c r="U45" s="464"/>
      <c r="V45" s="464"/>
      <c r="W45" s="464"/>
      <c r="X45" s="464"/>
      <c r="Y45" s="465"/>
    </row>
    <row r="46" spans="2:27" ht="11.25" customHeight="1" x14ac:dyDescent="0.2">
      <c r="B46" s="83"/>
      <c r="C46" s="19"/>
      <c r="D46" s="19"/>
      <c r="E46" s="19"/>
      <c r="F46" s="19"/>
      <c r="G46" s="20"/>
      <c r="H46" s="84"/>
      <c r="I46" s="85"/>
      <c r="J46" s="19"/>
      <c r="K46" s="19"/>
      <c r="L46" s="19"/>
      <c r="M46" s="19"/>
      <c r="N46" s="19"/>
      <c r="O46" s="19"/>
      <c r="P46" s="19"/>
      <c r="Q46" s="19"/>
      <c r="R46" s="19"/>
      <c r="S46" s="19"/>
      <c r="T46" s="19"/>
      <c r="U46" s="19"/>
      <c r="V46" s="19"/>
      <c r="W46" s="19"/>
      <c r="X46" s="19"/>
      <c r="Y46" s="20"/>
    </row>
    <row r="47" spans="2:27" ht="18" customHeight="1" x14ac:dyDescent="0.2">
      <c r="K47" s="31"/>
    </row>
    <row r="48" spans="2:27" ht="18" customHeight="1" x14ac:dyDescent="0.2">
      <c r="K48" s="31"/>
    </row>
    <row r="49" spans="1:35" ht="18" customHeight="1" x14ac:dyDescent="0.2">
      <c r="K49" s="31"/>
    </row>
    <row r="50" spans="1:35" ht="18" customHeight="1" x14ac:dyDescent="0.2">
      <c r="K50" s="31"/>
    </row>
    <row r="51" spans="1:35" ht="18" customHeight="1" x14ac:dyDescent="0.2">
      <c r="K51" s="31"/>
    </row>
    <row r="52" spans="1:35" ht="18" customHeight="1" x14ac:dyDescent="0.2">
      <c r="K52" s="31"/>
    </row>
    <row r="53" spans="1:35" ht="18" customHeight="1" x14ac:dyDescent="0.2">
      <c r="K53" s="31"/>
    </row>
    <row r="54" spans="1:35" ht="18" customHeight="1" x14ac:dyDescent="0.2">
      <c r="K54" s="31"/>
    </row>
    <row r="55" spans="1:35" ht="18" customHeight="1" x14ac:dyDescent="0.2">
      <c r="K55" s="31"/>
    </row>
    <row r="57" spans="1:35" s="81" customFormat="1" ht="18" customHeight="1" x14ac:dyDescent="0.2">
      <c r="A57" s="86" t="s">
        <v>199</v>
      </c>
      <c r="B57" s="87"/>
      <c r="C57" s="87"/>
      <c r="D57" s="87"/>
      <c r="E57" s="87"/>
      <c r="F57" s="87"/>
      <c r="G57" s="87"/>
      <c r="H57" s="87"/>
      <c r="I57" s="87"/>
      <c r="J57" s="87"/>
      <c r="K57" s="87"/>
      <c r="L57" s="87"/>
      <c r="M57" s="87"/>
      <c r="N57" s="87"/>
      <c r="O57" s="87"/>
      <c r="P57" s="87"/>
      <c r="Q57" s="69"/>
      <c r="R57" s="87"/>
      <c r="S57" s="87"/>
      <c r="T57" s="87"/>
      <c r="U57" s="87"/>
      <c r="V57" s="87"/>
      <c r="W57" s="87"/>
      <c r="X57" s="87"/>
      <c r="Y57" s="87"/>
      <c r="Z57" s="87"/>
      <c r="AA57" s="88"/>
    </row>
    <row r="58" spans="1:35" s="89" customFormat="1" ht="18" customHeight="1" x14ac:dyDescent="0.2">
      <c r="A58" s="86"/>
      <c r="B58" s="89" t="s">
        <v>13</v>
      </c>
      <c r="AA58" s="90"/>
    </row>
    <row r="59" spans="1:35" s="81" customFormat="1" ht="18" customHeight="1" x14ac:dyDescent="0.2">
      <c r="B59" s="495" t="s">
        <v>200</v>
      </c>
      <c r="C59" s="496"/>
      <c r="D59" s="496"/>
      <c r="E59" s="496"/>
      <c r="F59" s="496"/>
      <c r="G59" s="496"/>
      <c r="H59" s="497"/>
      <c r="I59" s="91" t="s">
        <v>11</v>
      </c>
      <c r="J59" s="501"/>
      <c r="K59" s="501"/>
      <c r="L59" s="501"/>
      <c r="M59" s="502"/>
      <c r="N59" s="502"/>
      <c r="O59" s="502"/>
      <c r="P59" s="502"/>
      <c r="Q59" s="502"/>
      <c r="R59" s="502"/>
      <c r="S59" s="502"/>
      <c r="T59" s="502"/>
      <c r="U59" s="502"/>
      <c r="V59" s="502"/>
      <c r="W59" s="502"/>
      <c r="X59" s="502"/>
      <c r="Y59" s="503"/>
      <c r="AA59" s="21"/>
    </row>
    <row r="60" spans="1:35" s="81" customFormat="1" ht="18" customHeight="1" x14ac:dyDescent="0.2">
      <c r="B60" s="498"/>
      <c r="C60" s="499"/>
      <c r="D60" s="499"/>
      <c r="E60" s="499"/>
      <c r="F60" s="499"/>
      <c r="G60" s="499"/>
      <c r="H60" s="500"/>
      <c r="I60" s="504"/>
      <c r="J60" s="505"/>
      <c r="K60" s="505"/>
      <c r="L60" s="505"/>
      <c r="M60" s="505"/>
      <c r="N60" s="505"/>
      <c r="O60" s="505"/>
      <c r="P60" s="505"/>
      <c r="Q60" s="505"/>
      <c r="R60" s="505"/>
      <c r="S60" s="505"/>
      <c r="T60" s="505"/>
      <c r="U60" s="505"/>
      <c r="V60" s="505"/>
      <c r="W60" s="505"/>
      <c r="X60" s="505"/>
      <c r="Y60" s="506"/>
      <c r="AA60" s="88"/>
      <c r="AB60" s="88"/>
      <c r="AC60" s="88"/>
      <c r="AD60" s="88"/>
      <c r="AE60" s="88"/>
      <c r="AF60" s="88"/>
      <c r="AG60" s="88"/>
      <c r="AH60" s="88"/>
      <c r="AI60" s="88"/>
    </row>
    <row r="61" spans="1:35" s="81" customFormat="1" ht="24" customHeight="1" x14ac:dyDescent="0.2">
      <c r="B61" s="484" t="s">
        <v>201</v>
      </c>
      <c r="C61" s="485"/>
      <c r="D61" s="485"/>
      <c r="E61" s="485"/>
      <c r="F61" s="485"/>
      <c r="G61" s="485"/>
      <c r="H61" s="486"/>
      <c r="I61" s="507"/>
      <c r="J61" s="508"/>
      <c r="K61" s="508"/>
      <c r="L61" s="508"/>
      <c r="M61" s="508"/>
      <c r="N61" s="508"/>
      <c r="O61" s="508"/>
      <c r="P61" s="508"/>
      <c r="Q61" s="508"/>
      <c r="R61" s="508"/>
      <c r="S61" s="508"/>
      <c r="T61" s="508"/>
      <c r="U61" s="508"/>
      <c r="V61" s="508"/>
      <c r="W61" s="508"/>
      <c r="X61" s="508"/>
      <c r="Y61" s="509"/>
      <c r="AA61" s="88"/>
      <c r="AB61" s="88"/>
      <c r="AC61" s="88"/>
      <c r="AD61" s="88"/>
      <c r="AE61" s="88"/>
      <c r="AF61" s="88"/>
      <c r="AG61" s="88"/>
      <c r="AH61" s="88"/>
      <c r="AI61" s="88"/>
    </row>
    <row r="62" spans="1:35" s="81" customFormat="1" ht="18" customHeight="1" x14ac:dyDescent="0.2">
      <c r="B62" s="484" t="s">
        <v>21</v>
      </c>
      <c r="C62" s="485"/>
      <c r="D62" s="485"/>
      <c r="E62" s="485"/>
      <c r="F62" s="485"/>
      <c r="G62" s="485"/>
      <c r="H62" s="486"/>
      <c r="I62" s="492"/>
      <c r="J62" s="493"/>
      <c r="K62" s="493"/>
      <c r="L62" s="493"/>
      <c r="M62" s="494"/>
      <c r="N62" s="489" t="s">
        <v>10</v>
      </c>
      <c r="O62" s="490"/>
      <c r="P62" s="491"/>
      <c r="Q62" s="487" t="s">
        <v>12</v>
      </c>
      <c r="R62" s="487"/>
      <c r="S62" s="487"/>
      <c r="T62" s="487"/>
      <c r="U62" s="487"/>
      <c r="V62" s="487"/>
      <c r="W62" s="487"/>
      <c r="X62" s="487"/>
      <c r="Y62" s="488"/>
      <c r="AA62" s="88"/>
      <c r="AB62" s="88"/>
      <c r="AC62" s="88"/>
      <c r="AD62" s="88"/>
      <c r="AE62" s="88"/>
      <c r="AF62" s="88"/>
      <c r="AG62" s="88"/>
      <c r="AH62" s="92"/>
      <c r="AI62" s="88"/>
    </row>
    <row r="63" spans="1:35" s="81" customFormat="1" ht="18" customHeight="1" x14ac:dyDescent="0.2">
      <c r="AA63" s="88"/>
      <c r="AB63" s="88"/>
      <c r="AC63" s="88"/>
      <c r="AD63" s="88"/>
      <c r="AE63" s="88"/>
      <c r="AF63" s="88"/>
      <c r="AG63" s="88"/>
      <c r="AH63" s="88"/>
      <c r="AI63" s="88"/>
    </row>
  </sheetData>
  <sheetProtection algorithmName="SHA-512" hashValue="uDMQQijGlgRUEzrqIQRsPvxL88BLfvYAx7CBUNYqxiiM0Qn6XUbWnniNFtKWnmYZmOSWaQ7d+4wGXvI/AKDOdg==" saltValue="euVmTRhsSON7iw6f7X7P6g==" spinCount="100000" sheet="1" objects="1" scenarios="1" selectLockedCells="1"/>
  <mergeCells count="53">
    <mergeCell ref="B62:H62"/>
    <mergeCell ref="Q62:Y62"/>
    <mergeCell ref="N62:P62"/>
    <mergeCell ref="I62:M62"/>
    <mergeCell ref="B59:H60"/>
    <mergeCell ref="J59:L59"/>
    <mergeCell ref="M59:Y59"/>
    <mergeCell ref="I60:Y60"/>
    <mergeCell ref="B61:H61"/>
    <mergeCell ref="I61:Y61"/>
    <mergeCell ref="P9:X9"/>
    <mergeCell ref="Q2:R2"/>
    <mergeCell ref="T2:U2"/>
    <mergeCell ref="W2:X2"/>
    <mergeCell ref="B26:G26"/>
    <mergeCell ref="O10:X10"/>
    <mergeCell ref="O11:X11"/>
    <mergeCell ref="O12:X12"/>
    <mergeCell ref="A17:Z17"/>
    <mergeCell ref="A15:Z15"/>
    <mergeCell ref="Q22:Y22"/>
    <mergeCell ref="B22:G23"/>
    <mergeCell ref="B21:G21"/>
    <mergeCell ref="AC16:AG16"/>
    <mergeCell ref="AA19:AZ19"/>
    <mergeCell ref="H37:Y37"/>
    <mergeCell ref="H38:Y38"/>
    <mergeCell ref="B24:G24"/>
    <mergeCell ref="B25:G25"/>
    <mergeCell ref="H24:O24"/>
    <mergeCell ref="Q24:X24"/>
    <mergeCell ref="H23:O23"/>
    <mergeCell ref="H25:O25"/>
    <mergeCell ref="Q23:X23"/>
    <mergeCell ref="Q25:X25"/>
    <mergeCell ref="A19:Z19"/>
    <mergeCell ref="H21:Y21"/>
    <mergeCell ref="H22:P22"/>
    <mergeCell ref="H44:Y44"/>
    <mergeCell ref="H45:Y45"/>
    <mergeCell ref="H29:Y29"/>
    <mergeCell ref="H30:Y30"/>
    <mergeCell ref="H31:Y31"/>
    <mergeCell ref="H42:Y42"/>
    <mergeCell ref="H43:Y43"/>
    <mergeCell ref="H32:Y32"/>
    <mergeCell ref="H33:Y33"/>
    <mergeCell ref="H34:Y34"/>
    <mergeCell ref="H35:Y35"/>
    <mergeCell ref="H36:Y36"/>
    <mergeCell ref="H39:Y39"/>
    <mergeCell ref="H40:Y40"/>
    <mergeCell ref="H41:Y41"/>
  </mergeCells>
  <phoneticPr fontId="1"/>
  <conditionalFormatting sqref="A2:N2">
    <cfRule type="cellIs" dxfId="13" priority="6" operator="equal">
      <formula>"令和　年　月　日"</formula>
    </cfRule>
  </conditionalFormatting>
  <conditionalFormatting sqref="A17:Z17">
    <cfRule type="cellIs" dxfId="12" priority="2" operator="equal">
      <formula>$BK$3</formula>
    </cfRule>
    <cfRule type="cellIs" dxfId="11" priority="3" operator="equal">
      <formula>$BK$2</formula>
    </cfRule>
  </conditionalFormatting>
  <conditionalFormatting sqref="O2 S2 V2 Y2:Z2">
    <cfRule type="cellIs" dxfId="10" priority="1" operator="equal">
      <formula>"令和　年　月　日"</formula>
    </cfRule>
  </conditionalFormatting>
  <dataValidations count="1">
    <dataValidation type="list" allowBlank="1" showInputMessage="1" showErrorMessage="1" sqref="AC16:AG16">
      <formula1>"はい,いいえ"</formula1>
    </dataValidation>
  </dataValidations>
  <pageMargins left="0.98425196850393704" right="0.98425196850393704" top="0.39370078740157483" bottom="0.39370078740157483" header="0.31496062992125984" footer="0.31496062992125984"/>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B1:J15"/>
  <sheetViews>
    <sheetView view="pageBreakPreview" zoomScaleNormal="100" zoomScaleSheetLayoutView="100" workbookViewId="0">
      <selection activeCell="H11" sqref="H11"/>
    </sheetView>
  </sheetViews>
  <sheetFormatPr defaultColWidth="9" defaultRowHeight="13" x14ac:dyDescent="0.2"/>
  <cols>
    <col min="1" max="1" width="2" style="96" customWidth="1"/>
    <col min="2" max="2" width="18.6328125" style="96" customWidth="1"/>
    <col min="3" max="4" width="15.453125" style="96" customWidth="1"/>
    <col min="5" max="5" width="6.7265625" style="96" customWidth="1"/>
    <col min="6" max="6" width="20.08984375" style="96" customWidth="1"/>
    <col min="7" max="8" width="15.453125" style="96" customWidth="1"/>
    <col min="9" max="9" width="5.36328125" style="96" customWidth="1"/>
    <col min="10" max="10" width="19.7265625" style="96" customWidth="1"/>
    <col min="11" max="11" width="1" style="96" customWidth="1"/>
    <col min="12" max="16384" width="9" style="96"/>
  </cols>
  <sheetData>
    <row r="1" spans="2:10" ht="44.25" customHeight="1" x14ac:dyDescent="0.2">
      <c r="B1" s="510" t="s">
        <v>223</v>
      </c>
      <c r="C1" s="510"/>
      <c r="D1" s="510"/>
      <c r="F1" s="97" t="s">
        <v>222</v>
      </c>
      <c r="J1" s="98" t="s">
        <v>218</v>
      </c>
    </row>
    <row r="2" spans="2:10" x14ac:dyDescent="0.2">
      <c r="B2" s="103" t="s">
        <v>48</v>
      </c>
      <c r="C2" s="103" t="s">
        <v>210</v>
      </c>
      <c r="D2" s="103" t="s">
        <v>211</v>
      </c>
      <c r="F2" s="103" t="s">
        <v>48</v>
      </c>
      <c r="G2" s="103" t="s">
        <v>210</v>
      </c>
      <c r="H2" s="103" t="s">
        <v>212</v>
      </c>
      <c r="J2" s="103" t="s">
        <v>213</v>
      </c>
    </row>
    <row r="3" spans="2:10" x14ac:dyDescent="0.2">
      <c r="B3" s="99" t="s">
        <v>206</v>
      </c>
      <c r="C3" s="100"/>
      <c r="D3" s="100"/>
      <c r="F3" s="99" t="s">
        <v>206</v>
      </c>
      <c r="G3" s="101">
        <f>IF(【様式第６号の２】事業報告書兼チェックシート!Y89="",0,【様式第６号の２】事業報告書兼チェックシート!Y89*10000)</f>
        <v>0</v>
      </c>
      <c r="H3" s="101">
        <f>IF(【様式第６号の２】事業報告書兼チェックシート!Y89="",0,【様式第６号の２】事業報告書兼チェックシート!Y89*10000)</f>
        <v>0</v>
      </c>
      <c r="J3" s="102">
        <f>IF(H3="","",MIN(D3,H3))</f>
        <v>0</v>
      </c>
    </row>
    <row r="4" spans="2:10" x14ac:dyDescent="0.2">
      <c r="B4" s="99" t="s">
        <v>207</v>
      </c>
      <c r="C4" s="100"/>
      <c r="D4" s="100"/>
      <c r="F4" s="99" t="s">
        <v>207</v>
      </c>
      <c r="G4" s="101">
        <f>IF(【様式第６号の２】事業報告書兼チェックシート!Y149="",0,【様式第６号の２】事業報告書兼チェックシート!Y149*10000)</f>
        <v>0</v>
      </c>
      <c r="H4" s="101">
        <f>IF(【様式第６号の２】事業報告書兼チェックシート!Y149="",0,【様式第６号の２】事業報告書兼チェックシート!Y149*10000)</f>
        <v>0</v>
      </c>
      <c r="J4" s="102">
        <f>IF(H4="","",MIN(D4,H4))</f>
        <v>0</v>
      </c>
    </row>
    <row r="5" spans="2:10" x14ac:dyDescent="0.2">
      <c r="B5" s="99" t="s">
        <v>208</v>
      </c>
      <c r="C5" s="100"/>
      <c r="D5" s="100"/>
      <c r="F5" s="99" t="s">
        <v>208</v>
      </c>
      <c r="G5" s="101">
        <f>IF(【様式第６号の２】事業報告書兼チェックシート!Y100="",0,【様式第６号の２】事業報告書兼チェックシート!Y100*10000)</f>
        <v>0</v>
      </c>
      <c r="H5" s="101">
        <f>IF(【様式第６号の２】事業報告書兼チェックシート!Y100="",0,【様式第６号の２】事業報告書兼チェックシート!Y100*10000)</f>
        <v>0</v>
      </c>
      <c r="J5" s="102">
        <f t="shared" ref="J5:J6" si="0">IF(H5="","",MIN(D5,H5))</f>
        <v>0</v>
      </c>
    </row>
    <row r="6" spans="2:10" x14ac:dyDescent="0.2">
      <c r="B6" s="99" t="s">
        <v>209</v>
      </c>
      <c r="C6" s="100"/>
      <c r="D6" s="100"/>
      <c r="F6" s="99" t="s">
        <v>209</v>
      </c>
      <c r="G6" s="101">
        <f>IF(【様式第６号の２】事業報告書兼チェックシート!Y118="",0,【様式第６号の２】事業報告書兼チェックシート!Y118*10000)</f>
        <v>0</v>
      </c>
      <c r="H6" s="101">
        <f>IF(【様式第６号の２】事業報告書兼チェックシート!Y118="",0,【様式第６号の２】事業報告書兼チェックシート!Y118*10000)</f>
        <v>0</v>
      </c>
      <c r="J6" s="102">
        <f t="shared" si="0"/>
        <v>0</v>
      </c>
    </row>
    <row r="8" spans="2:10" x14ac:dyDescent="0.2">
      <c r="C8" s="103" t="s">
        <v>214</v>
      </c>
      <c r="D8" s="103" t="s">
        <v>211</v>
      </c>
      <c r="G8" s="103" t="s">
        <v>214</v>
      </c>
      <c r="H8" s="103" t="s">
        <v>211</v>
      </c>
    </row>
    <row r="9" spans="2:10" x14ac:dyDescent="0.2">
      <c r="C9" s="102" t="str">
        <f>IF(C3=0,"",SUM(C3:C6))</f>
        <v/>
      </c>
      <c r="D9" s="102" t="str">
        <f>IF(D3=0,"",MIN(500000,SUM(D3:D6),ROUNDDOWN(B12*10000/2,-3)))</f>
        <v/>
      </c>
      <c r="G9" s="102" t="str">
        <f>IF(G3=0,"",SUM(G3:G6))</f>
        <v/>
      </c>
      <c r="H9" s="102" t="str">
        <f>IF(H3=0,"",MIN(SUM(J3:J6),500000,ROUNDDOWN(F12*10000/2,-3),D9))</f>
        <v/>
      </c>
    </row>
    <row r="11" spans="2:10" x14ac:dyDescent="0.2">
      <c r="B11" s="96" t="s">
        <v>215</v>
      </c>
      <c r="F11" s="96" t="s">
        <v>217</v>
      </c>
    </row>
    <row r="12" spans="2:10" x14ac:dyDescent="0.2">
      <c r="B12" s="104"/>
      <c r="C12" s="96" t="s">
        <v>0</v>
      </c>
      <c r="F12" s="105" t="str">
        <f>IF(【様式第６号の２】事業報告書兼チェックシート!S31="","",【様式第６号の２】事業報告書兼チェックシート!S31)</f>
        <v/>
      </c>
      <c r="G12" s="96" t="s">
        <v>0</v>
      </c>
    </row>
    <row r="13" spans="2:10" x14ac:dyDescent="0.2">
      <c r="B13" s="511" t="s">
        <v>221</v>
      </c>
      <c r="C13" s="511"/>
      <c r="D13" s="511"/>
      <c r="F13" s="96" t="s">
        <v>216</v>
      </c>
    </row>
    <row r="14" spans="2:10" x14ac:dyDescent="0.2">
      <c r="B14" s="511"/>
      <c r="C14" s="511"/>
      <c r="D14" s="511"/>
    </row>
    <row r="15" spans="2:10" x14ac:dyDescent="0.2">
      <c r="B15" s="96" t="s">
        <v>219</v>
      </c>
    </row>
  </sheetData>
  <sheetProtection algorithmName="SHA-512" hashValue="mrFUwmU0JAbzTTAaObMby1Yo09ypH+5N6gjybzyGyX6BWQ4tDxc602km8sHReHgDVMX/71ZZE2qPlrM2dx6Ozg==" saltValue="y/aPxPBEGBGIqpOVcCo2IQ==" spinCount="100000" sheet="1" objects="1" scenarios="1"/>
  <mergeCells count="2">
    <mergeCell ref="B1:D1"/>
    <mergeCell ref="B13:D14"/>
  </mergeCells>
  <phoneticPr fontId="1"/>
  <conditionalFormatting sqref="C3:D6">
    <cfRule type="cellIs" dxfId="9" priority="3" operator="equal">
      <formula>0</formula>
    </cfRule>
  </conditionalFormatting>
  <conditionalFormatting sqref="B12">
    <cfRule type="cellIs" dxfId="8" priority="1" operator="equal">
      <formula>0</formula>
    </cfRule>
  </conditionalFormatting>
  <dataValidations count="1">
    <dataValidation type="whole" operator="greaterThanOrEqual" allowBlank="1" showInputMessage="1" showErrorMessage="1" sqref="C3:D6">
      <formula1>0</formula1>
    </dataValidation>
  </dataValidations>
  <pageMargins left="0.7" right="0.7" top="0.75" bottom="0.75" header="0.3" footer="0.3"/>
  <pageSetup paperSize="9" scale="65"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M27"/>
  <sheetViews>
    <sheetView topLeftCell="FJ1" workbookViewId="0">
      <selection activeCell="FX14" sqref="FX14"/>
    </sheetView>
  </sheetViews>
  <sheetFormatPr defaultColWidth="9" defaultRowHeight="13" outlineLevelRow="1" outlineLevelCol="1" x14ac:dyDescent="0.2"/>
  <cols>
    <col min="1" max="1" width="9" style="125"/>
    <col min="2" max="2" width="6.6328125" style="122" customWidth="1"/>
    <col min="3" max="3" width="6.6328125" style="123" customWidth="1"/>
    <col min="4" max="5" width="7.6328125" style="124" customWidth="1"/>
    <col min="6" max="6" width="9.6328125" style="125" customWidth="1"/>
    <col min="7" max="7" width="8.7265625" style="125" customWidth="1"/>
    <col min="8" max="8" width="11.6328125" style="126" customWidth="1"/>
    <col min="9" max="9" width="26.453125" style="125" customWidth="1"/>
    <col min="10" max="10" width="10.6328125" style="124" customWidth="1"/>
    <col min="11" max="11" width="50" style="125" customWidth="1"/>
    <col min="12" max="12" width="16.6328125" style="124" customWidth="1"/>
    <col min="13" max="13" width="10.6328125" style="124" customWidth="1"/>
    <col min="14" max="14" width="57" style="128" customWidth="1"/>
    <col min="15" max="31" width="6.6328125" style="129" hidden="1" customWidth="1"/>
    <col min="32" max="33" width="6.6328125" style="129" hidden="1" customWidth="1" outlineLevel="1"/>
    <col min="34" max="35" width="6.6328125" style="129" hidden="1" customWidth="1"/>
    <col min="36" max="37" width="6.6328125" style="129" hidden="1" customWidth="1" outlineLevel="1"/>
    <col min="38" max="50" width="6.6328125" style="129" hidden="1" customWidth="1"/>
    <col min="51" max="51" width="6.08984375" style="129" hidden="1" customWidth="1"/>
    <col min="52" max="52" width="6.6328125" style="129" hidden="1" customWidth="1"/>
    <col min="53" max="53" width="9" style="129" hidden="1" customWidth="1"/>
    <col min="54" max="57" width="6.6328125" style="129" hidden="1" customWidth="1"/>
    <col min="58" max="59" width="6.6328125" style="129" hidden="1" customWidth="1" outlineLevel="1"/>
    <col min="60" max="61" width="6.6328125" style="129" hidden="1" customWidth="1"/>
    <col min="62" max="64" width="6.6328125" style="129" hidden="1" customWidth="1" outlineLevel="1"/>
    <col min="65" max="66" width="6.6328125" style="129" hidden="1" customWidth="1"/>
    <col min="67" max="69" width="6.6328125" style="129" hidden="1" customWidth="1" outlineLevel="1"/>
    <col min="70" max="72" width="6.6328125" style="129" hidden="1" customWidth="1"/>
    <col min="73" max="73" width="10.6328125" style="126" hidden="1" customWidth="1"/>
    <col min="74" max="74" width="3.36328125" style="126" hidden="1" customWidth="1"/>
    <col min="75" max="75" width="4.36328125" style="126" hidden="1" customWidth="1"/>
    <col min="76" max="76" width="3.36328125" style="126" hidden="1" customWidth="1"/>
    <col min="77" max="77" width="4.90625" style="126" hidden="1" customWidth="1"/>
    <col min="78" max="78" width="3.36328125" style="126" hidden="1" customWidth="1"/>
    <col min="79" max="79" width="10.6328125" style="126" hidden="1" customWidth="1"/>
    <col min="80" max="80" width="3.36328125" style="126" hidden="1" customWidth="1"/>
    <col min="81" max="81" width="4.36328125" style="126" hidden="1" customWidth="1"/>
    <col min="82" max="82" width="3.36328125" style="126" hidden="1" customWidth="1"/>
    <col min="83" max="83" width="4.90625" style="126" hidden="1" customWidth="1"/>
    <col min="84" max="84" width="3.36328125" style="126" hidden="1" customWidth="1"/>
    <col min="85" max="85" width="10.6328125" style="126" hidden="1" customWidth="1"/>
    <col min="86" max="86" width="9" style="130" hidden="1" customWidth="1"/>
    <col min="87" max="87" width="29.36328125" style="125" hidden="1" customWidth="1"/>
    <col min="88" max="88" width="40.6328125" style="125" hidden="1" customWidth="1"/>
    <col min="89" max="89" width="10.7265625" style="124" hidden="1" customWidth="1"/>
    <col min="90" max="91" width="9" style="125" hidden="1" customWidth="1"/>
    <col min="92" max="92" width="9" style="124" hidden="1" customWidth="1"/>
    <col min="93" max="93" width="9" style="126" hidden="1" customWidth="1"/>
    <col min="94" max="95" width="9" style="125" hidden="1" customWidth="1"/>
    <col min="96" max="97" width="9" style="126" hidden="1" customWidth="1"/>
    <col min="98" max="98" width="11" style="125" hidden="1" customWidth="1"/>
    <col min="99" max="99" width="3.36328125" style="125" hidden="1" customWidth="1"/>
    <col min="100" max="100" width="3.90625" style="125" hidden="1" customWidth="1"/>
    <col min="101" max="101" width="4.453125" style="125" hidden="1" customWidth="1"/>
    <col min="102" max="102" width="3.90625" style="125" hidden="1" customWidth="1"/>
    <col min="103" max="103" width="3.453125" style="125" hidden="1" customWidth="1"/>
    <col min="104" max="104" width="4.453125" style="125" hidden="1" customWidth="1"/>
    <col min="105" max="105" width="9" style="125" hidden="1" customWidth="1"/>
    <col min="106" max="106" width="8.7265625" style="125" hidden="1" customWidth="1"/>
    <col min="107" max="108" width="6.6328125" style="129" hidden="1" customWidth="1"/>
    <col min="109" max="109" width="10.26953125" style="129" hidden="1" customWidth="1"/>
    <col min="110" max="113" width="6.6328125" style="129" hidden="1" customWidth="1"/>
    <col min="114" max="114" width="10.08984375" style="129" hidden="1" customWidth="1"/>
    <col min="115" max="118" width="6.6328125" style="129" hidden="1" customWidth="1"/>
    <col min="119" max="119" width="10" style="129" hidden="1" customWidth="1"/>
    <col min="120" max="126" width="6.6328125" style="129" hidden="1" customWidth="1"/>
    <col min="127" max="127" width="9.6328125" style="129" hidden="1" customWidth="1"/>
    <col min="128" max="131" width="6.6328125" style="129" hidden="1" customWidth="1"/>
    <col min="132" max="133" width="6.6328125" style="129" hidden="1" customWidth="1" outlineLevel="1"/>
    <col min="134" max="136" width="6.6328125" style="129" hidden="1" customWidth="1"/>
    <col min="137" max="138" width="6.6328125" style="129" hidden="1" customWidth="1" outlineLevel="1"/>
    <col min="139" max="154" width="6.6328125" style="129" hidden="1" customWidth="1"/>
    <col min="155" max="156" width="8.6328125" style="129" hidden="1" customWidth="1"/>
    <col min="157" max="157" width="6.6328125" style="129" hidden="1" customWidth="1"/>
    <col min="158" max="158" width="8.7265625" style="129" hidden="1" customWidth="1"/>
    <col min="159" max="159" width="9" style="129" customWidth="1"/>
    <col min="160" max="160" width="6.6328125" style="129" customWidth="1"/>
    <col min="161" max="161" width="10.08984375" style="129" customWidth="1"/>
    <col min="162" max="162" width="6.6328125" style="129" customWidth="1"/>
    <col min="163" max="163" width="10" style="129" customWidth="1"/>
    <col min="164" max="164" width="8.08984375" style="129" customWidth="1"/>
    <col min="165" max="166" width="6.6328125" style="129" customWidth="1"/>
    <col min="167" max="168" width="6.6328125" style="129" customWidth="1" outlineLevel="1"/>
    <col min="169" max="169" width="8.90625" style="129" customWidth="1"/>
    <col min="170" max="171" width="6.6328125" style="129" customWidth="1"/>
    <col min="172" max="174" width="6.6328125" style="129" customWidth="1" outlineLevel="1"/>
    <col min="175" max="176" width="8.90625" style="129" customWidth="1"/>
    <col min="177" max="177" width="8.36328125" style="129" customWidth="1"/>
    <col min="178" max="180" width="6.6328125" style="129" customWidth="1" outlineLevel="1"/>
    <col min="181" max="181" width="9" style="129" customWidth="1"/>
    <col min="182" max="182" width="8.453125" style="129" customWidth="1"/>
    <col min="183" max="183" width="6.6328125" style="129" customWidth="1"/>
    <col min="184" max="184" width="10.90625" style="129" customWidth="1"/>
    <col min="185" max="185" width="6.6328125" style="129" customWidth="1"/>
    <col min="186" max="186" width="10.08984375" style="129" customWidth="1"/>
    <col min="187" max="187" width="6.6328125" style="125" customWidth="1"/>
    <col min="188" max="188" width="9.7265625" style="126" customWidth="1"/>
    <col min="189" max="189" width="9.453125" style="126" customWidth="1"/>
    <col min="190" max="190" width="9.453125" style="126" bestFit="1" customWidth="1"/>
    <col min="191" max="193" width="9" style="130"/>
    <col min="194" max="871" width="9" style="131"/>
    <col min="872" max="16384" width="9" style="125"/>
  </cols>
  <sheetData>
    <row r="1" spans="2:871" x14ac:dyDescent="0.2">
      <c r="C1" s="123" t="s">
        <v>443</v>
      </c>
      <c r="I1" s="127" t="s">
        <v>251</v>
      </c>
    </row>
    <row r="2" spans="2:871" x14ac:dyDescent="0.2">
      <c r="H2" s="132" t="s">
        <v>252</v>
      </c>
      <c r="I2" s="133"/>
      <c r="J2" s="134"/>
      <c r="K2" s="133"/>
      <c r="L2" s="134"/>
      <c r="M2" s="134"/>
      <c r="N2" s="135"/>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36"/>
      <c r="BU2" s="132"/>
      <c r="BV2" s="132"/>
      <c r="BW2" s="132"/>
      <c r="BX2" s="132"/>
      <c r="BY2" s="132"/>
      <c r="BZ2" s="132"/>
      <c r="CA2" s="132"/>
      <c r="CB2" s="132"/>
      <c r="CC2" s="132"/>
      <c r="CD2" s="132"/>
      <c r="CE2" s="132"/>
      <c r="CF2" s="132"/>
      <c r="CG2" s="132"/>
      <c r="CH2" s="137"/>
      <c r="CI2" s="133"/>
      <c r="CJ2" s="133"/>
      <c r="CK2" s="134"/>
      <c r="CL2" s="133"/>
      <c r="CM2" s="133"/>
      <c r="CN2" s="134"/>
      <c r="CO2" s="133"/>
      <c r="CP2" s="133"/>
      <c r="CQ2" s="133"/>
      <c r="CR2" s="133"/>
      <c r="CS2" s="133"/>
      <c r="CT2" s="133"/>
      <c r="CU2" s="133"/>
      <c r="CV2" s="133"/>
      <c r="CW2" s="133"/>
      <c r="CX2" s="133"/>
      <c r="CY2" s="133"/>
      <c r="CZ2" s="133"/>
      <c r="DC2" s="138" t="s">
        <v>253</v>
      </c>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row>
    <row r="3" spans="2:871" s="164" customFormat="1" ht="55" x14ac:dyDescent="0.2">
      <c r="B3" s="139" t="s">
        <v>254</v>
      </c>
      <c r="C3" s="140" t="s">
        <v>255</v>
      </c>
      <c r="D3" s="141" t="s">
        <v>256</v>
      </c>
      <c r="E3" s="141"/>
      <c r="F3" s="142" t="s">
        <v>257</v>
      </c>
      <c r="G3" s="143" t="s">
        <v>258</v>
      </c>
      <c r="H3" s="145" t="s">
        <v>260</v>
      </c>
      <c r="I3" s="146" t="s">
        <v>261</v>
      </c>
      <c r="J3" s="147"/>
      <c r="K3" s="148"/>
      <c r="L3" s="149"/>
      <c r="M3" s="150" t="s">
        <v>262</v>
      </c>
      <c r="N3" s="151"/>
      <c r="O3" s="152" t="s">
        <v>263</v>
      </c>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518" t="s">
        <v>264</v>
      </c>
      <c r="BA3" s="154" t="s">
        <v>265</v>
      </c>
      <c r="BB3" s="154"/>
      <c r="BC3" s="154"/>
      <c r="BD3" s="154"/>
      <c r="BE3" s="154"/>
      <c r="BF3" s="154"/>
      <c r="BG3" s="154"/>
      <c r="BH3" s="154"/>
      <c r="BI3" s="154"/>
      <c r="BJ3" s="154"/>
      <c r="BK3" s="154"/>
      <c r="BL3" s="154"/>
      <c r="BM3" s="154"/>
      <c r="BN3" s="154"/>
      <c r="BO3" s="154"/>
      <c r="BP3" s="154"/>
      <c r="BQ3" s="154"/>
      <c r="BR3" s="154"/>
      <c r="BS3" s="154"/>
      <c r="BT3" s="154"/>
      <c r="BU3" s="155" t="s">
        <v>266</v>
      </c>
      <c r="BV3" s="156"/>
      <c r="BW3" s="156"/>
      <c r="BX3" s="156"/>
      <c r="BY3" s="156"/>
      <c r="BZ3" s="156"/>
      <c r="CA3" s="156"/>
      <c r="CB3" s="156"/>
      <c r="CC3" s="156"/>
      <c r="CD3" s="156"/>
      <c r="CE3" s="156"/>
      <c r="CF3" s="156"/>
      <c r="CG3" s="157" t="s">
        <v>267</v>
      </c>
      <c r="CH3" s="158"/>
      <c r="CI3" s="159" t="s">
        <v>268</v>
      </c>
      <c r="CJ3" s="160"/>
      <c r="CK3" s="161" t="s">
        <v>269</v>
      </c>
      <c r="CL3" s="142" t="s">
        <v>270</v>
      </c>
      <c r="CM3" s="142" t="s">
        <v>271</v>
      </c>
      <c r="CN3" s="141" t="s">
        <v>272</v>
      </c>
      <c r="CO3" s="155" t="s">
        <v>273</v>
      </c>
      <c r="CP3" s="160"/>
      <c r="CQ3" s="162" t="s">
        <v>274</v>
      </c>
      <c r="CR3" s="156"/>
      <c r="CS3" s="156"/>
      <c r="CT3" s="163"/>
      <c r="CU3" s="160"/>
      <c r="CV3" s="162" t="s">
        <v>275</v>
      </c>
      <c r="CW3" s="160"/>
      <c r="CX3" s="520" t="s">
        <v>276</v>
      </c>
      <c r="CY3" s="521"/>
      <c r="CZ3" s="522"/>
      <c r="DB3" s="144" t="s">
        <v>259</v>
      </c>
      <c r="DC3" s="152" t="s">
        <v>277</v>
      </c>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65"/>
      <c r="FC3" s="166" t="s">
        <v>278</v>
      </c>
      <c r="FD3" s="167"/>
      <c r="FE3" s="167"/>
      <c r="FF3" s="167"/>
      <c r="FG3" s="167"/>
      <c r="FH3" s="167"/>
      <c r="FI3" s="167"/>
      <c r="FJ3" s="167"/>
      <c r="FK3" s="167"/>
      <c r="FL3" s="167"/>
      <c r="FM3" s="167"/>
      <c r="FN3" s="167"/>
      <c r="FO3" s="167"/>
      <c r="FP3" s="167"/>
      <c r="FQ3" s="167"/>
      <c r="FR3" s="167"/>
      <c r="FS3" s="167"/>
      <c r="FT3" s="167"/>
      <c r="FU3" s="167"/>
      <c r="FV3" s="167"/>
      <c r="FW3" s="167"/>
      <c r="FX3" s="167"/>
      <c r="FY3" s="167"/>
      <c r="FZ3" s="167"/>
      <c r="GA3" s="168"/>
      <c r="GB3" s="168"/>
      <c r="GC3" s="154"/>
      <c r="GD3" s="154"/>
      <c r="GE3" s="162" t="s">
        <v>279</v>
      </c>
      <c r="GF3" s="169"/>
      <c r="GG3" s="169"/>
      <c r="GH3" s="169"/>
      <c r="GI3" s="170"/>
      <c r="GJ3" s="170"/>
      <c r="GK3" s="158"/>
    </row>
    <row r="4" spans="2:871" s="215" customFormat="1" ht="36" x14ac:dyDescent="0.2">
      <c r="B4" s="171"/>
      <c r="C4" s="172"/>
      <c r="D4" s="173"/>
      <c r="E4" s="173"/>
      <c r="F4" s="174"/>
      <c r="G4" s="174"/>
      <c r="H4" s="175"/>
      <c r="I4" s="176" t="s">
        <v>280</v>
      </c>
      <c r="J4" s="177" t="s">
        <v>281</v>
      </c>
      <c r="K4" s="178" t="s">
        <v>282</v>
      </c>
      <c r="L4" s="177" t="s">
        <v>283</v>
      </c>
      <c r="M4" s="177"/>
      <c r="N4" s="179"/>
      <c r="O4" s="180"/>
      <c r="P4" s="181" t="s">
        <v>284</v>
      </c>
      <c r="Q4" s="182"/>
      <c r="R4" s="183" t="s">
        <v>285</v>
      </c>
      <c r="S4" s="184"/>
      <c r="T4" s="185"/>
      <c r="U4" s="186" t="s">
        <v>286</v>
      </c>
      <c r="V4" s="187"/>
      <c r="W4" s="188"/>
      <c r="X4" s="512" t="s">
        <v>287</v>
      </c>
      <c r="Y4" s="513"/>
      <c r="Z4" s="513"/>
      <c r="AA4" s="189"/>
      <c r="AB4" s="512" t="s">
        <v>288</v>
      </c>
      <c r="AC4" s="513"/>
      <c r="AD4" s="514"/>
      <c r="AE4" s="190" t="s">
        <v>289</v>
      </c>
      <c r="AF4" s="191"/>
      <c r="AG4" s="191"/>
      <c r="AH4" s="192"/>
      <c r="AI4" s="193" t="s">
        <v>290</v>
      </c>
      <c r="AJ4" s="194"/>
      <c r="AK4" s="194"/>
      <c r="AL4" s="195"/>
      <c r="AM4" s="196" t="s">
        <v>291</v>
      </c>
      <c r="AN4" s="197"/>
      <c r="AO4" s="197"/>
      <c r="AP4" s="197"/>
      <c r="AQ4" s="197"/>
      <c r="AR4" s="197"/>
      <c r="AS4" s="197"/>
      <c r="AT4" s="197"/>
      <c r="AU4" s="197"/>
      <c r="AV4" s="197"/>
      <c r="AW4" s="197"/>
      <c r="AX4" s="198"/>
      <c r="AY4" s="198"/>
      <c r="AZ4" s="518"/>
      <c r="BA4" s="180"/>
      <c r="BB4" s="199" t="s">
        <v>292</v>
      </c>
      <c r="BC4" s="199"/>
      <c r="BD4" s="200"/>
      <c r="BE4" s="190" t="s">
        <v>289</v>
      </c>
      <c r="BF4" s="191"/>
      <c r="BG4" s="191"/>
      <c r="BH4" s="192"/>
      <c r="BI4" s="186" t="s">
        <v>290</v>
      </c>
      <c r="BJ4" s="187"/>
      <c r="BK4" s="187"/>
      <c r="BL4" s="187"/>
      <c r="BM4" s="188"/>
      <c r="BN4" s="196" t="s">
        <v>293</v>
      </c>
      <c r="BO4" s="197"/>
      <c r="BP4" s="197"/>
      <c r="BQ4" s="197"/>
      <c r="BR4" s="197"/>
      <c r="BS4" s="198"/>
      <c r="BT4" s="201" t="s">
        <v>294</v>
      </c>
      <c r="BU4" s="202"/>
      <c r="BV4" s="203"/>
      <c r="BW4" s="203"/>
      <c r="BX4" s="203"/>
      <c r="BY4" s="203"/>
      <c r="BZ4" s="203"/>
      <c r="CA4" s="203"/>
      <c r="CB4" s="204"/>
      <c r="CC4" s="204"/>
      <c r="CD4" s="204"/>
      <c r="CE4" s="204"/>
      <c r="CF4" s="204"/>
      <c r="CG4" s="205"/>
      <c r="CH4" s="206"/>
      <c r="CI4" s="207"/>
      <c r="CJ4" s="208"/>
      <c r="CK4" s="209"/>
      <c r="CL4" s="174"/>
      <c r="CM4" s="210"/>
      <c r="CN4" s="173"/>
      <c r="CO4" s="211"/>
      <c r="CP4" s="212"/>
      <c r="CQ4" s="207"/>
      <c r="CR4" s="213"/>
      <c r="CS4" s="213"/>
      <c r="CT4" s="214"/>
      <c r="CU4" s="208"/>
      <c r="CV4" s="207"/>
      <c r="CW4" s="208"/>
      <c r="CX4" s="523"/>
      <c r="CY4" s="524"/>
      <c r="CZ4" s="525"/>
      <c r="DB4" s="174"/>
      <c r="DC4" s="180"/>
      <c r="DD4" s="181" t="s">
        <v>284</v>
      </c>
      <c r="DE4" s="216"/>
      <c r="DF4" s="216"/>
      <c r="DG4" s="216"/>
      <c r="DH4" s="183" t="s">
        <v>295</v>
      </c>
      <c r="DI4" s="184"/>
      <c r="DJ4" s="184"/>
      <c r="DK4" s="184"/>
      <c r="DL4" s="184"/>
      <c r="DM4" s="186" t="s">
        <v>286</v>
      </c>
      <c r="DN4" s="187"/>
      <c r="DO4" s="187"/>
      <c r="DP4" s="187"/>
      <c r="DQ4" s="188"/>
      <c r="DR4" s="513" t="s">
        <v>287</v>
      </c>
      <c r="DS4" s="513"/>
      <c r="DT4" s="513"/>
      <c r="DU4" s="513" t="s">
        <v>288</v>
      </c>
      <c r="DV4" s="513"/>
      <c r="DW4" s="513"/>
      <c r="DX4" s="514"/>
      <c r="DY4" s="217"/>
      <c r="DZ4" s="189"/>
      <c r="EA4" s="190" t="s">
        <v>289</v>
      </c>
      <c r="EB4" s="191"/>
      <c r="EC4" s="191"/>
      <c r="ED4" s="191"/>
      <c r="EE4" s="191"/>
      <c r="EF4" s="193" t="s">
        <v>290</v>
      </c>
      <c r="EG4" s="194"/>
      <c r="EH4" s="194"/>
      <c r="EI4" s="194"/>
      <c r="EJ4" s="195"/>
      <c r="EK4" s="196" t="s">
        <v>291</v>
      </c>
      <c r="EL4" s="197"/>
      <c r="EM4" s="197"/>
      <c r="EN4" s="197"/>
      <c r="EO4" s="197"/>
      <c r="EP4" s="197"/>
      <c r="EQ4" s="197"/>
      <c r="ER4" s="197"/>
      <c r="ES4" s="197"/>
      <c r="ET4" s="197"/>
      <c r="EU4" s="197"/>
      <c r="EV4" s="197"/>
      <c r="EW4" s="197"/>
      <c r="EX4" s="197"/>
      <c r="EY4" s="197"/>
      <c r="EZ4" s="197"/>
      <c r="FA4" s="218" t="s">
        <v>296</v>
      </c>
      <c r="FB4" s="218" t="s">
        <v>297</v>
      </c>
      <c r="FC4" s="219"/>
      <c r="FD4" s="220" t="s">
        <v>292</v>
      </c>
      <c r="FE4" s="199"/>
      <c r="FF4" s="199"/>
      <c r="FG4" s="199"/>
      <c r="FH4" s="199"/>
      <c r="FI4" s="200"/>
      <c r="FJ4" s="190" t="s">
        <v>289</v>
      </c>
      <c r="FK4" s="191"/>
      <c r="FL4" s="191"/>
      <c r="FM4" s="191"/>
      <c r="FN4" s="192"/>
      <c r="FO4" s="186" t="s">
        <v>290</v>
      </c>
      <c r="FP4" s="187"/>
      <c r="FQ4" s="187"/>
      <c r="FR4" s="187"/>
      <c r="FS4" s="187"/>
      <c r="FT4" s="188"/>
      <c r="FU4" s="196" t="s">
        <v>293</v>
      </c>
      <c r="FV4" s="197"/>
      <c r="FW4" s="197"/>
      <c r="FX4" s="197"/>
      <c r="FY4" s="197"/>
      <c r="FZ4" s="197"/>
      <c r="GA4" s="221"/>
      <c r="GB4" s="221"/>
      <c r="GC4" s="222" t="s">
        <v>298</v>
      </c>
      <c r="GD4" s="222" t="s">
        <v>297</v>
      </c>
      <c r="GE4" s="223"/>
      <c r="GF4" s="224"/>
      <c r="GG4" s="224"/>
      <c r="GH4" s="224"/>
      <c r="GI4" s="225" t="s">
        <v>299</v>
      </c>
      <c r="GJ4" s="225" t="s">
        <v>299</v>
      </c>
      <c r="GK4" s="226" t="s">
        <v>300</v>
      </c>
    </row>
    <row r="5" spans="2:871" s="253" customFormat="1" ht="183" x14ac:dyDescent="0.2">
      <c r="B5" s="227" t="s">
        <v>301</v>
      </c>
      <c r="C5" s="228"/>
      <c r="D5" s="229"/>
      <c r="E5" s="230" t="s">
        <v>302</v>
      </c>
      <c r="F5" s="231" t="s">
        <v>303</v>
      </c>
      <c r="G5" s="231"/>
      <c r="H5" s="232"/>
      <c r="I5" s="233"/>
      <c r="J5" s="234"/>
      <c r="K5" s="142"/>
      <c r="L5" s="234"/>
      <c r="M5" s="141" t="s">
        <v>304</v>
      </c>
      <c r="N5" s="235" t="s">
        <v>305</v>
      </c>
      <c r="O5" s="236" t="s">
        <v>306</v>
      </c>
      <c r="P5" s="237" t="s">
        <v>307</v>
      </c>
      <c r="Q5" s="222" t="s">
        <v>308</v>
      </c>
      <c r="R5" s="238" t="s">
        <v>309</v>
      </c>
      <c r="S5" s="237" t="s">
        <v>307</v>
      </c>
      <c r="T5" s="222" t="s">
        <v>308</v>
      </c>
      <c r="U5" s="238" t="s">
        <v>309</v>
      </c>
      <c r="V5" s="237" t="s">
        <v>307</v>
      </c>
      <c r="W5" s="222" t="s">
        <v>308</v>
      </c>
      <c r="X5" s="239" t="s">
        <v>309</v>
      </c>
      <c r="Y5" s="240" t="s">
        <v>310</v>
      </c>
      <c r="Z5" s="239" t="s">
        <v>311</v>
      </c>
      <c r="AA5" s="241" t="s">
        <v>312</v>
      </c>
      <c r="AB5" s="239" t="s">
        <v>309</v>
      </c>
      <c r="AC5" s="240" t="s">
        <v>313</v>
      </c>
      <c r="AD5" s="239" t="s">
        <v>311</v>
      </c>
      <c r="AE5" s="238" t="s">
        <v>309</v>
      </c>
      <c r="AF5" s="237" t="s">
        <v>314</v>
      </c>
      <c r="AG5" s="242" t="s">
        <v>315</v>
      </c>
      <c r="AH5" s="222" t="s">
        <v>308</v>
      </c>
      <c r="AI5" s="238" t="s">
        <v>316</v>
      </c>
      <c r="AJ5" s="237" t="s">
        <v>317</v>
      </c>
      <c r="AK5" s="237" t="s">
        <v>318</v>
      </c>
      <c r="AL5" s="222" t="s">
        <v>308</v>
      </c>
      <c r="AM5" s="239" t="s">
        <v>316</v>
      </c>
      <c r="AN5" s="236" t="s">
        <v>319</v>
      </c>
      <c r="AO5" s="236" t="s">
        <v>320</v>
      </c>
      <c r="AP5" s="236" t="s">
        <v>321</v>
      </c>
      <c r="AQ5" s="236" t="s">
        <v>322</v>
      </c>
      <c r="AR5" s="236" t="s">
        <v>323</v>
      </c>
      <c r="AS5" s="236" t="s">
        <v>324</v>
      </c>
      <c r="AT5" s="236" t="s">
        <v>325</v>
      </c>
      <c r="AU5" s="239" t="s">
        <v>326</v>
      </c>
      <c r="AV5" s="241" t="s">
        <v>308</v>
      </c>
      <c r="AW5" s="236" t="s">
        <v>327</v>
      </c>
      <c r="AX5" s="236" t="s">
        <v>328</v>
      </c>
      <c r="AY5" s="236" t="s">
        <v>328</v>
      </c>
      <c r="AZ5" s="519"/>
      <c r="BA5" s="243" t="s">
        <v>329</v>
      </c>
      <c r="BB5" s="244" t="s">
        <v>330</v>
      </c>
      <c r="BC5" s="245" t="s">
        <v>331</v>
      </c>
      <c r="BD5" s="241" t="s">
        <v>332</v>
      </c>
      <c r="BE5" s="238" t="s">
        <v>309</v>
      </c>
      <c r="BF5" s="237" t="s">
        <v>333</v>
      </c>
      <c r="BG5" s="242" t="s">
        <v>334</v>
      </c>
      <c r="BH5" s="222" t="s">
        <v>332</v>
      </c>
      <c r="BI5" s="238" t="s">
        <v>309</v>
      </c>
      <c r="BJ5" s="237" t="s">
        <v>335</v>
      </c>
      <c r="BK5" s="237" t="s">
        <v>336</v>
      </c>
      <c r="BL5" s="237" t="s">
        <v>337</v>
      </c>
      <c r="BM5" s="222" t="s">
        <v>332</v>
      </c>
      <c r="BN5" s="238" t="s">
        <v>316</v>
      </c>
      <c r="BO5" s="237" t="s">
        <v>338</v>
      </c>
      <c r="BP5" s="237" t="s">
        <v>339</v>
      </c>
      <c r="BQ5" s="237" t="s">
        <v>340</v>
      </c>
      <c r="BR5" s="222" t="s">
        <v>341</v>
      </c>
      <c r="BS5" s="236" t="s">
        <v>328</v>
      </c>
      <c r="BT5" s="246" t="s">
        <v>342</v>
      </c>
      <c r="BU5" s="515" t="s">
        <v>343</v>
      </c>
      <c r="BV5" s="516"/>
      <c r="BW5" s="516"/>
      <c r="BX5" s="516"/>
      <c r="BY5" s="516"/>
      <c r="BZ5" s="517"/>
      <c r="CA5" s="515" t="s">
        <v>344</v>
      </c>
      <c r="CB5" s="516"/>
      <c r="CC5" s="516"/>
      <c r="CD5" s="516"/>
      <c r="CE5" s="516"/>
      <c r="CF5" s="517"/>
      <c r="CG5" s="247" t="s">
        <v>345</v>
      </c>
      <c r="CH5" s="248" t="s">
        <v>346</v>
      </c>
      <c r="CI5" s="249" t="s">
        <v>347</v>
      </c>
      <c r="CJ5" s="249" t="s">
        <v>348</v>
      </c>
      <c r="CK5" s="250" t="s">
        <v>349</v>
      </c>
      <c r="CL5" s="249" t="s">
        <v>350</v>
      </c>
      <c r="CM5" s="249" t="s">
        <v>351</v>
      </c>
      <c r="CN5" s="250" t="s">
        <v>352</v>
      </c>
      <c r="CO5" s="247" t="s">
        <v>353</v>
      </c>
      <c r="CP5" s="176" t="s">
        <v>354</v>
      </c>
      <c r="CQ5" s="249" t="s">
        <v>355</v>
      </c>
      <c r="CR5" s="251" t="s">
        <v>356</v>
      </c>
      <c r="CS5" s="251" t="s">
        <v>357</v>
      </c>
      <c r="CT5" s="249" t="s">
        <v>358</v>
      </c>
      <c r="CU5" s="249" t="s">
        <v>359</v>
      </c>
      <c r="CV5" s="249" t="s">
        <v>360</v>
      </c>
      <c r="CW5" s="249" t="s">
        <v>361</v>
      </c>
      <c r="CX5" s="252" t="s">
        <v>362</v>
      </c>
      <c r="CY5" s="252" t="s">
        <v>363</v>
      </c>
      <c r="CZ5" s="252" t="s">
        <v>364</v>
      </c>
      <c r="DB5" s="231"/>
      <c r="DC5" s="236" t="s">
        <v>306</v>
      </c>
      <c r="DD5" s="236" t="s">
        <v>307</v>
      </c>
      <c r="DE5" s="236" t="s">
        <v>365</v>
      </c>
      <c r="DF5" s="254" t="s">
        <v>366</v>
      </c>
      <c r="DG5" s="254" t="s">
        <v>367</v>
      </c>
      <c r="DH5" s="239" t="s">
        <v>309</v>
      </c>
      <c r="DI5" s="236" t="s">
        <v>307</v>
      </c>
      <c r="DJ5" s="236" t="s">
        <v>368</v>
      </c>
      <c r="DK5" s="255" t="s">
        <v>366</v>
      </c>
      <c r="DL5" s="255" t="s">
        <v>367</v>
      </c>
      <c r="DM5" s="239" t="s">
        <v>309</v>
      </c>
      <c r="DN5" s="236" t="s">
        <v>307</v>
      </c>
      <c r="DO5" s="236" t="s">
        <v>369</v>
      </c>
      <c r="DP5" s="255" t="s">
        <v>366</v>
      </c>
      <c r="DQ5" s="255" t="s">
        <v>367</v>
      </c>
      <c r="DR5" s="239" t="s">
        <v>309</v>
      </c>
      <c r="DS5" s="240" t="s">
        <v>310</v>
      </c>
      <c r="DT5" s="239" t="s">
        <v>311</v>
      </c>
      <c r="DU5" s="239" t="s">
        <v>309</v>
      </c>
      <c r="DV5" s="240" t="s">
        <v>313</v>
      </c>
      <c r="DW5" s="256" t="s">
        <v>370</v>
      </c>
      <c r="DX5" s="239" t="s">
        <v>311</v>
      </c>
      <c r="DY5" s="255" t="s">
        <v>366</v>
      </c>
      <c r="DZ5" s="255" t="s">
        <v>367</v>
      </c>
      <c r="EA5" s="239" t="s">
        <v>309</v>
      </c>
      <c r="EB5" s="236" t="s">
        <v>314</v>
      </c>
      <c r="EC5" s="236" t="s">
        <v>315</v>
      </c>
      <c r="ED5" s="255" t="s">
        <v>366</v>
      </c>
      <c r="EE5" s="255" t="s">
        <v>367</v>
      </c>
      <c r="EF5" s="239" t="s">
        <v>316</v>
      </c>
      <c r="EG5" s="236" t="s">
        <v>317</v>
      </c>
      <c r="EH5" s="236" t="s">
        <v>318</v>
      </c>
      <c r="EI5" s="255" t="s">
        <v>366</v>
      </c>
      <c r="EJ5" s="255" t="s">
        <v>367</v>
      </c>
      <c r="EK5" s="239" t="s">
        <v>316</v>
      </c>
      <c r="EL5" s="236" t="s">
        <v>319</v>
      </c>
      <c r="EM5" s="236" t="s">
        <v>320</v>
      </c>
      <c r="EN5" s="236" t="s">
        <v>321</v>
      </c>
      <c r="EO5" s="236" t="s">
        <v>322</v>
      </c>
      <c r="EP5" s="236" t="s">
        <v>323</v>
      </c>
      <c r="EQ5" s="236" t="s">
        <v>324</v>
      </c>
      <c r="ER5" s="236" t="s">
        <v>325</v>
      </c>
      <c r="ES5" s="239" t="s">
        <v>326</v>
      </c>
      <c r="ET5" s="255" t="s">
        <v>366</v>
      </c>
      <c r="EU5" s="255" t="s">
        <v>367</v>
      </c>
      <c r="EV5" s="236" t="s">
        <v>327</v>
      </c>
      <c r="EW5" s="236" t="s">
        <v>328</v>
      </c>
      <c r="EX5" s="236" t="s">
        <v>328</v>
      </c>
      <c r="EY5" s="236" t="s">
        <v>371</v>
      </c>
      <c r="EZ5" s="236" t="s">
        <v>372</v>
      </c>
      <c r="FA5" s="257"/>
      <c r="FB5" s="257"/>
      <c r="FC5" s="258" t="s">
        <v>329</v>
      </c>
      <c r="FD5" s="259" t="s">
        <v>330</v>
      </c>
      <c r="FE5" s="260" t="s">
        <v>373</v>
      </c>
      <c r="FF5" s="261" t="s">
        <v>331</v>
      </c>
      <c r="FG5" s="261" t="s">
        <v>370</v>
      </c>
      <c r="FH5" s="255" t="s">
        <v>366</v>
      </c>
      <c r="FI5" s="255" t="s">
        <v>367</v>
      </c>
      <c r="FJ5" s="239" t="s">
        <v>309</v>
      </c>
      <c r="FK5" s="236" t="s">
        <v>374</v>
      </c>
      <c r="FL5" s="236" t="s">
        <v>375</v>
      </c>
      <c r="FM5" s="255" t="s">
        <v>366</v>
      </c>
      <c r="FN5" s="255" t="s">
        <v>367</v>
      </c>
      <c r="FO5" s="239" t="s">
        <v>376</v>
      </c>
      <c r="FP5" s="236" t="s">
        <v>377</v>
      </c>
      <c r="FQ5" s="236" t="s">
        <v>378</v>
      </c>
      <c r="FR5" s="236" t="s">
        <v>379</v>
      </c>
      <c r="FS5" s="255" t="s">
        <v>366</v>
      </c>
      <c r="FT5" s="255" t="s">
        <v>367</v>
      </c>
      <c r="FU5" s="239" t="s">
        <v>376</v>
      </c>
      <c r="FV5" s="236" t="s">
        <v>338</v>
      </c>
      <c r="FW5" s="236" t="s">
        <v>339</v>
      </c>
      <c r="FX5" s="236" t="s">
        <v>340</v>
      </c>
      <c r="FY5" s="255" t="s">
        <v>366</v>
      </c>
      <c r="FZ5" s="255" t="s">
        <v>367</v>
      </c>
      <c r="GA5" s="262" t="s">
        <v>328</v>
      </c>
      <c r="GB5" s="262" t="s">
        <v>371</v>
      </c>
      <c r="GC5" s="255"/>
      <c r="GD5" s="255"/>
      <c r="GE5" s="263" t="s">
        <v>380</v>
      </c>
      <c r="GF5" s="264" t="s">
        <v>381</v>
      </c>
      <c r="GG5" s="264" t="s">
        <v>382</v>
      </c>
      <c r="GH5" s="264" t="s">
        <v>383</v>
      </c>
      <c r="GI5" s="265" t="s">
        <v>384</v>
      </c>
      <c r="GJ5" s="265" t="s">
        <v>385</v>
      </c>
      <c r="GK5" s="265" t="s">
        <v>386</v>
      </c>
    </row>
    <row r="6" spans="2:871" s="291" customFormat="1" ht="15.75" hidden="1" customHeight="1" x14ac:dyDescent="0.2">
      <c r="B6" s="266" t="str">
        <f t="shared" ref="B6:B11" si="0">IF(GH6&gt;0,"支払済",IF(GE6="取下",GE6,IF(GE6="取消",GE6,"")))</f>
        <v>支払済</v>
      </c>
      <c r="C6" s="267" t="s">
        <v>387</v>
      </c>
      <c r="D6" s="268" t="s">
        <v>388</v>
      </c>
      <c r="E6" s="269" t="str">
        <f>IF(D6="登録","登録",IF(D5="登録","建売購入",""))</f>
        <v/>
      </c>
      <c r="F6" s="270"/>
      <c r="G6" s="270"/>
      <c r="H6" s="271">
        <v>43191</v>
      </c>
      <c r="I6" s="272" t="s">
        <v>389</v>
      </c>
      <c r="J6" s="273" t="s">
        <v>390</v>
      </c>
      <c r="K6" s="272"/>
      <c r="L6" s="273" t="s">
        <v>391</v>
      </c>
      <c r="M6" s="273" t="s">
        <v>392</v>
      </c>
      <c r="N6" s="274" t="s">
        <v>393</v>
      </c>
      <c r="O6" s="275">
        <v>35</v>
      </c>
      <c r="P6" s="275">
        <v>25</v>
      </c>
      <c r="Q6" s="276">
        <f>IF(P6&gt;=10,150,0)</f>
        <v>150</v>
      </c>
      <c r="R6" s="275">
        <f>IF(S6&gt;=1,1,"")</f>
        <v>1</v>
      </c>
      <c r="S6" s="275">
        <v>19</v>
      </c>
      <c r="T6" s="277">
        <f>IF(Q6=0,0,IF(S6&gt;=25,MIN(250,ROUNDDOWN(S6*10,-1)),IF(S6&gt;=20,MIN(200,ROUNDDOWN(S6*10,-1)),IF(S6&gt;=15,MIN(150,ROUNDDOWN(S6*10,-1)),MIN(100,ROUNDDOWN(S6*10,-1))))))</f>
        <v>150</v>
      </c>
      <c r="U6" s="275">
        <f>IF(V6&gt;=1,1,"")</f>
        <v>1</v>
      </c>
      <c r="V6" s="275">
        <v>7</v>
      </c>
      <c r="W6" s="277">
        <f>IF(AND(Q6&gt;0,V6&gt;=1),MIN(INT(V6)*20,200),0)</f>
        <v>140</v>
      </c>
      <c r="X6" s="275">
        <f>IF(Y6&gt;=1,1,"")</f>
        <v>1</v>
      </c>
      <c r="Y6" s="275">
        <v>1</v>
      </c>
      <c r="Z6" s="275">
        <f>IF(Y6&gt;=1,50,0)</f>
        <v>50</v>
      </c>
      <c r="AA6" s="276">
        <f t="shared" ref="AA6:AA10" si="1">IF(OR(AD6&gt;0,Z6&gt;0),MIN(AD6+Z6,150),0)</f>
        <v>72</v>
      </c>
      <c r="AB6" s="275">
        <f>IF(AC6&gt;=1,1,"")</f>
        <v>1</v>
      </c>
      <c r="AC6" s="275">
        <v>11</v>
      </c>
      <c r="AD6" s="275">
        <f t="shared" ref="AD6:AD10" si="2">IF(AND(Q6&gt;0,AC6&gt;=1),MIN(INT(AC6)*2,150),0)</f>
        <v>22</v>
      </c>
      <c r="AE6" s="275">
        <f>IF(OR(AF6=1,AG6=1),1,"")</f>
        <v>1</v>
      </c>
      <c r="AF6" s="275"/>
      <c r="AG6" s="275">
        <v>1</v>
      </c>
      <c r="AH6" s="276" t="e">
        <f>IF(AND(Q6&gt;0,AE6=1,#REF!=""),100,0)</f>
        <v>#REF!</v>
      </c>
      <c r="AI6" s="275">
        <f>IF(OR(AJ6=1,AK6=1),1,"")</f>
        <v>1</v>
      </c>
      <c r="AJ6" s="275">
        <v>1</v>
      </c>
      <c r="AK6" s="275"/>
      <c r="AL6" s="276">
        <f t="shared" ref="AL6:AL10" si="3">IF(AND(Q6&gt;0,AE6=1,AI6=1),100,0)</f>
        <v>100</v>
      </c>
      <c r="AM6" s="275">
        <f>IF(AU6&gt;=4,1,"")</f>
        <v>1</v>
      </c>
      <c r="AN6" s="275"/>
      <c r="AO6" s="275"/>
      <c r="AP6" s="275">
        <v>1</v>
      </c>
      <c r="AQ6" s="275">
        <v>2</v>
      </c>
      <c r="AR6" s="275"/>
      <c r="AS6" s="275">
        <v>1</v>
      </c>
      <c r="AT6" s="275">
        <v>1</v>
      </c>
      <c r="AU6" s="275">
        <f>SUM(AN6:AT6)</f>
        <v>5</v>
      </c>
      <c r="AV6" s="276">
        <f>IF(AU6&gt;=4,200,0)</f>
        <v>200</v>
      </c>
      <c r="AW6" s="278" t="s">
        <v>394</v>
      </c>
      <c r="AX6" s="278" t="s">
        <v>395</v>
      </c>
      <c r="AY6" s="278" t="s">
        <v>395</v>
      </c>
      <c r="AZ6" s="276" t="e">
        <f>IF(OR(D6="新築",D6="登録"),MIN(1000,Q6+T6+W6+AA6+AH6+AL6+AV6),0)</f>
        <v>#REF!</v>
      </c>
      <c r="BA6" s="278"/>
      <c r="BB6" s="279"/>
      <c r="BC6" s="278"/>
      <c r="BD6" s="276">
        <f>MIN(ROUNDDOWN(BB6,1)*20+INT(BC6)*2,250)</f>
        <v>0</v>
      </c>
      <c r="BE6" s="275" t="str">
        <f>IF(OR(BF6=1,BG6=1),1,"")</f>
        <v/>
      </c>
      <c r="BF6" s="280"/>
      <c r="BG6" s="280"/>
      <c r="BH6" s="276" t="e">
        <f>IF(AND(BD6&gt;0,BE6=1,#REF!=""),100,0)</f>
        <v>#REF!</v>
      </c>
      <c r="BI6" s="275" t="str">
        <f>IF(OR(BJ6=1,BK6=1,BL6=1),1,"")</f>
        <v/>
      </c>
      <c r="BJ6" s="278"/>
      <c r="BK6" s="278"/>
      <c r="BL6" s="278"/>
      <c r="BM6" s="276">
        <f>IF(AND(BD6&gt;0,BI6=1),100,IF(AND(BD6&gt;0,BL6=1),100,0))</f>
        <v>0</v>
      </c>
      <c r="BN6" s="275" t="str">
        <f>IF(OR(AND(BO6&gt;=7,BP6&gt;=7,BO6+BP6&gt;=14),AND(BO6&gt;=7,BQ6&gt;=3,BO6+BQ6&gt;=10),AND(BP6&gt;=7,BQ6&gt;=3,BP6+BQ6&gt;=10)),1,"")</f>
        <v/>
      </c>
      <c r="BO6" s="278"/>
      <c r="BP6" s="278"/>
      <c r="BQ6" s="278"/>
      <c r="BR6" s="276">
        <f>IF(AND(BN6=1,BD6&gt;0),MIN(150,ROUNDDOWN(BO6*11+BP6*13+BQ6*19,0)),0)</f>
        <v>0</v>
      </c>
      <c r="BS6" s="278"/>
      <c r="BT6" s="276">
        <f>IF(D6="改修",MIN(500,BD6+BH6+BM6+BR6,INT(CM6*10/2)),0)</f>
        <v>0</v>
      </c>
      <c r="BU6" s="281"/>
      <c r="BV6" s="282" t="s">
        <v>9</v>
      </c>
      <c r="BW6" s="283"/>
      <c r="BX6" s="282" t="s">
        <v>396</v>
      </c>
      <c r="BY6" s="283"/>
      <c r="BZ6" s="284" t="s">
        <v>8</v>
      </c>
      <c r="CA6" s="281"/>
      <c r="CB6" s="282" t="s">
        <v>9</v>
      </c>
      <c r="CC6" s="283"/>
      <c r="CD6" s="282" t="s">
        <v>396</v>
      </c>
      <c r="CE6" s="283"/>
      <c r="CF6" s="284" t="s">
        <v>8</v>
      </c>
      <c r="CG6" s="271">
        <v>43200</v>
      </c>
      <c r="CH6" s="285" t="e">
        <f>AZ6+BT6</f>
        <v>#REF!</v>
      </c>
      <c r="CI6" s="272" t="s">
        <v>397</v>
      </c>
      <c r="CJ6" s="272" t="s">
        <v>398</v>
      </c>
      <c r="CK6" s="268" t="s">
        <v>399</v>
      </c>
      <c r="CL6" s="272">
        <v>120</v>
      </c>
      <c r="CM6" s="286">
        <v>2500</v>
      </c>
      <c r="CN6" s="273" t="s">
        <v>400</v>
      </c>
      <c r="CO6" s="271"/>
      <c r="CP6" s="270"/>
      <c r="CQ6" s="270"/>
      <c r="CR6" s="271"/>
      <c r="CS6" s="271"/>
      <c r="CT6" s="270"/>
      <c r="CU6" s="270"/>
      <c r="CV6" s="270"/>
      <c r="CW6" s="270"/>
      <c r="CX6" s="270"/>
      <c r="CY6" s="270"/>
      <c r="CZ6" s="270"/>
      <c r="DA6" s="287"/>
      <c r="DB6" s="270"/>
      <c r="DC6" s="275">
        <v>30</v>
      </c>
      <c r="DD6" s="275">
        <v>25</v>
      </c>
      <c r="DE6" s="280" t="s">
        <v>401</v>
      </c>
      <c r="DF6" s="276">
        <f t="shared" ref="DF6:DF10" si="4">IF(DD6&gt;=10,150,0)</f>
        <v>150</v>
      </c>
      <c r="DG6" s="276">
        <f>MIN(Q6,DF6)</f>
        <v>150</v>
      </c>
      <c r="DH6" s="275">
        <f>IF(DI6&gt;=1,1,"")</f>
        <v>1</v>
      </c>
      <c r="DI6" s="275">
        <v>18</v>
      </c>
      <c r="DJ6" s="280" t="s">
        <v>401</v>
      </c>
      <c r="DK6" s="277">
        <f>IF(DF6=0,0,IF(DI6&gt;=25,MIN(250,ROUNDDOWN(DI6*10,-1)),IF(DI6&gt;=20,MIN(200,ROUNDDOWN(DI6*10,-1)),IF(DI6&gt;=15,MIN(150,ROUNDDOWN(DI6*10,-1)),MIN(100,ROUNDDOWN(DI6*10,-1))))))</f>
        <v>150</v>
      </c>
      <c r="DL6" s="276">
        <f>MIN(T6,DK6)</f>
        <v>150</v>
      </c>
      <c r="DM6" s="275">
        <f>IF(DN6&gt;=1,1,"")</f>
        <v>1</v>
      </c>
      <c r="DN6" s="275">
        <v>10</v>
      </c>
      <c r="DO6" s="280" t="s">
        <v>402</v>
      </c>
      <c r="DP6" s="277">
        <f>IF(AND(DF6&gt;0,DN6&gt;=1),MIN(INT(DN6)*20,200),0)</f>
        <v>200</v>
      </c>
      <c r="DQ6" s="276">
        <f>MIN(W6,DP6)</f>
        <v>140</v>
      </c>
      <c r="DR6" s="275" t="str">
        <f>IF(DS6&gt;=1,1,"")</f>
        <v/>
      </c>
      <c r="DS6" s="275"/>
      <c r="DT6" s="275">
        <f t="shared" ref="DT6:DT10" si="5">IF(AND(DS6&gt;=1,DF6&gt;=1),50,0)</f>
        <v>0</v>
      </c>
      <c r="DU6" s="275">
        <f>IF(DV6&gt;=1,1,"")</f>
        <v>1</v>
      </c>
      <c r="DV6" s="275">
        <v>15</v>
      </c>
      <c r="DW6" s="280" t="s">
        <v>403</v>
      </c>
      <c r="DX6" s="275">
        <f>IF(AND(DF6&gt;0,DV6&gt;=1),MIN(INT(DV6)*2,150),0)</f>
        <v>30</v>
      </c>
      <c r="DY6" s="276">
        <f t="shared" ref="DY6:DY10" si="6">IF(OR(DX6&gt;0,DT6&gt;0),MIN(DX6+DT6,150),0)</f>
        <v>30</v>
      </c>
      <c r="DZ6" s="276">
        <f>MIN(AA6,DY6)</f>
        <v>30</v>
      </c>
      <c r="EA6" s="275">
        <f>IF(OR(EB6=1,EC6=1),1,"")</f>
        <v>1</v>
      </c>
      <c r="EB6" s="275">
        <v>1</v>
      </c>
      <c r="EC6" s="275"/>
      <c r="ED6" s="276" t="e">
        <f>IF(AND(DF6&gt;0,EA6=1,#REF!=""),100,0)</f>
        <v>#REF!</v>
      </c>
      <c r="EE6" s="276" t="e">
        <f>MIN(AH6,ED6)</f>
        <v>#REF!</v>
      </c>
      <c r="EF6" s="275">
        <f>IF(OR(EG6=1,EH6=1),1,"")</f>
        <v>1</v>
      </c>
      <c r="EG6" s="275">
        <v>1</v>
      </c>
      <c r="EH6" s="275"/>
      <c r="EI6" s="276">
        <f t="shared" ref="EI6:EI10" si="7">IF(AND(DF6&gt;0,EA6=1,EF6=1),100,0)</f>
        <v>100</v>
      </c>
      <c r="EJ6" s="276">
        <f>MIN(AL6,EI6)</f>
        <v>100</v>
      </c>
      <c r="EK6" s="275">
        <f>IF(ES6&gt;=4,1,"")</f>
        <v>1</v>
      </c>
      <c r="EL6" s="275"/>
      <c r="EM6" s="275"/>
      <c r="EN6" s="275"/>
      <c r="EO6" s="275">
        <v>2</v>
      </c>
      <c r="EP6" s="275"/>
      <c r="EQ6" s="275">
        <v>1</v>
      </c>
      <c r="ER6" s="275">
        <v>1</v>
      </c>
      <c r="ES6" s="275">
        <f>SUM(EL6:ER6)</f>
        <v>4</v>
      </c>
      <c r="ET6" s="276">
        <f>IF(ES6&gt;=4,200,0)</f>
        <v>200</v>
      </c>
      <c r="EU6" s="276">
        <f>MIN(AV6,ET6)</f>
        <v>200</v>
      </c>
      <c r="EV6" s="278" t="s">
        <v>394</v>
      </c>
      <c r="EW6" s="278"/>
      <c r="EX6" s="278"/>
      <c r="EY6" s="278"/>
      <c r="EZ6" s="278" t="s">
        <v>404</v>
      </c>
      <c r="FA6" s="276" t="e">
        <f>IF(D6="新築",MIN(1500,CH6,MIN(DG6+DL6+DQ6+DZ6+EE6+EJ6+EU6,1000)),0)</f>
        <v>#REF!</v>
      </c>
      <c r="FB6" s="276" t="e">
        <f t="shared" ref="FB6:FB10" si="8">AZ6-FA6</f>
        <v>#REF!</v>
      </c>
      <c r="FC6" s="278"/>
      <c r="FD6" s="288"/>
      <c r="FE6" s="288"/>
      <c r="FF6" s="278"/>
      <c r="FG6" s="278"/>
      <c r="FH6" s="276">
        <f>MIN(ROUNDDOWN(FD6,1)*20+INT(FF6)*2,250)</f>
        <v>0</v>
      </c>
      <c r="FI6" s="276">
        <f t="shared" ref="FI6:FI10" si="9">MIN(BD6,FH6)</f>
        <v>0</v>
      </c>
      <c r="FJ6" s="275" t="str">
        <f>IF(OR(FK6=1,FL6=1),1,"")</f>
        <v/>
      </c>
      <c r="FK6" s="280"/>
      <c r="FL6" s="280"/>
      <c r="FM6" s="276" t="e">
        <f>IF(AND(FH6&gt;0,FJ6=1,#REF!=""),100,0)</f>
        <v>#REF!</v>
      </c>
      <c r="FN6" s="276" t="e">
        <f t="shared" ref="FN6:FN10" si="10">MIN(BH6,FM6)</f>
        <v>#REF!</v>
      </c>
      <c r="FO6" s="275" t="str">
        <f>IF(OR(FP6=1,FQ6=1,FR6=1),1,"")</f>
        <v/>
      </c>
      <c r="FP6" s="278"/>
      <c r="FQ6" s="278"/>
      <c r="FR6" s="278"/>
      <c r="FS6" s="276">
        <f>IF(AND(FH6&gt;0,FO6=1),100,IF(AND(FH6&gt;0,FR6=1),100,0))</f>
        <v>0</v>
      </c>
      <c r="FT6" s="276">
        <f t="shared" ref="FT6:FT10" si="11">MIN(BM6,FS6)</f>
        <v>0</v>
      </c>
      <c r="FU6" s="275" t="str">
        <f>IF(OR(AND(FV6&gt;=7,FW6&gt;=7,FV6+FW6&gt;=14),AND(FV6&gt;=7,FX6&gt;=3,FV6+FX6&gt;=10),AND(FW6&gt;=7,FX6&gt;=3,FW6+FX6&gt;=10)),1,"")</f>
        <v/>
      </c>
      <c r="FV6" s="278"/>
      <c r="FW6" s="278"/>
      <c r="FX6" s="278"/>
      <c r="FY6" s="276">
        <f>IF(AND(FU6=1,FH6&gt;0),MIN(150,ROUNDDOWN(FV6*11+FW6*13+FX6*19,0)),0)</f>
        <v>0</v>
      </c>
      <c r="FZ6" s="276">
        <f t="shared" ref="FZ6:FZ10" si="12">MIN(BR6,FY6)</f>
        <v>0</v>
      </c>
      <c r="GA6" s="278"/>
      <c r="GB6" s="278"/>
      <c r="GC6" s="276">
        <f>IF(D6="改修",MIN(500,FI6+FN6+FT6+FZ6,INT(CM6*10/2)),0)</f>
        <v>0</v>
      </c>
      <c r="GD6" s="276">
        <f t="shared" ref="GD6:GD10" si="13">BT6-GC6</f>
        <v>0</v>
      </c>
      <c r="GE6" s="289" t="s">
        <v>405</v>
      </c>
      <c r="GF6" s="290">
        <v>43374</v>
      </c>
      <c r="GG6" s="290">
        <v>43378</v>
      </c>
      <c r="GH6" s="290">
        <v>43391</v>
      </c>
      <c r="GI6" s="285" t="e">
        <f>IF(D6="新築",AZ6,IF(D6="改修",BT6,0))</f>
        <v>#REF!</v>
      </c>
      <c r="GJ6" s="285" t="e">
        <f t="shared" ref="GJ6:GJ11" si="14">IF(D6="新築",FA6,IF(D6="改修",GC6,0))</f>
        <v>#REF!</v>
      </c>
      <c r="GK6" s="285" t="e">
        <f>GI6-GJ6</f>
        <v>#REF!</v>
      </c>
      <c r="GL6" s="287"/>
      <c r="GM6" s="287"/>
      <c r="GN6" s="287"/>
      <c r="GO6" s="287"/>
      <c r="GP6" s="287"/>
      <c r="GQ6" s="287"/>
      <c r="GR6" s="287"/>
      <c r="GS6" s="287"/>
      <c r="GT6" s="287"/>
      <c r="GU6" s="287"/>
      <c r="GV6" s="287"/>
      <c r="GW6" s="287"/>
      <c r="GX6" s="287"/>
      <c r="GY6" s="287"/>
      <c r="GZ6" s="287"/>
      <c r="HA6" s="287"/>
      <c r="HB6" s="287"/>
      <c r="HC6" s="287"/>
      <c r="HD6" s="287"/>
      <c r="HE6" s="287"/>
      <c r="HF6" s="287"/>
      <c r="HG6" s="287"/>
      <c r="HH6" s="287"/>
      <c r="HI6" s="287"/>
      <c r="HJ6" s="287"/>
      <c r="HK6" s="287"/>
      <c r="HL6" s="287"/>
      <c r="HM6" s="287"/>
      <c r="HN6" s="287"/>
      <c r="HO6" s="287"/>
      <c r="HP6" s="287"/>
      <c r="HQ6" s="287"/>
      <c r="HR6" s="287"/>
      <c r="HS6" s="287"/>
      <c r="HT6" s="287"/>
      <c r="HU6" s="287"/>
      <c r="HV6" s="287"/>
      <c r="HW6" s="287"/>
      <c r="HX6" s="287"/>
      <c r="HY6" s="287"/>
      <c r="HZ6" s="287"/>
      <c r="IA6" s="287"/>
      <c r="IB6" s="287"/>
      <c r="IC6" s="287"/>
      <c r="ID6" s="287"/>
      <c r="IE6" s="287"/>
      <c r="IF6" s="287"/>
      <c r="IG6" s="287"/>
      <c r="IH6" s="287"/>
      <c r="II6" s="287"/>
      <c r="IJ6" s="287"/>
      <c r="IK6" s="287"/>
      <c r="IL6" s="287"/>
      <c r="IM6" s="287"/>
      <c r="IN6" s="287"/>
      <c r="IO6" s="287"/>
      <c r="IP6" s="287"/>
      <c r="IQ6" s="287"/>
      <c r="IR6" s="287"/>
      <c r="IS6" s="287"/>
      <c r="IT6" s="287"/>
      <c r="IU6" s="287"/>
      <c r="IV6" s="287"/>
      <c r="IW6" s="287"/>
      <c r="IX6" s="287"/>
      <c r="IY6" s="287"/>
      <c r="IZ6" s="287"/>
      <c r="JA6" s="287"/>
      <c r="JB6" s="287"/>
      <c r="JC6" s="287"/>
      <c r="JD6" s="287"/>
      <c r="JE6" s="287"/>
      <c r="JF6" s="287"/>
      <c r="JG6" s="287"/>
      <c r="JH6" s="287"/>
      <c r="JI6" s="287"/>
      <c r="JJ6" s="287"/>
      <c r="JK6" s="287"/>
      <c r="JL6" s="287"/>
      <c r="JM6" s="287"/>
      <c r="JN6" s="287"/>
      <c r="JO6" s="287"/>
      <c r="JP6" s="287"/>
      <c r="JQ6" s="287"/>
      <c r="JR6" s="287"/>
      <c r="JS6" s="287"/>
      <c r="JT6" s="287"/>
      <c r="JU6" s="287"/>
      <c r="JV6" s="287"/>
      <c r="JW6" s="287"/>
      <c r="JX6" s="287"/>
      <c r="JY6" s="287"/>
      <c r="JZ6" s="287"/>
      <c r="KA6" s="287"/>
      <c r="KB6" s="287"/>
      <c r="KC6" s="287"/>
      <c r="KD6" s="287"/>
      <c r="KE6" s="287"/>
      <c r="KF6" s="287"/>
      <c r="KG6" s="287"/>
      <c r="KH6" s="287"/>
      <c r="KI6" s="287"/>
      <c r="KJ6" s="287"/>
      <c r="KK6" s="287"/>
      <c r="KL6" s="287"/>
      <c r="KM6" s="287"/>
      <c r="KN6" s="287"/>
      <c r="KO6" s="287"/>
      <c r="KP6" s="287"/>
      <c r="KQ6" s="287"/>
      <c r="KR6" s="287"/>
      <c r="KS6" s="287"/>
      <c r="KT6" s="287"/>
      <c r="KU6" s="287"/>
      <c r="KV6" s="287"/>
      <c r="KW6" s="287"/>
      <c r="KX6" s="287"/>
      <c r="KY6" s="287"/>
      <c r="KZ6" s="287"/>
      <c r="LA6" s="287"/>
      <c r="LB6" s="287"/>
      <c r="LC6" s="287"/>
      <c r="LD6" s="287"/>
      <c r="LE6" s="287"/>
      <c r="LF6" s="287"/>
      <c r="LG6" s="287"/>
      <c r="LH6" s="287"/>
      <c r="LI6" s="287"/>
      <c r="LJ6" s="287"/>
      <c r="LK6" s="287"/>
      <c r="LL6" s="287"/>
      <c r="LM6" s="287"/>
      <c r="LN6" s="287"/>
      <c r="LO6" s="287"/>
      <c r="LP6" s="287"/>
      <c r="LQ6" s="287"/>
      <c r="LR6" s="287"/>
      <c r="LS6" s="287"/>
      <c r="LT6" s="287"/>
      <c r="LU6" s="287"/>
      <c r="LV6" s="287"/>
      <c r="LW6" s="287"/>
      <c r="LX6" s="287"/>
      <c r="LY6" s="287"/>
      <c r="LZ6" s="287"/>
      <c r="MA6" s="287"/>
      <c r="MB6" s="287"/>
      <c r="MC6" s="287"/>
      <c r="MD6" s="287"/>
      <c r="ME6" s="287"/>
      <c r="MF6" s="287"/>
      <c r="MG6" s="287"/>
      <c r="MH6" s="287"/>
      <c r="MI6" s="287"/>
      <c r="MJ6" s="287"/>
      <c r="MK6" s="287"/>
      <c r="ML6" s="287"/>
      <c r="MM6" s="287"/>
      <c r="MN6" s="287"/>
      <c r="MO6" s="287"/>
      <c r="MP6" s="287"/>
      <c r="MQ6" s="287"/>
      <c r="MR6" s="287"/>
      <c r="MS6" s="287"/>
      <c r="MT6" s="287"/>
      <c r="MU6" s="287"/>
      <c r="MV6" s="287"/>
      <c r="MW6" s="287"/>
      <c r="MX6" s="287"/>
      <c r="MY6" s="287"/>
      <c r="MZ6" s="287"/>
      <c r="NA6" s="287"/>
      <c r="NB6" s="287"/>
      <c r="NC6" s="287"/>
      <c r="ND6" s="287"/>
      <c r="NE6" s="287"/>
      <c r="NF6" s="287"/>
      <c r="NG6" s="287"/>
      <c r="NH6" s="287"/>
      <c r="NI6" s="287"/>
      <c r="NJ6" s="287"/>
      <c r="NK6" s="287"/>
      <c r="NL6" s="287"/>
      <c r="NM6" s="287"/>
      <c r="NN6" s="287"/>
      <c r="NO6" s="287"/>
      <c r="NP6" s="287"/>
      <c r="NQ6" s="287"/>
      <c r="NR6" s="287"/>
      <c r="NS6" s="287"/>
      <c r="NT6" s="287"/>
      <c r="NU6" s="287"/>
      <c r="NV6" s="287"/>
      <c r="NW6" s="287"/>
      <c r="NX6" s="287"/>
      <c r="NY6" s="287"/>
      <c r="NZ6" s="287"/>
      <c r="OA6" s="287"/>
      <c r="OB6" s="287"/>
      <c r="OC6" s="287"/>
      <c r="OD6" s="287"/>
      <c r="OE6" s="287"/>
      <c r="OF6" s="287"/>
      <c r="OG6" s="287"/>
      <c r="OH6" s="287"/>
      <c r="OI6" s="287"/>
      <c r="OJ6" s="287"/>
      <c r="OK6" s="287"/>
      <c r="OL6" s="287"/>
      <c r="OM6" s="287"/>
      <c r="ON6" s="287"/>
      <c r="OO6" s="287"/>
      <c r="OP6" s="287"/>
      <c r="OQ6" s="287"/>
      <c r="OR6" s="287"/>
      <c r="OS6" s="287"/>
      <c r="OT6" s="287"/>
      <c r="OU6" s="287"/>
      <c r="OV6" s="287"/>
      <c r="OW6" s="287"/>
      <c r="OX6" s="287"/>
      <c r="OY6" s="287"/>
      <c r="OZ6" s="287"/>
      <c r="PA6" s="287"/>
      <c r="PB6" s="287"/>
      <c r="PC6" s="287"/>
      <c r="PD6" s="287"/>
      <c r="PE6" s="287"/>
      <c r="PF6" s="287"/>
      <c r="PG6" s="287"/>
      <c r="PH6" s="287"/>
      <c r="PI6" s="287"/>
      <c r="PJ6" s="287"/>
      <c r="PK6" s="287"/>
      <c r="PL6" s="287"/>
      <c r="PM6" s="287"/>
      <c r="PN6" s="287"/>
      <c r="PO6" s="287"/>
      <c r="PP6" s="287"/>
      <c r="PQ6" s="287"/>
      <c r="PR6" s="287"/>
      <c r="PS6" s="287"/>
      <c r="PT6" s="287"/>
      <c r="PU6" s="287"/>
      <c r="PV6" s="287"/>
      <c r="PW6" s="287"/>
      <c r="PX6" s="287"/>
      <c r="PY6" s="287"/>
      <c r="PZ6" s="287"/>
      <c r="QA6" s="287"/>
      <c r="QB6" s="287"/>
      <c r="QC6" s="287"/>
      <c r="QD6" s="287"/>
      <c r="QE6" s="287"/>
      <c r="QF6" s="287"/>
      <c r="QG6" s="287"/>
      <c r="QH6" s="287"/>
      <c r="QI6" s="287"/>
      <c r="QJ6" s="287"/>
      <c r="QK6" s="287"/>
      <c r="QL6" s="287"/>
      <c r="QM6" s="287"/>
      <c r="QN6" s="287"/>
      <c r="QO6" s="287"/>
      <c r="QP6" s="287"/>
      <c r="QQ6" s="287"/>
      <c r="QR6" s="287"/>
      <c r="QS6" s="287"/>
      <c r="QT6" s="287"/>
      <c r="QU6" s="287"/>
      <c r="QV6" s="287"/>
      <c r="QW6" s="287"/>
      <c r="QX6" s="287"/>
      <c r="QY6" s="287"/>
      <c r="QZ6" s="287"/>
      <c r="RA6" s="287"/>
      <c r="RB6" s="287"/>
      <c r="RC6" s="287"/>
      <c r="RD6" s="287"/>
      <c r="RE6" s="287"/>
      <c r="RF6" s="287"/>
      <c r="RG6" s="287"/>
      <c r="RH6" s="287"/>
      <c r="RI6" s="287"/>
      <c r="RJ6" s="287"/>
      <c r="RK6" s="287"/>
      <c r="RL6" s="287"/>
      <c r="RM6" s="287"/>
      <c r="RN6" s="287"/>
      <c r="RO6" s="287"/>
      <c r="RP6" s="287"/>
      <c r="RQ6" s="287"/>
      <c r="RR6" s="287"/>
      <c r="RS6" s="287"/>
      <c r="RT6" s="287"/>
      <c r="RU6" s="287"/>
      <c r="RV6" s="287"/>
      <c r="RW6" s="287"/>
      <c r="RX6" s="287"/>
      <c r="RY6" s="287"/>
      <c r="RZ6" s="287"/>
      <c r="SA6" s="287"/>
      <c r="SB6" s="287"/>
      <c r="SC6" s="287"/>
      <c r="SD6" s="287"/>
      <c r="SE6" s="287"/>
      <c r="SF6" s="287"/>
      <c r="SG6" s="287"/>
      <c r="SH6" s="287"/>
      <c r="SI6" s="287"/>
      <c r="SJ6" s="287"/>
      <c r="SK6" s="287"/>
      <c r="SL6" s="287"/>
      <c r="SM6" s="287"/>
      <c r="SN6" s="287"/>
      <c r="SO6" s="287"/>
      <c r="SP6" s="287"/>
      <c r="SQ6" s="287"/>
      <c r="SR6" s="287"/>
      <c r="SS6" s="287"/>
      <c r="ST6" s="287"/>
      <c r="SU6" s="287"/>
      <c r="SV6" s="287"/>
      <c r="SW6" s="287"/>
      <c r="SX6" s="287"/>
      <c r="SY6" s="287"/>
      <c r="SZ6" s="287"/>
      <c r="TA6" s="287"/>
      <c r="TB6" s="287"/>
      <c r="TC6" s="287"/>
      <c r="TD6" s="287"/>
      <c r="TE6" s="287"/>
      <c r="TF6" s="287"/>
      <c r="TG6" s="287"/>
      <c r="TH6" s="287"/>
      <c r="TI6" s="287"/>
      <c r="TJ6" s="287"/>
      <c r="TK6" s="287"/>
      <c r="TL6" s="287"/>
      <c r="TM6" s="287"/>
      <c r="TN6" s="287"/>
      <c r="TO6" s="287"/>
      <c r="TP6" s="287"/>
      <c r="TQ6" s="287"/>
      <c r="TR6" s="287"/>
      <c r="TS6" s="287"/>
      <c r="TT6" s="287"/>
      <c r="TU6" s="287"/>
      <c r="TV6" s="287"/>
      <c r="TW6" s="287"/>
      <c r="TX6" s="287"/>
      <c r="TY6" s="287"/>
      <c r="TZ6" s="287"/>
      <c r="UA6" s="287"/>
      <c r="UB6" s="287"/>
      <c r="UC6" s="287"/>
      <c r="UD6" s="287"/>
      <c r="UE6" s="287"/>
      <c r="UF6" s="287"/>
      <c r="UG6" s="287"/>
      <c r="UH6" s="287"/>
      <c r="UI6" s="287"/>
      <c r="UJ6" s="287"/>
      <c r="UK6" s="287"/>
      <c r="UL6" s="287"/>
      <c r="UM6" s="287"/>
      <c r="UN6" s="287"/>
      <c r="UO6" s="287"/>
      <c r="UP6" s="287"/>
      <c r="UQ6" s="287"/>
      <c r="UR6" s="287"/>
      <c r="US6" s="287"/>
      <c r="UT6" s="287"/>
      <c r="UU6" s="287"/>
      <c r="UV6" s="287"/>
      <c r="UW6" s="287"/>
      <c r="UX6" s="287"/>
      <c r="UY6" s="287"/>
      <c r="UZ6" s="287"/>
      <c r="VA6" s="287"/>
      <c r="VB6" s="287"/>
      <c r="VC6" s="287"/>
      <c r="VD6" s="287"/>
      <c r="VE6" s="287"/>
      <c r="VF6" s="287"/>
      <c r="VG6" s="287"/>
      <c r="VH6" s="287"/>
      <c r="VI6" s="287"/>
      <c r="VJ6" s="287"/>
      <c r="VK6" s="287"/>
      <c r="VL6" s="287"/>
      <c r="VM6" s="287"/>
      <c r="VN6" s="287"/>
      <c r="VO6" s="287"/>
      <c r="VP6" s="287"/>
      <c r="VQ6" s="287"/>
      <c r="VR6" s="287"/>
      <c r="VS6" s="287"/>
      <c r="VT6" s="287"/>
      <c r="VU6" s="287"/>
      <c r="VV6" s="287"/>
      <c r="VW6" s="287"/>
      <c r="VX6" s="287"/>
      <c r="VY6" s="287"/>
      <c r="VZ6" s="287"/>
      <c r="WA6" s="287"/>
      <c r="WB6" s="287"/>
      <c r="WC6" s="287"/>
      <c r="WD6" s="287"/>
      <c r="WE6" s="287"/>
      <c r="WF6" s="287"/>
      <c r="WG6" s="287"/>
      <c r="WH6" s="287"/>
      <c r="WI6" s="287"/>
      <c r="WJ6" s="287"/>
      <c r="WK6" s="287"/>
      <c r="WL6" s="287"/>
      <c r="WM6" s="287"/>
      <c r="WN6" s="287"/>
      <c r="WO6" s="287"/>
      <c r="WP6" s="287"/>
      <c r="WQ6" s="287"/>
      <c r="WR6" s="287"/>
      <c r="WS6" s="287"/>
      <c r="WT6" s="287"/>
      <c r="WU6" s="287"/>
      <c r="WV6" s="287"/>
      <c r="WW6" s="287"/>
      <c r="WX6" s="287"/>
      <c r="WY6" s="287"/>
      <c r="WZ6" s="287"/>
      <c r="XA6" s="287"/>
      <c r="XB6" s="287"/>
      <c r="XC6" s="287"/>
      <c r="XD6" s="287"/>
      <c r="XE6" s="287"/>
      <c r="XF6" s="287"/>
      <c r="XG6" s="287"/>
      <c r="XH6" s="287"/>
      <c r="XI6" s="287"/>
      <c r="XJ6" s="287"/>
      <c r="XK6" s="287"/>
      <c r="XL6" s="287"/>
      <c r="XM6" s="287"/>
      <c r="XN6" s="287"/>
      <c r="XO6" s="287"/>
      <c r="XP6" s="287"/>
      <c r="XQ6" s="287"/>
      <c r="XR6" s="287"/>
      <c r="XS6" s="287"/>
      <c r="XT6" s="287"/>
      <c r="XU6" s="287"/>
      <c r="XV6" s="287"/>
      <c r="XW6" s="287"/>
      <c r="XX6" s="287"/>
      <c r="XY6" s="287"/>
      <c r="XZ6" s="287"/>
      <c r="YA6" s="287"/>
      <c r="YB6" s="287"/>
      <c r="YC6" s="287"/>
      <c r="YD6" s="287"/>
      <c r="YE6" s="287"/>
      <c r="YF6" s="287"/>
      <c r="YG6" s="287"/>
      <c r="YH6" s="287"/>
      <c r="YI6" s="287"/>
      <c r="YJ6" s="287"/>
      <c r="YK6" s="287"/>
      <c r="YL6" s="287"/>
      <c r="YM6" s="287"/>
      <c r="YN6" s="287"/>
      <c r="YO6" s="287"/>
      <c r="YP6" s="287"/>
      <c r="YQ6" s="287"/>
      <c r="YR6" s="287"/>
      <c r="YS6" s="287"/>
      <c r="YT6" s="287"/>
      <c r="YU6" s="287"/>
      <c r="YV6" s="287"/>
      <c r="YW6" s="287"/>
      <c r="YX6" s="287"/>
      <c r="YY6" s="287"/>
      <c r="YZ6" s="287"/>
      <c r="ZA6" s="287"/>
      <c r="ZB6" s="287"/>
      <c r="ZC6" s="287"/>
      <c r="ZD6" s="287"/>
      <c r="ZE6" s="287"/>
      <c r="ZF6" s="287"/>
      <c r="ZG6" s="287"/>
      <c r="ZH6" s="287"/>
      <c r="ZI6" s="287"/>
      <c r="ZJ6" s="287"/>
      <c r="ZK6" s="287"/>
      <c r="ZL6" s="287"/>
      <c r="ZM6" s="287"/>
      <c r="ZN6" s="287"/>
      <c r="ZO6" s="287"/>
      <c r="ZP6" s="287"/>
      <c r="ZQ6" s="287"/>
      <c r="ZR6" s="287"/>
      <c r="ZS6" s="287"/>
      <c r="ZT6" s="287"/>
      <c r="ZU6" s="287"/>
      <c r="ZV6" s="287"/>
      <c r="ZW6" s="287"/>
      <c r="ZX6" s="287"/>
      <c r="ZY6" s="287"/>
      <c r="ZZ6" s="287"/>
      <c r="AAA6" s="287"/>
      <c r="AAB6" s="287"/>
      <c r="AAC6" s="287"/>
      <c r="AAD6" s="287"/>
      <c r="AAE6" s="287"/>
      <c r="AAF6" s="287"/>
      <c r="AAG6" s="287"/>
      <c r="AAH6" s="287"/>
      <c r="AAI6" s="287"/>
      <c r="AAJ6" s="287"/>
      <c r="AAK6" s="287"/>
      <c r="AAL6" s="287"/>
      <c r="AAM6" s="287"/>
      <c r="AAN6" s="287"/>
      <c r="AAO6" s="287"/>
      <c r="AAP6" s="287"/>
      <c r="AAQ6" s="287"/>
      <c r="AAR6" s="287"/>
      <c r="AAS6" s="287"/>
      <c r="AAT6" s="287"/>
      <c r="AAU6" s="287"/>
      <c r="AAV6" s="287"/>
      <c r="AAW6" s="287"/>
      <c r="AAX6" s="287"/>
      <c r="AAY6" s="287"/>
      <c r="AAZ6" s="287"/>
      <c r="ABA6" s="287"/>
      <c r="ABB6" s="287"/>
      <c r="ABC6" s="287"/>
      <c r="ABD6" s="287"/>
      <c r="ABE6" s="287"/>
      <c r="ABF6" s="287"/>
      <c r="ABG6" s="287"/>
      <c r="ABH6" s="287"/>
      <c r="ABI6" s="287"/>
      <c r="ABJ6" s="287"/>
      <c r="ABK6" s="287"/>
      <c r="ABL6" s="287"/>
      <c r="ABM6" s="287"/>
      <c r="ABN6" s="287"/>
      <c r="ABO6" s="287"/>
      <c r="ABP6" s="287"/>
      <c r="ABQ6" s="287"/>
      <c r="ABR6" s="287"/>
      <c r="ABS6" s="287"/>
      <c r="ABT6" s="287"/>
      <c r="ABU6" s="287"/>
      <c r="ABV6" s="287"/>
      <c r="ABW6" s="287"/>
      <c r="ABX6" s="287"/>
      <c r="ABY6" s="287"/>
      <c r="ABZ6" s="287"/>
      <c r="ACA6" s="287"/>
      <c r="ACB6" s="287"/>
      <c r="ACC6" s="287"/>
      <c r="ACD6" s="287"/>
      <c r="ACE6" s="287"/>
      <c r="ACF6" s="287"/>
      <c r="ACG6" s="287"/>
      <c r="ACH6" s="287"/>
      <c r="ACI6" s="287"/>
      <c r="ACJ6" s="287"/>
      <c r="ACK6" s="287"/>
      <c r="ACL6" s="287"/>
      <c r="ACM6" s="287"/>
      <c r="ACN6" s="287"/>
      <c r="ACO6" s="287"/>
      <c r="ACP6" s="287"/>
      <c r="ACQ6" s="287"/>
      <c r="ACR6" s="287"/>
      <c r="ACS6" s="287"/>
      <c r="ACT6" s="287"/>
      <c r="ACU6" s="287"/>
      <c r="ACV6" s="287"/>
      <c r="ACW6" s="287"/>
      <c r="ACX6" s="287"/>
      <c r="ACY6" s="287"/>
      <c r="ACZ6" s="287"/>
      <c r="ADA6" s="287"/>
      <c r="ADB6" s="287"/>
      <c r="ADC6" s="287"/>
      <c r="ADD6" s="287"/>
      <c r="ADE6" s="287"/>
      <c r="ADF6" s="287"/>
      <c r="ADG6" s="287"/>
      <c r="ADH6" s="287"/>
      <c r="ADI6" s="287"/>
      <c r="ADJ6" s="287"/>
      <c r="ADK6" s="287"/>
      <c r="ADL6" s="287"/>
      <c r="ADM6" s="287"/>
      <c r="ADN6" s="287"/>
      <c r="ADO6" s="287"/>
      <c r="ADP6" s="287"/>
      <c r="ADQ6" s="287"/>
      <c r="ADR6" s="287"/>
      <c r="ADS6" s="287"/>
      <c r="ADT6" s="287"/>
      <c r="ADU6" s="287"/>
      <c r="ADV6" s="287"/>
      <c r="ADW6" s="287"/>
      <c r="ADX6" s="287"/>
      <c r="ADY6" s="287"/>
      <c r="ADZ6" s="287"/>
      <c r="AEA6" s="287"/>
      <c r="AEB6" s="287"/>
      <c r="AEC6" s="287"/>
      <c r="AED6" s="287"/>
      <c r="AEE6" s="287"/>
      <c r="AEF6" s="287"/>
      <c r="AEG6" s="287"/>
      <c r="AEH6" s="287"/>
      <c r="AEI6" s="287"/>
      <c r="AEJ6" s="287"/>
      <c r="AEK6" s="287"/>
      <c r="AEL6" s="287"/>
      <c r="AEM6" s="287"/>
      <c r="AEN6" s="287"/>
      <c r="AEO6" s="287"/>
      <c r="AEP6" s="287"/>
      <c r="AEQ6" s="287"/>
      <c r="AER6" s="287"/>
      <c r="AES6" s="287"/>
      <c r="AET6" s="287"/>
      <c r="AEU6" s="287"/>
      <c r="AEV6" s="287"/>
      <c r="AEW6" s="287"/>
      <c r="AEX6" s="287"/>
      <c r="AEY6" s="287"/>
      <c r="AEZ6" s="287"/>
      <c r="AFA6" s="287"/>
      <c r="AFB6" s="287"/>
      <c r="AFC6" s="287"/>
      <c r="AFD6" s="287"/>
      <c r="AFE6" s="287"/>
      <c r="AFF6" s="287"/>
      <c r="AFG6" s="287"/>
      <c r="AFH6" s="287"/>
      <c r="AFI6" s="287"/>
      <c r="AFJ6" s="287"/>
      <c r="AFK6" s="287"/>
      <c r="AFL6" s="287"/>
      <c r="AFM6" s="287"/>
      <c r="AFN6" s="287"/>
      <c r="AFO6" s="287"/>
      <c r="AFP6" s="287"/>
      <c r="AFQ6" s="287"/>
      <c r="AFR6" s="287"/>
      <c r="AFS6" s="287"/>
      <c r="AFT6" s="287"/>
      <c r="AFU6" s="287"/>
      <c r="AFV6" s="287"/>
      <c r="AFW6" s="287"/>
      <c r="AFX6" s="287"/>
      <c r="AFY6" s="287"/>
      <c r="AFZ6" s="287"/>
      <c r="AGA6" s="287"/>
      <c r="AGB6" s="287"/>
      <c r="AGC6" s="287"/>
      <c r="AGD6" s="287"/>
      <c r="AGE6" s="287"/>
      <c r="AGF6" s="287"/>
      <c r="AGG6" s="287"/>
      <c r="AGH6" s="287"/>
      <c r="AGI6" s="287"/>
      <c r="AGJ6" s="287"/>
      <c r="AGK6" s="287"/>
      <c r="AGL6" s="287"/>
      <c r="AGM6" s="287"/>
    </row>
    <row r="7" spans="2:871" s="292" customFormat="1" hidden="1" x14ac:dyDescent="0.2">
      <c r="B7" s="266" t="str">
        <f t="shared" si="0"/>
        <v>支払済</v>
      </c>
      <c r="C7" s="267" t="s">
        <v>406</v>
      </c>
      <c r="D7" s="268" t="s">
        <v>407</v>
      </c>
      <c r="E7" s="269" t="str">
        <f t="shared" ref="E7:E11" si="15">IF(D7="登録","登録",IF(D6="登録","建売購入",""))</f>
        <v/>
      </c>
      <c r="F7" s="270"/>
      <c r="G7" s="270"/>
      <c r="H7" s="271">
        <v>43191</v>
      </c>
      <c r="I7" s="272" t="s">
        <v>408</v>
      </c>
      <c r="J7" s="273" t="s">
        <v>409</v>
      </c>
      <c r="K7" s="272"/>
      <c r="L7" s="273" t="s">
        <v>410</v>
      </c>
      <c r="M7" s="273" t="s">
        <v>112</v>
      </c>
      <c r="N7" s="274" t="s">
        <v>411</v>
      </c>
      <c r="O7" s="280"/>
      <c r="P7" s="280"/>
      <c r="Q7" s="276">
        <f>IF(P7&gt;=10,150,0)</f>
        <v>0</v>
      </c>
      <c r="R7" s="275" t="str">
        <f>IF(S7&gt;=1,1,"")</f>
        <v/>
      </c>
      <c r="S7" s="280"/>
      <c r="T7" s="277">
        <f>IF(Q7=0,0,IF(S7&gt;=25,MIN(250,ROUNDDOWN(S7*10,-1)),IF(S7&gt;=20,MIN(200,ROUNDDOWN(S7*10,-1)),IF(S7&gt;=15,MIN(150,ROUNDDOWN(S7*10,-1)),MIN(100,ROUNDDOWN(S7*10,-1))))))</f>
        <v>0</v>
      </c>
      <c r="U7" s="275" t="str">
        <f>IF(V7&gt;=1,1,"")</f>
        <v/>
      </c>
      <c r="V7" s="280"/>
      <c r="W7" s="277">
        <f>IF(AND(Q7&gt;0,V7&gt;=1),MIN(INT(V7)*20,200),0)</f>
        <v>0</v>
      </c>
      <c r="X7" s="275" t="str">
        <f>IF(Y7&gt;=1,1,"")</f>
        <v/>
      </c>
      <c r="Y7" s="280"/>
      <c r="Z7" s="275">
        <f>IF(Y7&gt;=1,50,0)</f>
        <v>0</v>
      </c>
      <c r="AA7" s="276">
        <f t="shared" si="1"/>
        <v>0</v>
      </c>
      <c r="AB7" s="275" t="str">
        <f>IF(AC7&gt;=1,1,"")</f>
        <v/>
      </c>
      <c r="AC7" s="280"/>
      <c r="AD7" s="275">
        <f t="shared" si="2"/>
        <v>0</v>
      </c>
      <c r="AE7" s="275" t="str">
        <f>IF(OR(AF7=1,AG7=1),1,"")</f>
        <v/>
      </c>
      <c r="AF7" s="280"/>
      <c r="AG7" s="280"/>
      <c r="AH7" s="276" t="e">
        <f>IF(AND(Q7&gt;0,AE7=1,#REF!=""),100,0)</f>
        <v>#REF!</v>
      </c>
      <c r="AI7" s="275" t="str">
        <f>IF(OR(AJ7=1,AK7=1),1,"")</f>
        <v/>
      </c>
      <c r="AJ7" s="280"/>
      <c r="AK7" s="280"/>
      <c r="AL7" s="276">
        <f t="shared" si="3"/>
        <v>0</v>
      </c>
      <c r="AM7" s="275" t="str">
        <f>IF(AU7&gt;=4,1,"")</f>
        <v/>
      </c>
      <c r="AN7" s="280"/>
      <c r="AO7" s="280"/>
      <c r="AP7" s="280"/>
      <c r="AQ7" s="280"/>
      <c r="AR7" s="280"/>
      <c r="AS7" s="280"/>
      <c r="AT7" s="280"/>
      <c r="AU7" s="275">
        <f>SUM(AN7:AT7)</f>
        <v>0</v>
      </c>
      <c r="AV7" s="276">
        <f>IF(AU7&gt;=4,200,0)</f>
        <v>0</v>
      </c>
      <c r="AW7" s="278"/>
      <c r="AX7" s="278"/>
      <c r="AY7" s="278"/>
      <c r="AZ7" s="276">
        <f>IF(OR(D7="新築",D7="登録"),MIN(1000,Q7+T7+W7+AA7+AH7+AL7+AV7),0)</f>
        <v>0</v>
      </c>
      <c r="BA7" s="278">
        <v>5</v>
      </c>
      <c r="BB7" s="279">
        <v>3</v>
      </c>
      <c r="BC7" s="278">
        <v>10</v>
      </c>
      <c r="BD7" s="276">
        <f>MIN(ROUNDDOWN(BB7,1)*20+INT(BC7)*2,250)</f>
        <v>80</v>
      </c>
      <c r="BE7" s="275">
        <f>IF(OR(BF7=1,BG7=1),1,"")</f>
        <v>1</v>
      </c>
      <c r="BF7" s="280">
        <v>1</v>
      </c>
      <c r="BG7" s="280"/>
      <c r="BH7" s="276" t="e">
        <f>IF(AND(BD7&gt;0,BE7=1,#REF!=""),100,0)</f>
        <v>#REF!</v>
      </c>
      <c r="BI7" s="275" t="str">
        <f>IF(OR(BJ7=1,BK7=1,BL7=1),1,"")</f>
        <v/>
      </c>
      <c r="BJ7" s="278"/>
      <c r="BK7" s="278"/>
      <c r="BL7" s="278"/>
      <c r="BM7" s="276">
        <f>IF(AND(BD7&gt;0,BI7=1),100,IF(AND(BD7&gt;0,BL7=1),100,0))</f>
        <v>0</v>
      </c>
      <c r="BN7" s="275">
        <f>IF(OR(AND(BO7&gt;=7,BP7&gt;=7,BO7+BP7&gt;=14),AND(BO7&gt;=7,BQ7&gt;=3,BO7+BQ7&gt;=10),AND(BP7&gt;=7,BQ7&gt;=3,BP7+BQ7&gt;=10)),1,"")</f>
        <v>1</v>
      </c>
      <c r="BO7" s="278">
        <v>7</v>
      </c>
      <c r="BP7" s="278"/>
      <c r="BQ7" s="278">
        <v>3</v>
      </c>
      <c r="BR7" s="276">
        <f>IF(AND(BN7=1,BD7&gt;0),MIN(150,ROUNDDOWN(BO7*11+BP7*13+BQ7*19,0)),0)</f>
        <v>134</v>
      </c>
      <c r="BS7" s="278"/>
      <c r="BT7" s="276" t="e">
        <f>IF(D7="改修",MIN(500,BD7+BH7+BM7+BR7,INT(CM7*10/2)),0)</f>
        <v>#REF!</v>
      </c>
      <c r="BU7" s="281"/>
      <c r="BV7" s="282" t="s">
        <v>9</v>
      </c>
      <c r="BW7" s="283"/>
      <c r="BX7" s="282" t="s">
        <v>396</v>
      </c>
      <c r="BY7" s="283"/>
      <c r="BZ7" s="284" t="s">
        <v>8</v>
      </c>
      <c r="CA7" s="281"/>
      <c r="CB7" s="282" t="s">
        <v>9</v>
      </c>
      <c r="CC7" s="283"/>
      <c r="CD7" s="282" t="s">
        <v>396</v>
      </c>
      <c r="CE7" s="283"/>
      <c r="CF7" s="284" t="s">
        <v>8</v>
      </c>
      <c r="CG7" s="271">
        <v>43205</v>
      </c>
      <c r="CH7" s="285" t="e">
        <f t="shared" ref="CH7:CH10" si="16">AZ7+BT7</f>
        <v>#REF!</v>
      </c>
      <c r="CI7" s="272" t="s">
        <v>397</v>
      </c>
      <c r="CJ7" s="272" t="s">
        <v>398</v>
      </c>
      <c r="CK7" s="268" t="s">
        <v>412</v>
      </c>
      <c r="CL7" s="272">
        <v>200</v>
      </c>
      <c r="CM7" s="286">
        <v>300</v>
      </c>
      <c r="CN7" s="273" t="s">
        <v>413</v>
      </c>
      <c r="CO7" s="271"/>
      <c r="CP7" s="270"/>
      <c r="CQ7" s="270"/>
      <c r="CR7" s="271"/>
      <c r="CS7" s="271"/>
      <c r="CT7" s="270"/>
      <c r="CU7" s="270"/>
      <c r="CV7" s="270"/>
      <c r="CW7" s="270"/>
      <c r="CX7" s="270"/>
      <c r="CY7" s="270"/>
      <c r="CZ7" s="270"/>
      <c r="DA7" s="287"/>
      <c r="DB7" s="270"/>
      <c r="DC7" s="280"/>
      <c r="DD7" s="280"/>
      <c r="DE7" s="280"/>
      <c r="DF7" s="276">
        <f t="shared" si="4"/>
        <v>0</v>
      </c>
      <c r="DG7" s="276">
        <f>MIN(Q7,DF7)</f>
        <v>0</v>
      </c>
      <c r="DH7" s="275" t="str">
        <f t="shared" ref="DH7:DH10" si="17">IF(DI7&gt;=1,1,"")</f>
        <v/>
      </c>
      <c r="DI7" s="280"/>
      <c r="DJ7" s="280"/>
      <c r="DK7" s="277">
        <f t="shared" ref="DK7:DK10" si="18">IF(DF7=0,0,IF(DI7&gt;=25,MIN(250,ROUNDDOWN(DI7*10,-1)),IF(DI7&gt;=20,MIN(200,ROUNDDOWN(DI7*10,-1)),IF(DI7&gt;=15,MIN(150,ROUNDDOWN(DI7*10,-1)),MIN(100,ROUNDDOWN(DI7*10,-1))))))</f>
        <v>0</v>
      </c>
      <c r="DL7" s="276">
        <f>MIN(T7,DK7)</f>
        <v>0</v>
      </c>
      <c r="DM7" s="275" t="str">
        <f t="shared" ref="DM7:DM10" si="19">IF(DN7&gt;=1,1,"")</f>
        <v/>
      </c>
      <c r="DN7" s="280"/>
      <c r="DO7" s="280"/>
      <c r="DP7" s="277">
        <f t="shared" ref="DP7:DP10" si="20">IF(AND(DF7&gt;0,DN7&gt;=1),MIN(INT(DN7)*20,200),0)</f>
        <v>0</v>
      </c>
      <c r="DQ7" s="276">
        <f>MIN(W7,DP7)</f>
        <v>0</v>
      </c>
      <c r="DR7" s="275" t="str">
        <f t="shared" ref="DR7:DR10" si="21">IF(DS7&gt;=1,1,"")</f>
        <v/>
      </c>
      <c r="DS7" s="280"/>
      <c r="DT7" s="275">
        <f t="shared" si="5"/>
        <v>0</v>
      </c>
      <c r="DU7" s="275" t="str">
        <f t="shared" ref="DU7:DU10" si="22">IF(DV7&gt;=1,1,"")</f>
        <v/>
      </c>
      <c r="DV7" s="280"/>
      <c r="DW7" s="280"/>
      <c r="DX7" s="275">
        <f t="shared" ref="DX7:DX10" si="23">IF(AND(DF7&gt;0,DV7&gt;=1),MIN(INT(DV7)*2,150),0)</f>
        <v>0</v>
      </c>
      <c r="DY7" s="276">
        <f t="shared" si="6"/>
        <v>0</v>
      </c>
      <c r="DZ7" s="276">
        <f>MIN(AA7,DY7)</f>
        <v>0</v>
      </c>
      <c r="EA7" s="275" t="str">
        <f t="shared" ref="EA7:EA10" si="24">IF(OR(EB7=1,EC7=1),1,"")</f>
        <v/>
      </c>
      <c r="EB7" s="280"/>
      <c r="EC7" s="280"/>
      <c r="ED7" s="276" t="e">
        <f>IF(AND(DF7&gt;0,EA7=1,#REF!=""),100,0)</f>
        <v>#REF!</v>
      </c>
      <c r="EE7" s="276" t="e">
        <f>MIN(AH7,ED7)</f>
        <v>#REF!</v>
      </c>
      <c r="EF7" s="275" t="str">
        <f t="shared" ref="EF7:EF10" si="25">IF(OR(EG7=1,EH7=1),1,"")</f>
        <v/>
      </c>
      <c r="EG7" s="280"/>
      <c r="EH7" s="280"/>
      <c r="EI7" s="276">
        <f t="shared" si="7"/>
        <v>0</v>
      </c>
      <c r="EJ7" s="276">
        <f>MIN(AL7,EI7)</f>
        <v>0</v>
      </c>
      <c r="EK7" s="275" t="str">
        <f t="shared" ref="EK7:EK10" si="26">IF(ES7&gt;=4,1,"")</f>
        <v/>
      </c>
      <c r="EL7" s="280"/>
      <c r="EM7" s="280"/>
      <c r="EN7" s="280"/>
      <c r="EO7" s="280"/>
      <c r="EP7" s="280"/>
      <c r="EQ7" s="280"/>
      <c r="ER7" s="280"/>
      <c r="ES7" s="275">
        <f t="shared" ref="ES7:ES10" si="27">SUM(EL7:ER7)</f>
        <v>0</v>
      </c>
      <c r="ET7" s="276">
        <f t="shared" ref="ET7:ET10" si="28">IF(ES7&gt;=4,200,0)</f>
        <v>0</v>
      </c>
      <c r="EU7" s="276">
        <f>MIN(AV7,ET7)</f>
        <v>0</v>
      </c>
      <c r="EV7" s="278"/>
      <c r="EW7" s="278"/>
      <c r="EX7" s="278"/>
      <c r="EY7" s="278"/>
      <c r="EZ7" s="278"/>
      <c r="FA7" s="276">
        <f>IF(D7="新築",MIN(1500,CH7,MIN(DG7+DL7+DQ7+DZ7+EE7+EJ7+EU7,1000)),0)</f>
        <v>0</v>
      </c>
      <c r="FB7" s="276">
        <f t="shared" si="8"/>
        <v>0</v>
      </c>
      <c r="FC7" s="278">
        <v>5</v>
      </c>
      <c r="FD7" s="288">
        <v>3</v>
      </c>
      <c r="FE7" s="288" t="s">
        <v>414</v>
      </c>
      <c r="FF7" s="278">
        <v>8</v>
      </c>
      <c r="FG7" s="278" t="s">
        <v>415</v>
      </c>
      <c r="FH7" s="276">
        <f t="shared" ref="FH7:FH10" si="29">MIN(ROUNDDOWN(FD7,1)*20+INT(FF7)*2,250)</f>
        <v>76</v>
      </c>
      <c r="FI7" s="276">
        <f t="shared" si="9"/>
        <v>76</v>
      </c>
      <c r="FJ7" s="275">
        <f t="shared" ref="FJ7:FJ10" si="30">IF(OR(FK7=1,FL7=1),1,"")</f>
        <v>1</v>
      </c>
      <c r="FK7" s="280">
        <v>1</v>
      </c>
      <c r="FL7" s="280"/>
      <c r="FM7" s="276" t="e">
        <f>IF(AND(FH7&gt;0,FJ7=1,#REF!=""),100,0)</f>
        <v>#REF!</v>
      </c>
      <c r="FN7" s="276" t="e">
        <f t="shared" si="10"/>
        <v>#REF!</v>
      </c>
      <c r="FO7" s="275" t="str">
        <f t="shared" ref="FO7:FO10" si="31">IF(OR(FP7=1,FQ7=1,FR7=1),1,"")</f>
        <v/>
      </c>
      <c r="FP7" s="278"/>
      <c r="FQ7" s="278"/>
      <c r="FR7" s="278"/>
      <c r="FS7" s="276">
        <f t="shared" ref="FS7:FS10" si="32">IF(AND(FH7&gt;0,FO7=1),100,IF(AND(FH7&gt;0,FR7=1),100,0))</f>
        <v>0</v>
      </c>
      <c r="FT7" s="276">
        <f t="shared" si="11"/>
        <v>0</v>
      </c>
      <c r="FU7" s="275">
        <f t="shared" ref="FU7:FU10" si="33">IF(OR(AND(FV7&gt;=7,FW7&gt;=7,FV7+FW7&gt;=14),AND(FV7&gt;=7,FX7&gt;=3,FV7+FX7&gt;=10),AND(FW7&gt;=7,FX7&gt;=3,FW7+FX7&gt;=10)),1,"")</f>
        <v>1</v>
      </c>
      <c r="FV7" s="278">
        <v>7</v>
      </c>
      <c r="FW7" s="278"/>
      <c r="FX7" s="278">
        <v>3</v>
      </c>
      <c r="FY7" s="276">
        <f t="shared" ref="FY7:FY11" si="34">IF(AND(FU7=1,FH7&gt;0),MIN(150,ROUNDDOWN(FV7*11+FW7*13+FX7*19,0)),0)</f>
        <v>134</v>
      </c>
      <c r="FZ7" s="276">
        <f t="shared" si="12"/>
        <v>134</v>
      </c>
      <c r="GA7" s="278"/>
      <c r="GB7" s="278" t="s">
        <v>416</v>
      </c>
      <c r="GC7" s="276" t="e">
        <f>IF(D7="改修",MIN(500,FI7+FN7+FT7+FZ7,INT(CM7*10/2)),0)</f>
        <v>#REF!</v>
      </c>
      <c r="GD7" s="276" t="e">
        <f t="shared" si="13"/>
        <v>#REF!</v>
      </c>
      <c r="GE7" s="289" t="s">
        <v>405</v>
      </c>
      <c r="GF7" s="290">
        <v>43332</v>
      </c>
      <c r="GG7" s="290">
        <v>43343</v>
      </c>
      <c r="GH7" s="290">
        <v>43358</v>
      </c>
      <c r="GI7" s="285" t="e">
        <f>IF(D7="新築",AZ7,IF(D7="改修",BT7,0))</f>
        <v>#REF!</v>
      </c>
      <c r="GJ7" s="285" t="e">
        <f t="shared" si="14"/>
        <v>#REF!</v>
      </c>
      <c r="GK7" s="285" t="e">
        <f t="shared" ref="GK7:GK10" si="35">GI7-GJ7</f>
        <v>#REF!</v>
      </c>
      <c r="GL7" s="131"/>
      <c r="GM7" s="131"/>
      <c r="GN7" s="131"/>
      <c r="GO7" s="131"/>
      <c r="GP7" s="131"/>
      <c r="GQ7" s="131"/>
      <c r="GR7" s="131"/>
      <c r="GS7" s="131"/>
      <c r="GT7" s="131"/>
      <c r="GU7" s="131"/>
      <c r="GV7" s="131"/>
      <c r="GW7" s="131"/>
      <c r="GX7" s="131"/>
      <c r="GY7" s="131"/>
      <c r="GZ7" s="131"/>
      <c r="HA7" s="131"/>
      <c r="HB7" s="131"/>
      <c r="HC7" s="131"/>
      <c r="HD7" s="131"/>
      <c r="HE7" s="131"/>
      <c r="HF7" s="131"/>
      <c r="HG7" s="131"/>
      <c r="HH7" s="131"/>
      <c r="HI7" s="131"/>
      <c r="HJ7" s="131"/>
      <c r="HK7" s="131"/>
      <c r="HL7" s="131"/>
      <c r="HM7" s="131"/>
      <c r="HN7" s="131"/>
      <c r="HO7" s="131"/>
      <c r="HP7" s="131"/>
      <c r="HQ7" s="131"/>
      <c r="HR7" s="131"/>
      <c r="HS7" s="131"/>
      <c r="HT7" s="131"/>
      <c r="HU7" s="131"/>
      <c r="HV7" s="131"/>
      <c r="HW7" s="131"/>
      <c r="HX7" s="131"/>
      <c r="HY7" s="131"/>
      <c r="HZ7" s="131"/>
      <c r="IA7" s="131"/>
      <c r="IB7" s="131"/>
      <c r="IC7" s="131"/>
      <c r="ID7" s="131"/>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c r="JR7" s="131"/>
      <c r="JS7" s="131"/>
      <c r="JT7" s="131"/>
      <c r="JU7" s="131"/>
      <c r="JV7" s="131"/>
      <c r="JW7" s="131"/>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c r="LK7" s="131"/>
      <c r="LL7" s="131"/>
      <c r="LM7" s="131"/>
      <c r="LN7" s="131"/>
      <c r="LO7" s="131"/>
      <c r="LP7" s="131"/>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131"/>
      <c r="ND7" s="131"/>
      <c r="NE7" s="131"/>
      <c r="NF7" s="131"/>
      <c r="NG7" s="131"/>
      <c r="NH7" s="131"/>
      <c r="NI7" s="131"/>
      <c r="NJ7" s="131"/>
      <c r="NK7" s="131"/>
      <c r="NL7" s="131"/>
      <c r="NM7" s="131"/>
      <c r="NN7" s="131"/>
      <c r="NO7" s="131"/>
      <c r="NP7" s="131"/>
      <c r="NQ7" s="131"/>
      <c r="NR7" s="131"/>
      <c r="NS7" s="131"/>
      <c r="NT7" s="131"/>
      <c r="NU7" s="131"/>
      <c r="NV7" s="131"/>
      <c r="NW7" s="131"/>
      <c r="NX7" s="131"/>
      <c r="NY7" s="131"/>
      <c r="NZ7" s="131"/>
      <c r="OA7" s="131"/>
      <c r="OB7" s="131"/>
      <c r="OC7" s="131"/>
      <c r="OD7" s="131"/>
      <c r="OE7" s="131"/>
      <c r="OF7" s="131"/>
      <c r="OG7" s="131"/>
      <c r="OH7" s="131"/>
      <c r="OI7" s="131"/>
      <c r="OJ7" s="131"/>
      <c r="OK7" s="131"/>
      <c r="OL7" s="131"/>
      <c r="OM7" s="131"/>
      <c r="ON7" s="131"/>
      <c r="OO7" s="131"/>
      <c r="OP7" s="131"/>
      <c r="OQ7" s="131"/>
      <c r="OR7" s="131"/>
      <c r="OS7" s="131"/>
      <c r="OT7" s="131"/>
      <c r="OU7" s="131"/>
      <c r="OV7" s="131"/>
      <c r="OW7" s="131"/>
      <c r="OX7" s="131"/>
      <c r="OY7" s="131"/>
      <c r="OZ7" s="131"/>
      <c r="PA7" s="131"/>
      <c r="PB7" s="131"/>
      <c r="PC7" s="131"/>
      <c r="PD7" s="131"/>
      <c r="PE7" s="131"/>
      <c r="PF7" s="131"/>
      <c r="PG7" s="131"/>
      <c r="PH7" s="131"/>
      <c r="PI7" s="131"/>
      <c r="PJ7" s="131"/>
      <c r="PK7" s="131"/>
      <c r="PL7" s="131"/>
      <c r="PM7" s="131"/>
      <c r="PN7" s="131"/>
      <c r="PO7" s="131"/>
      <c r="PP7" s="131"/>
      <c r="PQ7" s="131"/>
      <c r="PR7" s="131"/>
      <c r="PS7" s="131"/>
      <c r="PT7" s="131"/>
      <c r="PU7" s="131"/>
      <c r="PV7" s="131"/>
      <c r="PW7" s="131"/>
      <c r="PX7" s="131"/>
      <c r="PY7" s="131"/>
      <c r="PZ7" s="131"/>
      <c r="QA7" s="131"/>
      <c r="QB7" s="131"/>
      <c r="QC7" s="131"/>
      <c r="QD7" s="131"/>
      <c r="QE7" s="131"/>
      <c r="QF7" s="131"/>
      <c r="QG7" s="131"/>
      <c r="QH7" s="131"/>
      <c r="QI7" s="131"/>
      <c r="QJ7" s="131"/>
      <c r="QK7" s="131"/>
      <c r="QL7" s="131"/>
      <c r="QM7" s="131"/>
      <c r="QN7" s="131"/>
      <c r="QO7" s="131"/>
      <c r="QP7" s="131"/>
      <c r="QQ7" s="131"/>
      <c r="QR7" s="131"/>
      <c r="QS7" s="131"/>
      <c r="QT7" s="131"/>
      <c r="QU7" s="131"/>
      <c r="QV7" s="131"/>
      <c r="QW7" s="131"/>
      <c r="QX7" s="131"/>
      <c r="QY7" s="131"/>
      <c r="QZ7" s="131"/>
      <c r="RA7" s="131"/>
      <c r="RB7" s="131"/>
      <c r="RC7" s="131"/>
      <c r="RD7" s="131"/>
      <c r="RE7" s="131"/>
      <c r="RF7" s="131"/>
      <c r="RG7" s="131"/>
      <c r="RH7" s="131"/>
      <c r="RI7" s="131"/>
      <c r="RJ7" s="131"/>
      <c r="RK7" s="131"/>
      <c r="RL7" s="131"/>
      <c r="RM7" s="131"/>
      <c r="RN7" s="131"/>
      <c r="RO7" s="131"/>
      <c r="RP7" s="131"/>
      <c r="RQ7" s="131"/>
      <c r="RR7" s="131"/>
      <c r="RS7" s="131"/>
      <c r="RT7" s="131"/>
      <c r="RU7" s="131"/>
      <c r="RV7" s="131"/>
      <c r="RW7" s="131"/>
      <c r="RX7" s="131"/>
      <c r="RY7" s="131"/>
      <c r="RZ7" s="131"/>
      <c r="SA7" s="131"/>
      <c r="SB7" s="131"/>
      <c r="SC7" s="131"/>
      <c r="SD7" s="131"/>
      <c r="SE7" s="131"/>
      <c r="SF7" s="131"/>
      <c r="SG7" s="131"/>
      <c r="SH7" s="131"/>
      <c r="SI7" s="131"/>
      <c r="SJ7" s="131"/>
      <c r="SK7" s="131"/>
      <c r="SL7" s="131"/>
      <c r="SM7" s="131"/>
      <c r="SN7" s="131"/>
      <c r="SO7" s="131"/>
      <c r="SP7" s="131"/>
      <c r="SQ7" s="131"/>
      <c r="SR7" s="131"/>
      <c r="SS7" s="131"/>
      <c r="ST7" s="131"/>
      <c r="SU7" s="131"/>
      <c r="SV7" s="131"/>
      <c r="SW7" s="131"/>
      <c r="SX7" s="131"/>
      <c r="SY7" s="131"/>
      <c r="SZ7" s="131"/>
      <c r="TA7" s="131"/>
      <c r="TB7" s="131"/>
      <c r="TC7" s="131"/>
      <c r="TD7" s="131"/>
      <c r="TE7" s="131"/>
      <c r="TF7" s="131"/>
      <c r="TG7" s="131"/>
      <c r="TH7" s="131"/>
      <c r="TI7" s="131"/>
      <c r="TJ7" s="131"/>
      <c r="TK7" s="131"/>
      <c r="TL7" s="131"/>
      <c r="TM7" s="131"/>
      <c r="TN7" s="131"/>
      <c r="TO7" s="131"/>
      <c r="TP7" s="131"/>
      <c r="TQ7" s="131"/>
      <c r="TR7" s="131"/>
      <c r="TS7" s="131"/>
      <c r="TT7" s="131"/>
      <c r="TU7" s="131"/>
      <c r="TV7" s="131"/>
      <c r="TW7" s="131"/>
      <c r="TX7" s="131"/>
      <c r="TY7" s="131"/>
      <c r="TZ7" s="131"/>
      <c r="UA7" s="131"/>
      <c r="UB7" s="131"/>
      <c r="UC7" s="131"/>
      <c r="UD7" s="131"/>
      <c r="UE7" s="131"/>
      <c r="UF7" s="131"/>
      <c r="UG7" s="131"/>
      <c r="UH7" s="131"/>
      <c r="UI7" s="131"/>
      <c r="UJ7" s="131"/>
      <c r="UK7" s="131"/>
      <c r="UL7" s="131"/>
      <c r="UM7" s="131"/>
      <c r="UN7" s="131"/>
      <c r="UO7" s="131"/>
      <c r="UP7" s="131"/>
      <c r="UQ7" s="131"/>
      <c r="UR7" s="131"/>
      <c r="US7" s="131"/>
      <c r="UT7" s="131"/>
      <c r="UU7" s="131"/>
      <c r="UV7" s="131"/>
      <c r="UW7" s="131"/>
      <c r="UX7" s="131"/>
      <c r="UY7" s="131"/>
      <c r="UZ7" s="131"/>
      <c r="VA7" s="131"/>
      <c r="VB7" s="131"/>
      <c r="VC7" s="131"/>
      <c r="VD7" s="131"/>
      <c r="VE7" s="131"/>
      <c r="VF7" s="131"/>
      <c r="VG7" s="131"/>
      <c r="VH7" s="131"/>
      <c r="VI7" s="131"/>
      <c r="VJ7" s="131"/>
      <c r="VK7" s="131"/>
      <c r="VL7" s="131"/>
      <c r="VM7" s="131"/>
      <c r="VN7" s="131"/>
      <c r="VO7" s="131"/>
      <c r="VP7" s="131"/>
      <c r="VQ7" s="131"/>
      <c r="VR7" s="131"/>
      <c r="VS7" s="131"/>
      <c r="VT7" s="131"/>
      <c r="VU7" s="131"/>
      <c r="VV7" s="131"/>
      <c r="VW7" s="131"/>
      <c r="VX7" s="131"/>
      <c r="VY7" s="131"/>
      <c r="VZ7" s="131"/>
      <c r="WA7" s="131"/>
      <c r="WB7" s="131"/>
      <c r="WC7" s="131"/>
      <c r="WD7" s="131"/>
      <c r="WE7" s="131"/>
      <c r="WF7" s="131"/>
      <c r="WG7" s="131"/>
      <c r="WH7" s="131"/>
      <c r="WI7" s="131"/>
      <c r="WJ7" s="131"/>
      <c r="WK7" s="131"/>
      <c r="WL7" s="131"/>
      <c r="WM7" s="131"/>
      <c r="WN7" s="131"/>
      <c r="WO7" s="131"/>
      <c r="WP7" s="131"/>
      <c r="WQ7" s="131"/>
      <c r="WR7" s="131"/>
      <c r="WS7" s="131"/>
      <c r="WT7" s="131"/>
      <c r="WU7" s="131"/>
      <c r="WV7" s="131"/>
      <c r="WW7" s="131"/>
      <c r="WX7" s="131"/>
      <c r="WY7" s="131"/>
      <c r="WZ7" s="131"/>
      <c r="XA7" s="131"/>
      <c r="XB7" s="131"/>
      <c r="XC7" s="131"/>
      <c r="XD7" s="131"/>
      <c r="XE7" s="131"/>
      <c r="XF7" s="131"/>
      <c r="XG7" s="131"/>
      <c r="XH7" s="131"/>
      <c r="XI7" s="131"/>
      <c r="XJ7" s="131"/>
      <c r="XK7" s="131"/>
      <c r="XL7" s="131"/>
      <c r="XM7" s="131"/>
      <c r="XN7" s="131"/>
      <c r="XO7" s="131"/>
      <c r="XP7" s="131"/>
      <c r="XQ7" s="131"/>
      <c r="XR7" s="131"/>
      <c r="XS7" s="131"/>
      <c r="XT7" s="131"/>
      <c r="XU7" s="131"/>
      <c r="XV7" s="131"/>
      <c r="XW7" s="131"/>
      <c r="XX7" s="131"/>
      <c r="XY7" s="131"/>
      <c r="XZ7" s="131"/>
      <c r="YA7" s="131"/>
      <c r="YB7" s="131"/>
      <c r="YC7" s="131"/>
      <c r="YD7" s="131"/>
      <c r="YE7" s="131"/>
      <c r="YF7" s="131"/>
      <c r="YG7" s="131"/>
      <c r="YH7" s="131"/>
      <c r="YI7" s="131"/>
      <c r="YJ7" s="131"/>
      <c r="YK7" s="131"/>
      <c r="YL7" s="131"/>
      <c r="YM7" s="131"/>
      <c r="YN7" s="131"/>
      <c r="YO7" s="131"/>
      <c r="YP7" s="131"/>
      <c r="YQ7" s="131"/>
      <c r="YR7" s="131"/>
      <c r="YS7" s="131"/>
      <c r="YT7" s="131"/>
      <c r="YU7" s="131"/>
      <c r="YV7" s="131"/>
      <c r="YW7" s="131"/>
      <c r="YX7" s="131"/>
      <c r="YY7" s="131"/>
      <c r="YZ7" s="131"/>
      <c r="ZA7" s="131"/>
      <c r="ZB7" s="131"/>
      <c r="ZC7" s="131"/>
      <c r="ZD7" s="131"/>
      <c r="ZE7" s="131"/>
      <c r="ZF7" s="131"/>
      <c r="ZG7" s="131"/>
      <c r="ZH7" s="131"/>
      <c r="ZI7" s="131"/>
      <c r="ZJ7" s="131"/>
      <c r="ZK7" s="131"/>
      <c r="ZL7" s="131"/>
      <c r="ZM7" s="131"/>
      <c r="ZN7" s="131"/>
      <c r="ZO7" s="131"/>
      <c r="ZP7" s="131"/>
      <c r="ZQ7" s="131"/>
      <c r="ZR7" s="131"/>
      <c r="ZS7" s="131"/>
      <c r="ZT7" s="131"/>
      <c r="ZU7" s="131"/>
      <c r="ZV7" s="131"/>
      <c r="ZW7" s="131"/>
      <c r="ZX7" s="131"/>
      <c r="ZY7" s="131"/>
      <c r="ZZ7" s="131"/>
      <c r="AAA7" s="131"/>
      <c r="AAB7" s="131"/>
      <c r="AAC7" s="131"/>
      <c r="AAD7" s="131"/>
      <c r="AAE7" s="131"/>
      <c r="AAF7" s="131"/>
      <c r="AAG7" s="131"/>
      <c r="AAH7" s="131"/>
      <c r="AAI7" s="131"/>
      <c r="AAJ7" s="131"/>
      <c r="AAK7" s="131"/>
      <c r="AAL7" s="131"/>
      <c r="AAM7" s="131"/>
      <c r="AAN7" s="131"/>
      <c r="AAO7" s="131"/>
      <c r="AAP7" s="131"/>
      <c r="AAQ7" s="131"/>
      <c r="AAR7" s="131"/>
      <c r="AAS7" s="131"/>
      <c r="AAT7" s="131"/>
      <c r="AAU7" s="131"/>
      <c r="AAV7" s="131"/>
      <c r="AAW7" s="131"/>
      <c r="AAX7" s="131"/>
      <c r="AAY7" s="131"/>
      <c r="AAZ7" s="131"/>
      <c r="ABA7" s="131"/>
      <c r="ABB7" s="131"/>
      <c r="ABC7" s="131"/>
      <c r="ABD7" s="131"/>
      <c r="ABE7" s="131"/>
      <c r="ABF7" s="131"/>
      <c r="ABG7" s="131"/>
      <c r="ABH7" s="131"/>
      <c r="ABI7" s="131"/>
      <c r="ABJ7" s="131"/>
      <c r="ABK7" s="131"/>
      <c r="ABL7" s="131"/>
      <c r="ABM7" s="131"/>
      <c r="ABN7" s="131"/>
      <c r="ABO7" s="131"/>
      <c r="ABP7" s="131"/>
      <c r="ABQ7" s="131"/>
      <c r="ABR7" s="131"/>
      <c r="ABS7" s="131"/>
      <c r="ABT7" s="131"/>
      <c r="ABU7" s="131"/>
      <c r="ABV7" s="131"/>
      <c r="ABW7" s="131"/>
      <c r="ABX7" s="131"/>
      <c r="ABY7" s="131"/>
      <c r="ABZ7" s="131"/>
      <c r="ACA7" s="131"/>
      <c r="ACB7" s="131"/>
      <c r="ACC7" s="131"/>
      <c r="ACD7" s="131"/>
      <c r="ACE7" s="131"/>
      <c r="ACF7" s="131"/>
      <c r="ACG7" s="131"/>
      <c r="ACH7" s="131"/>
      <c r="ACI7" s="131"/>
      <c r="ACJ7" s="131"/>
      <c r="ACK7" s="131"/>
      <c r="ACL7" s="131"/>
      <c r="ACM7" s="131"/>
      <c r="ACN7" s="131"/>
      <c r="ACO7" s="131"/>
      <c r="ACP7" s="131"/>
      <c r="ACQ7" s="131"/>
      <c r="ACR7" s="131"/>
      <c r="ACS7" s="131"/>
      <c r="ACT7" s="131"/>
      <c r="ACU7" s="131"/>
      <c r="ACV7" s="131"/>
      <c r="ACW7" s="131"/>
      <c r="ACX7" s="131"/>
      <c r="ACY7" s="131"/>
      <c r="ACZ7" s="131"/>
      <c r="ADA7" s="131"/>
      <c r="ADB7" s="131"/>
      <c r="ADC7" s="131"/>
      <c r="ADD7" s="131"/>
      <c r="ADE7" s="131"/>
      <c r="ADF7" s="131"/>
      <c r="ADG7" s="131"/>
      <c r="ADH7" s="131"/>
      <c r="ADI7" s="131"/>
      <c r="ADJ7" s="131"/>
      <c r="ADK7" s="131"/>
      <c r="ADL7" s="131"/>
      <c r="ADM7" s="131"/>
      <c r="ADN7" s="131"/>
      <c r="ADO7" s="131"/>
      <c r="ADP7" s="131"/>
      <c r="ADQ7" s="131"/>
      <c r="ADR7" s="131"/>
      <c r="ADS7" s="131"/>
      <c r="ADT7" s="131"/>
      <c r="ADU7" s="131"/>
      <c r="ADV7" s="131"/>
      <c r="ADW7" s="131"/>
      <c r="ADX7" s="131"/>
      <c r="ADY7" s="131"/>
      <c r="ADZ7" s="131"/>
      <c r="AEA7" s="131"/>
      <c r="AEB7" s="131"/>
      <c r="AEC7" s="131"/>
      <c r="AED7" s="131"/>
      <c r="AEE7" s="131"/>
      <c r="AEF7" s="131"/>
      <c r="AEG7" s="131"/>
      <c r="AEH7" s="131"/>
      <c r="AEI7" s="131"/>
      <c r="AEJ7" s="131"/>
      <c r="AEK7" s="131"/>
      <c r="AEL7" s="131"/>
      <c r="AEM7" s="131"/>
      <c r="AEN7" s="131"/>
      <c r="AEO7" s="131"/>
      <c r="AEP7" s="131"/>
      <c r="AEQ7" s="131"/>
      <c r="AER7" s="131"/>
      <c r="AES7" s="131"/>
      <c r="AET7" s="131"/>
      <c r="AEU7" s="131"/>
      <c r="AEV7" s="131"/>
      <c r="AEW7" s="131"/>
      <c r="AEX7" s="131"/>
      <c r="AEY7" s="131"/>
      <c r="AEZ7" s="131"/>
      <c r="AFA7" s="131"/>
      <c r="AFB7" s="131"/>
      <c r="AFC7" s="131"/>
      <c r="AFD7" s="131"/>
      <c r="AFE7" s="131"/>
      <c r="AFF7" s="131"/>
      <c r="AFG7" s="131"/>
      <c r="AFH7" s="131"/>
      <c r="AFI7" s="131"/>
      <c r="AFJ7" s="131"/>
      <c r="AFK7" s="131"/>
      <c r="AFL7" s="131"/>
      <c r="AFM7" s="131"/>
      <c r="AFN7" s="131"/>
      <c r="AFO7" s="131"/>
      <c r="AFP7" s="131"/>
      <c r="AFQ7" s="131"/>
      <c r="AFR7" s="131"/>
      <c r="AFS7" s="131"/>
      <c r="AFT7" s="131"/>
      <c r="AFU7" s="131"/>
      <c r="AFV7" s="131"/>
      <c r="AFW7" s="131"/>
      <c r="AFX7" s="131"/>
      <c r="AFY7" s="131"/>
      <c r="AFZ7" s="131"/>
      <c r="AGA7" s="131"/>
      <c r="AGB7" s="131"/>
      <c r="AGC7" s="131"/>
      <c r="AGD7" s="131"/>
      <c r="AGE7" s="131"/>
      <c r="AGF7" s="131"/>
      <c r="AGG7" s="131"/>
      <c r="AGH7" s="131"/>
      <c r="AGI7" s="131"/>
      <c r="AGJ7" s="131"/>
      <c r="AGK7" s="131"/>
      <c r="AGL7" s="131"/>
      <c r="AGM7" s="131"/>
    </row>
    <row r="8" spans="2:871" hidden="1" x14ac:dyDescent="0.2">
      <c r="B8" s="266" t="str">
        <f t="shared" si="0"/>
        <v/>
      </c>
      <c r="C8" s="293" t="s">
        <v>417</v>
      </c>
      <c r="D8" s="294" t="s">
        <v>418</v>
      </c>
      <c r="E8" s="269" t="str">
        <f t="shared" si="15"/>
        <v>登録</v>
      </c>
      <c r="F8" s="270"/>
      <c r="G8" s="270"/>
      <c r="H8" s="271">
        <v>43191</v>
      </c>
      <c r="I8" s="272" t="s">
        <v>397</v>
      </c>
      <c r="J8" s="273" t="s">
        <v>419</v>
      </c>
      <c r="K8" s="272"/>
      <c r="L8" s="273" t="s">
        <v>420</v>
      </c>
      <c r="M8" s="273" t="s">
        <v>92</v>
      </c>
      <c r="N8" s="274" t="s">
        <v>421</v>
      </c>
      <c r="O8" s="275">
        <v>25</v>
      </c>
      <c r="P8" s="275">
        <v>20</v>
      </c>
      <c r="Q8" s="276">
        <f t="shared" ref="Q8:Q10" si="36">IF(P8&gt;=10,150,0)</f>
        <v>150</v>
      </c>
      <c r="R8" s="275">
        <f t="shared" ref="R8:R10" si="37">IF(S8&gt;=1,1,"")</f>
        <v>1</v>
      </c>
      <c r="S8" s="275">
        <v>15</v>
      </c>
      <c r="T8" s="277">
        <f t="shared" ref="T8:T10" si="38">IF(Q8=0,0,IF(S8&gt;=25,MIN(250,ROUNDDOWN(S8*10,-1)),IF(S8&gt;=20,MIN(200,ROUNDDOWN(S8*10,-1)),IF(S8&gt;=15,MIN(150,ROUNDDOWN(S8*10,-1)),MIN(100,ROUNDDOWN(S8*10,-1))))))</f>
        <v>150</v>
      </c>
      <c r="U8" s="275">
        <f t="shared" ref="U8:U10" si="39">IF(V8&gt;=1,1,"")</f>
        <v>1</v>
      </c>
      <c r="V8" s="275">
        <v>3</v>
      </c>
      <c r="W8" s="277">
        <f t="shared" ref="W8:W10" si="40">IF(AND(Q8&gt;0,V8&gt;=1),MIN(INT(V8)*20,200),0)</f>
        <v>60</v>
      </c>
      <c r="X8" s="275" t="str">
        <f t="shared" ref="X8:X10" si="41">IF(Y8&gt;=1,1,"")</f>
        <v/>
      </c>
      <c r="Y8" s="275"/>
      <c r="Z8" s="275">
        <f t="shared" ref="Z8:Z10" si="42">IF(Y8&gt;=1,50,0)</f>
        <v>0</v>
      </c>
      <c r="AA8" s="276">
        <f t="shared" si="1"/>
        <v>100</v>
      </c>
      <c r="AB8" s="275">
        <f t="shared" ref="AB8:AB10" si="43">IF(AC8&gt;=1,1,"")</f>
        <v>1</v>
      </c>
      <c r="AC8" s="275">
        <v>50</v>
      </c>
      <c r="AD8" s="275">
        <f t="shared" si="2"/>
        <v>100</v>
      </c>
      <c r="AE8" s="275">
        <f t="shared" ref="AE8:AE10" si="44">IF(OR(AF8=1,AG8=1),1,"")</f>
        <v>1</v>
      </c>
      <c r="AF8" s="275">
        <v>1</v>
      </c>
      <c r="AG8" s="275"/>
      <c r="AH8" s="276" t="e">
        <f>IF(AND(Q8&gt;0,AE8=1,#REF!=""),100,0)</f>
        <v>#REF!</v>
      </c>
      <c r="AI8" s="275">
        <f t="shared" ref="AI8:AI10" si="45">IF(OR(AJ8=1,AK8=1),1,"")</f>
        <v>1</v>
      </c>
      <c r="AJ8" s="275"/>
      <c r="AK8" s="275">
        <v>1</v>
      </c>
      <c r="AL8" s="276">
        <f t="shared" si="3"/>
        <v>100</v>
      </c>
      <c r="AM8" s="275" t="str">
        <f t="shared" ref="AM8:AM10" si="46">IF(AU8&gt;=4,1,"")</f>
        <v/>
      </c>
      <c r="AN8" s="275"/>
      <c r="AO8" s="275"/>
      <c r="AP8" s="275"/>
      <c r="AQ8" s="275"/>
      <c r="AR8" s="275"/>
      <c r="AS8" s="275"/>
      <c r="AT8" s="275"/>
      <c r="AU8" s="275">
        <f t="shared" ref="AU8:AU10" si="47">SUM(AN8:AT8)</f>
        <v>0</v>
      </c>
      <c r="AV8" s="276">
        <f t="shared" ref="AV8:AV10" si="48">IF(AU8&gt;=4,200,0)</f>
        <v>0</v>
      </c>
      <c r="AW8" s="278"/>
      <c r="AX8" s="278"/>
      <c r="AY8" s="278"/>
      <c r="AZ8" s="276" t="e">
        <f>IF(OR(D8="新築",D8="登録"),MIN(1000,Q8+T8+W8+AA8+AH8+AL8+AV8),0)</f>
        <v>#REF!</v>
      </c>
      <c r="BA8" s="278"/>
      <c r="BB8" s="279"/>
      <c r="BC8" s="278"/>
      <c r="BD8" s="276">
        <f t="shared" ref="BD8:BD10" si="49">MIN(ROUNDDOWN(BB8,1)*20+INT(BC8)*2,250)</f>
        <v>0</v>
      </c>
      <c r="BE8" s="275" t="str">
        <f t="shared" ref="BE8:BE10" si="50">IF(OR(BF8=1,BG8=1),1,"")</f>
        <v/>
      </c>
      <c r="BF8" s="280"/>
      <c r="BG8" s="280"/>
      <c r="BH8" s="276" t="e">
        <f>IF(AND(BD8&gt;0,BE8=1,#REF!=""),100,0)</f>
        <v>#REF!</v>
      </c>
      <c r="BI8" s="275" t="str">
        <f t="shared" ref="BI8:BI10" si="51">IF(OR(BJ8=1,BK8=1,BL8=1),1,"")</f>
        <v/>
      </c>
      <c r="BJ8" s="278"/>
      <c r="BK8" s="278"/>
      <c r="BL8" s="278"/>
      <c r="BM8" s="276">
        <f t="shared" ref="BM8:BM10" si="52">IF(AND(BD8&gt;0,BI8=1),100,IF(AND(BD8&gt;0,BL8=1),100,0))</f>
        <v>0</v>
      </c>
      <c r="BN8" s="275" t="str">
        <f t="shared" ref="BN8:BN10" si="53">IF(OR(AND(BO8&gt;=7,BP8&gt;=7,BO8+BP8&gt;=14),AND(BO8&gt;=7,BQ8&gt;=3,BO8+BQ8&gt;=10),AND(BP8&gt;=7,BQ8&gt;=3,BP8+BQ8&gt;=10)),1,"")</f>
        <v/>
      </c>
      <c r="BO8" s="278"/>
      <c r="BP8" s="278"/>
      <c r="BQ8" s="278"/>
      <c r="BR8" s="276">
        <f t="shared" ref="BR8:BR10" si="54">IF(AND(BN8=1,BD8&gt;0),MIN(150,ROUNDDOWN(BO8*11+BP8*13+BQ8*19,0)),0)</f>
        <v>0</v>
      </c>
      <c r="BS8" s="278"/>
      <c r="BT8" s="276">
        <f>IF(D8="改修",MIN(500,BD8+BH8+BM8+BR8,INT(CM8*10/2)),0)</f>
        <v>0</v>
      </c>
      <c r="BU8" s="281"/>
      <c r="BV8" s="282" t="s">
        <v>9</v>
      </c>
      <c r="BW8" s="283"/>
      <c r="BX8" s="282" t="s">
        <v>396</v>
      </c>
      <c r="BY8" s="283"/>
      <c r="BZ8" s="284" t="s">
        <v>8</v>
      </c>
      <c r="CA8" s="281"/>
      <c r="CB8" s="282" t="s">
        <v>9</v>
      </c>
      <c r="CC8" s="283"/>
      <c r="CD8" s="282" t="s">
        <v>396</v>
      </c>
      <c r="CE8" s="283"/>
      <c r="CF8" s="284" t="s">
        <v>8</v>
      </c>
      <c r="CG8" s="271">
        <v>43198</v>
      </c>
      <c r="CH8" s="285" t="e">
        <f t="shared" si="16"/>
        <v>#REF!</v>
      </c>
      <c r="CI8" s="272" t="s">
        <v>397</v>
      </c>
      <c r="CJ8" s="272" t="s">
        <v>398</v>
      </c>
      <c r="CK8" s="268" t="s">
        <v>422</v>
      </c>
      <c r="CL8" s="272">
        <v>100</v>
      </c>
      <c r="CM8" s="286">
        <v>2200</v>
      </c>
      <c r="CN8" s="273" t="s">
        <v>400</v>
      </c>
      <c r="CO8" s="271"/>
      <c r="CP8" s="270"/>
      <c r="CQ8" s="270"/>
      <c r="CR8" s="271"/>
      <c r="CS8" s="271"/>
      <c r="CT8" s="270"/>
      <c r="CU8" s="270"/>
      <c r="CV8" s="270"/>
      <c r="CW8" s="270"/>
      <c r="CX8" s="270"/>
      <c r="CY8" s="270"/>
      <c r="CZ8" s="270"/>
      <c r="DA8" s="287"/>
      <c r="DB8" s="270"/>
      <c r="DC8" s="280"/>
      <c r="DD8" s="280"/>
      <c r="DE8" s="280"/>
      <c r="DF8" s="276">
        <f t="shared" si="4"/>
        <v>0</v>
      </c>
      <c r="DG8" s="276">
        <f>MIN(Q8,DF8)</f>
        <v>0</v>
      </c>
      <c r="DH8" s="275" t="str">
        <f t="shared" si="17"/>
        <v/>
      </c>
      <c r="DI8" s="280"/>
      <c r="DJ8" s="280"/>
      <c r="DK8" s="277">
        <f t="shared" si="18"/>
        <v>0</v>
      </c>
      <c r="DL8" s="276">
        <f>MIN(T8,DK8)</f>
        <v>0</v>
      </c>
      <c r="DM8" s="275" t="str">
        <f t="shared" si="19"/>
        <v/>
      </c>
      <c r="DN8" s="280"/>
      <c r="DO8" s="280"/>
      <c r="DP8" s="277">
        <f t="shared" si="20"/>
        <v>0</v>
      </c>
      <c r="DQ8" s="276">
        <f>MIN(W8,DP8)</f>
        <v>0</v>
      </c>
      <c r="DR8" s="275" t="str">
        <f t="shared" si="21"/>
        <v/>
      </c>
      <c r="DS8" s="280"/>
      <c r="DT8" s="275">
        <f t="shared" si="5"/>
        <v>0</v>
      </c>
      <c r="DU8" s="275" t="str">
        <f t="shared" si="22"/>
        <v/>
      </c>
      <c r="DV8" s="280"/>
      <c r="DW8" s="280"/>
      <c r="DX8" s="275">
        <f t="shared" si="23"/>
        <v>0</v>
      </c>
      <c r="DY8" s="276">
        <f t="shared" si="6"/>
        <v>0</v>
      </c>
      <c r="DZ8" s="276">
        <f>MIN(AA8,DY8)</f>
        <v>0</v>
      </c>
      <c r="EA8" s="275" t="str">
        <f t="shared" si="24"/>
        <v/>
      </c>
      <c r="EB8" s="280"/>
      <c r="EC8" s="280"/>
      <c r="ED8" s="276" t="e">
        <f>IF(AND(DF8&gt;0,EA8=1,#REF!=""),100,0)</f>
        <v>#REF!</v>
      </c>
      <c r="EE8" s="276" t="e">
        <f>MIN(AH8,ED8)</f>
        <v>#REF!</v>
      </c>
      <c r="EF8" s="275" t="str">
        <f t="shared" si="25"/>
        <v/>
      </c>
      <c r="EG8" s="280"/>
      <c r="EH8" s="280"/>
      <c r="EI8" s="276">
        <f t="shared" si="7"/>
        <v>0</v>
      </c>
      <c r="EJ8" s="276">
        <f>MIN(AL8,EI8)</f>
        <v>0</v>
      </c>
      <c r="EK8" s="275" t="str">
        <f t="shared" si="26"/>
        <v/>
      </c>
      <c r="EL8" s="280"/>
      <c r="EM8" s="280"/>
      <c r="EN8" s="280"/>
      <c r="EO8" s="280"/>
      <c r="EP8" s="280"/>
      <c r="EQ8" s="280"/>
      <c r="ER8" s="280"/>
      <c r="ES8" s="275">
        <f t="shared" si="27"/>
        <v>0</v>
      </c>
      <c r="ET8" s="276">
        <f t="shared" si="28"/>
        <v>0</v>
      </c>
      <c r="EU8" s="276">
        <f>MIN(AV8,ET8)</f>
        <v>0</v>
      </c>
      <c r="EV8" s="278"/>
      <c r="EW8" s="278"/>
      <c r="EX8" s="278"/>
      <c r="EY8" s="278"/>
      <c r="EZ8" s="278"/>
      <c r="FA8" s="276">
        <f>IF(D8="新築",MIN(1500,CH8,MIN(DG8+DL8+DQ8+DZ8+EE8+EJ8+EU8,1000)),0)</f>
        <v>0</v>
      </c>
      <c r="FB8" s="276" t="e">
        <f t="shared" si="8"/>
        <v>#REF!</v>
      </c>
      <c r="FC8" s="278"/>
      <c r="FD8" s="288"/>
      <c r="FE8" s="288"/>
      <c r="FF8" s="278"/>
      <c r="FG8" s="278"/>
      <c r="FH8" s="276">
        <f t="shared" si="29"/>
        <v>0</v>
      </c>
      <c r="FI8" s="276">
        <f t="shared" si="9"/>
        <v>0</v>
      </c>
      <c r="FJ8" s="275" t="str">
        <f t="shared" si="30"/>
        <v/>
      </c>
      <c r="FK8" s="280"/>
      <c r="FL8" s="280"/>
      <c r="FM8" s="276" t="e">
        <f>IF(AND(FH8&gt;0,FJ8=1,#REF!=""),100,0)</f>
        <v>#REF!</v>
      </c>
      <c r="FN8" s="276" t="e">
        <f t="shared" si="10"/>
        <v>#REF!</v>
      </c>
      <c r="FO8" s="275" t="str">
        <f t="shared" si="31"/>
        <v/>
      </c>
      <c r="FP8" s="278"/>
      <c r="FQ8" s="278"/>
      <c r="FR8" s="278"/>
      <c r="FS8" s="276">
        <f t="shared" si="32"/>
        <v>0</v>
      </c>
      <c r="FT8" s="276">
        <f t="shared" si="11"/>
        <v>0</v>
      </c>
      <c r="FU8" s="275" t="str">
        <f t="shared" si="33"/>
        <v/>
      </c>
      <c r="FV8" s="278"/>
      <c r="FW8" s="278"/>
      <c r="FX8" s="278"/>
      <c r="FY8" s="276">
        <f t="shared" si="34"/>
        <v>0</v>
      </c>
      <c r="FZ8" s="276">
        <f t="shared" si="12"/>
        <v>0</v>
      </c>
      <c r="GA8" s="278"/>
      <c r="GB8" s="278"/>
      <c r="GC8" s="276">
        <f>IF(D8="改修",MIN(500,FI8+FN8+FT8+FZ8,INT(CM8*10/2)),0)</f>
        <v>0</v>
      </c>
      <c r="GD8" s="276">
        <f t="shared" si="13"/>
        <v>0</v>
      </c>
      <c r="GE8" s="289"/>
      <c r="GF8" s="290"/>
      <c r="GG8" s="290"/>
      <c r="GH8" s="290"/>
      <c r="GI8" s="285">
        <f>IF(D8="新築",AZ8,IF(D8="改修",BT8,0))</f>
        <v>0</v>
      </c>
      <c r="GJ8" s="285">
        <f t="shared" si="14"/>
        <v>0</v>
      </c>
      <c r="GK8" s="285">
        <f t="shared" si="35"/>
        <v>0</v>
      </c>
    </row>
    <row r="9" spans="2:871" s="292" customFormat="1" hidden="1" x14ac:dyDescent="0.2">
      <c r="B9" s="266" t="str">
        <f t="shared" si="0"/>
        <v>支払済</v>
      </c>
      <c r="C9" s="293" t="s">
        <v>417</v>
      </c>
      <c r="D9" s="294" t="s">
        <v>388</v>
      </c>
      <c r="E9" s="269" t="str">
        <f t="shared" si="15"/>
        <v>建売購入</v>
      </c>
      <c r="F9" s="270"/>
      <c r="G9" s="270"/>
      <c r="H9" s="271">
        <v>43403</v>
      </c>
      <c r="I9" s="272" t="s">
        <v>423</v>
      </c>
      <c r="J9" s="273" t="s">
        <v>424</v>
      </c>
      <c r="K9" s="272"/>
      <c r="L9" s="273" t="s">
        <v>425</v>
      </c>
      <c r="M9" s="273" t="s">
        <v>426</v>
      </c>
      <c r="N9" s="274" t="s">
        <v>421</v>
      </c>
      <c r="O9" s="275">
        <v>25</v>
      </c>
      <c r="P9" s="275">
        <v>18</v>
      </c>
      <c r="Q9" s="276">
        <f t="shared" si="36"/>
        <v>150</v>
      </c>
      <c r="R9" s="275">
        <f t="shared" si="37"/>
        <v>1</v>
      </c>
      <c r="S9" s="275">
        <v>13</v>
      </c>
      <c r="T9" s="277">
        <f t="shared" si="38"/>
        <v>100</v>
      </c>
      <c r="U9" s="275">
        <f t="shared" si="39"/>
        <v>1</v>
      </c>
      <c r="V9" s="275">
        <v>2</v>
      </c>
      <c r="W9" s="277">
        <f t="shared" si="40"/>
        <v>40</v>
      </c>
      <c r="X9" s="275" t="str">
        <f t="shared" si="41"/>
        <v/>
      </c>
      <c r="Y9" s="275"/>
      <c r="Z9" s="275">
        <f t="shared" si="42"/>
        <v>0</v>
      </c>
      <c r="AA9" s="276">
        <f t="shared" si="1"/>
        <v>90</v>
      </c>
      <c r="AB9" s="275">
        <f t="shared" si="43"/>
        <v>1</v>
      </c>
      <c r="AC9" s="275">
        <v>45</v>
      </c>
      <c r="AD9" s="275">
        <f t="shared" si="2"/>
        <v>90</v>
      </c>
      <c r="AE9" s="275">
        <f t="shared" si="44"/>
        <v>1</v>
      </c>
      <c r="AF9" s="275"/>
      <c r="AG9" s="275">
        <v>1</v>
      </c>
      <c r="AH9" s="276" t="e">
        <f>IF(AND(Q9&gt;0,AE9=1,#REF!=""),100,0)</f>
        <v>#REF!</v>
      </c>
      <c r="AI9" s="275" t="str">
        <f t="shared" si="45"/>
        <v/>
      </c>
      <c r="AJ9" s="275"/>
      <c r="AK9" s="275"/>
      <c r="AL9" s="276">
        <f t="shared" si="3"/>
        <v>0</v>
      </c>
      <c r="AM9" s="275" t="str">
        <f t="shared" si="46"/>
        <v/>
      </c>
      <c r="AN9" s="275"/>
      <c r="AO9" s="275"/>
      <c r="AP9" s="275"/>
      <c r="AQ9" s="275"/>
      <c r="AR9" s="275"/>
      <c r="AS9" s="275"/>
      <c r="AT9" s="275"/>
      <c r="AU9" s="275">
        <f t="shared" si="47"/>
        <v>0</v>
      </c>
      <c r="AV9" s="276">
        <f t="shared" si="48"/>
        <v>0</v>
      </c>
      <c r="AW9" s="278"/>
      <c r="AX9" s="278"/>
      <c r="AY9" s="278"/>
      <c r="AZ9" s="276" t="e">
        <f>IF(OR(D9="新築",D9="登録"),MIN(1000,Q9+T9+W9+AA9+AH9+AL9+AV9),0)</f>
        <v>#REF!</v>
      </c>
      <c r="BA9" s="278"/>
      <c r="BB9" s="279"/>
      <c r="BC9" s="278"/>
      <c r="BD9" s="276">
        <f t="shared" si="49"/>
        <v>0</v>
      </c>
      <c r="BE9" s="275" t="str">
        <f t="shared" si="50"/>
        <v/>
      </c>
      <c r="BF9" s="280"/>
      <c r="BG9" s="280"/>
      <c r="BH9" s="276" t="e">
        <f>IF(AND(BD9&gt;0,BE9=1,#REF!=""),100,0)</f>
        <v>#REF!</v>
      </c>
      <c r="BI9" s="275" t="str">
        <f t="shared" si="51"/>
        <v/>
      </c>
      <c r="BJ9" s="278"/>
      <c r="BK9" s="278"/>
      <c r="BL9" s="278"/>
      <c r="BM9" s="276">
        <f t="shared" si="52"/>
        <v>0</v>
      </c>
      <c r="BN9" s="275" t="str">
        <f t="shared" si="53"/>
        <v/>
      </c>
      <c r="BO9" s="278"/>
      <c r="BP9" s="278"/>
      <c r="BQ9" s="278"/>
      <c r="BR9" s="276">
        <f t="shared" si="54"/>
        <v>0</v>
      </c>
      <c r="BS9" s="278"/>
      <c r="BT9" s="276">
        <f>IF(D9="改修",MIN(500,BD9+BH9+BM9+BR9,INT(CM9*10/2)),0)</f>
        <v>0</v>
      </c>
      <c r="BU9" s="281"/>
      <c r="BV9" s="282" t="s">
        <v>9</v>
      </c>
      <c r="BW9" s="283"/>
      <c r="BX9" s="282" t="s">
        <v>396</v>
      </c>
      <c r="BY9" s="283"/>
      <c r="BZ9" s="284" t="s">
        <v>8</v>
      </c>
      <c r="CA9" s="281"/>
      <c r="CB9" s="282" t="s">
        <v>9</v>
      </c>
      <c r="CC9" s="283"/>
      <c r="CD9" s="282" t="s">
        <v>396</v>
      </c>
      <c r="CE9" s="283"/>
      <c r="CF9" s="284" t="s">
        <v>8</v>
      </c>
      <c r="CG9" s="271">
        <v>43409</v>
      </c>
      <c r="CH9" s="285" t="e">
        <f t="shared" si="16"/>
        <v>#REF!</v>
      </c>
      <c r="CI9" s="272" t="s">
        <v>397</v>
      </c>
      <c r="CJ9" s="272" t="s">
        <v>398</v>
      </c>
      <c r="CK9" s="268" t="s">
        <v>422</v>
      </c>
      <c r="CL9" s="272">
        <v>100</v>
      </c>
      <c r="CM9" s="286">
        <v>2200</v>
      </c>
      <c r="CN9" s="273" t="s">
        <v>400</v>
      </c>
      <c r="CO9" s="271"/>
      <c r="CP9" s="270"/>
      <c r="CQ9" s="270"/>
      <c r="CR9" s="271"/>
      <c r="CS9" s="271"/>
      <c r="CT9" s="270"/>
      <c r="CU9" s="270"/>
      <c r="CV9" s="270"/>
      <c r="CW9" s="270"/>
      <c r="CX9" s="270"/>
      <c r="CY9" s="270"/>
      <c r="CZ9" s="270"/>
      <c r="DA9" s="287"/>
      <c r="DB9" s="270"/>
      <c r="DC9" s="275">
        <v>25</v>
      </c>
      <c r="DD9" s="275">
        <v>18</v>
      </c>
      <c r="DE9" s="280" t="s">
        <v>427</v>
      </c>
      <c r="DF9" s="276">
        <f t="shared" si="4"/>
        <v>150</v>
      </c>
      <c r="DG9" s="276">
        <f>MIN(Q9,DF9)</f>
        <v>150</v>
      </c>
      <c r="DH9" s="275">
        <f t="shared" si="17"/>
        <v>1</v>
      </c>
      <c r="DI9" s="275">
        <v>13</v>
      </c>
      <c r="DJ9" s="280" t="s">
        <v>427</v>
      </c>
      <c r="DK9" s="277">
        <f t="shared" si="18"/>
        <v>100</v>
      </c>
      <c r="DL9" s="276">
        <f>MIN(T9,DK9)</f>
        <v>100</v>
      </c>
      <c r="DM9" s="275">
        <f t="shared" si="19"/>
        <v>1</v>
      </c>
      <c r="DN9" s="275">
        <v>2</v>
      </c>
      <c r="DO9" s="280" t="s">
        <v>428</v>
      </c>
      <c r="DP9" s="277">
        <f t="shared" si="20"/>
        <v>40</v>
      </c>
      <c r="DQ9" s="276">
        <f>MIN(W9,DP9)</f>
        <v>40</v>
      </c>
      <c r="DR9" s="275" t="str">
        <f t="shared" si="21"/>
        <v/>
      </c>
      <c r="DS9" s="275"/>
      <c r="DT9" s="275">
        <f t="shared" si="5"/>
        <v>0</v>
      </c>
      <c r="DU9" s="275">
        <f t="shared" si="22"/>
        <v>1</v>
      </c>
      <c r="DV9" s="275">
        <v>45</v>
      </c>
      <c r="DW9" s="280" t="s">
        <v>429</v>
      </c>
      <c r="DX9" s="275">
        <f t="shared" si="23"/>
        <v>90</v>
      </c>
      <c r="DY9" s="276">
        <f t="shared" si="6"/>
        <v>90</v>
      </c>
      <c r="DZ9" s="276">
        <f>MIN(AA9,DY9)</f>
        <v>90</v>
      </c>
      <c r="EA9" s="275">
        <f t="shared" si="24"/>
        <v>1</v>
      </c>
      <c r="EB9" s="275"/>
      <c r="EC9" s="275">
        <v>1</v>
      </c>
      <c r="ED9" s="276" t="e">
        <f>IF(AND(DF9&gt;0,EA9=1,#REF!=""),100,0)</f>
        <v>#REF!</v>
      </c>
      <c r="EE9" s="276" t="e">
        <f>MIN(AH9,ED9)</f>
        <v>#REF!</v>
      </c>
      <c r="EF9" s="275" t="str">
        <f t="shared" si="25"/>
        <v/>
      </c>
      <c r="EG9" s="275"/>
      <c r="EH9" s="275"/>
      <c r="EI9" s="276">
        <f t="shared" si="7"/>
        <v>0</v>
      </c>
      <c r="EJ9" s="276">
        <f>MIN(AL9,EI9)</f>
        <v>0</v>
      </c>
      <c r="EK9" s="275" t="str">
        <f t="shared" si="26"/>
        <v/>
      </c>
      <c r="EL9" s="275"/>
      <c r="EM9" s="275"/>
      <c r="EN9" s="275"/>
      <c r="EO9" s="275"/>
      <c r="EP9" s="275"/>
      <c r="EQ9" s="275"/>
      <c r="ER9" s="275"/>
      <c r="ES9" s="275">
        <f t="shared" si="27"/>
        <v>0</v>
      </c>
      <c r="ET9" s="276">
        <f t="shared" si="28"/>
        <v>0</v>
      </c>
      <c r="EU9" s="276">
        <f>MIN(AV9,ET9)</f>
        <v>0</v>
      </c>
      <c r="EV9" s="278"/>
      <c r="EW9" s="278"/>
      <c r="EX9" s="278"/>
      <c r="EY9" s="278"/>
      <c r="EZ9" s="278"/>
      <c r="FA9" s="276" t="e">
        <f>IF(D9="新築",MIN(1500,CH9,MIN(DG9+DL9+DQ9+DZ9+EE9+EJ9+EU9,1000)),0)</f>
        <v>#REF!</v>
      </c>
      <c r="FB9" s="276" t="e">
        <f t="shared" si="8"/>
        <v>#REF!</v>
      </c>
      <c r="FC9" s="278"/>
      <c r="FD9" s="288"/>
      <c r="FE9" s="288"/>
      <c r="FF9" s="278"/>
      <c r="FG9" s="278"/>
      <c r="FH9" s="276">
        <f t="shared" si="29"/>
        <v>0</v>
      </c>
      <c r="FI9" s="276">
        <f t="shared" si="9"/>
        <v>0</v>
      </c>
      <c r="FJ9" s="275" t="str">
        <f t="shared" si="30"/>
        <v/>
      </c>
      <c r="FK9" s="280"/>
      <c r="FL9" s="280"/>
      <c r="FM9" s="276" t="e">
        <f>IF(AND(FH9&gt;0,FJ9=1,#REF!=""),100,0)</f>
        <v>#REF!</v>
      </c>
      <c r="FN9" s="276" t="e">
        <f t="shared" si="10"/>
        <v>#REF!</v>
      </c>
      <c r="FO9" s="275" t="str">
        <f t="shared" si="31"/>
        <v/>
      </c>
      <c r="FP9" s="278"/>
      <c r="FQ9" s="278"/>
      <c r="FR9" s="278"/>
      <c r="FS9" s="276">
        <f t="shared" si="32"/>
        <v>0</v>
      </c>
      <c r="FT9" s="276">
        <f t="shared" si="11"/>
        <v>0</v>
      </c>
      <c r="FU9" s="275" t="str">
        <f t="shared" si="33"/>
        <v/>
      </c>
      <c r="FV9" s="278"/>
      <c r="FW9" s="278"/>
      <c r="FX9" s="278"/>
      <c r="FY9" s="276">
        <f t="shared" si="34"/>
        <v>0</v>
      </c>
      <c r="FZ9" s="276">
        <f t="shared" si="12"/>
        <v>0</v>
      </c>
      <c r="GA9" s="278"/>
      <c r="GB9" s="278"/>
      <c r="GC9" s="276">
        <f>IF(D9="改修",MIN(500,FI9+FN9+FT9+FZ9,INT(CM9*10/2)),0)</f>
        <v>0</v>
      </c>
      <c r="GD9" s="276">
        <f t="shared" si="13"/>
        <v>0</v>
      </c>
      <c r="GE9" s="289" t="s">
        <v>405</v>
      </c>
      <c r="GF9" s="290">
        <v>43403</v>
      </c>
      <c r="GG9" s="290">
        <v>43409</v>
      </c>
      <c r="GH9" s="290">
        <v>43429</v>
      </c>
      <c r="GI9" s="285" t="e">
        <f>IF(D9="新築",AZ9,IF(D9="改修",BT9,0))</f>
        <v>#REF!</v>
      </c>
      <c r="GJ9" s="285" t="e">
        <f t="shared" si="14"/>
        <v>#REF!</v>
      </c>
      <c r="GK9" s="285" t="e">
        <f t="shared" si="35"/>
        <v>#REF!</v>
      </c>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1"/>
      <c r="HS9" s="131"/>
      <c r="HT9" s="131"/>
      <c r="HU9" s="131"/>
      <c r="HV9" s="131"/>
      <c r="HW9" s="131"/>
      <c r="HX9" s="131"/>
      <c r="HY9" s="131"/>
      <c r="HZ9" s="131"/>
      <c r="IA9" s="131"/>
      <c r="IB9" s="131"/>
      <c r="IC9" s="131"/>
      <c r="ID9" s="131"/>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c r="JR9" s="131"/>
      <c r="JS9" s="131"/>
      <c r="JT9" s="131"/>
      <c r="JU9" s="131"/>
      <c r="JV9" s="131"/>
      <c r="JW9" s="131"/>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c r="LK9" s="131"/>
      <c r="LL9" s="131"/>
      <c r="LM9" s="131"/>
      <c r="LN9" s="131"/>
      <c r="LO9" s="131"/>
      <c r="LP9" s="131"/>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131"/>
      <c r="ND9" s="131"/>
      <c r="NE9" s="131"/>
      <c r="NF9" s="131"/>
      <c r="NG9" s="131"/>
      <c r="NH9" s="131"/>
      <c r="NI9" s="131"/>
      <c r="NJ9" s="131"/>
      <c r="NK9" s="131"/>
      <c r="NL9" s="131"/>
      <c r="NM9" s="131"/>
      <c r="NN9" s="131"/>
      <c r="NO9" s="131"/>
      <c r="NP9" s="131"/>
      <c r="NQ9" s="131"/>
      <c r="NR9" s="131"/>
      <c r="NS9" s="131"/>
      <c r="NT9" s="131"/>
      <c r="NU9" s="131"/>
      <c r="NV9" s="131"/>
      <c r="NW9" s="131"/>
      <c r="NX9" s="131"/>
      <c r="NY9" s="131"/>
      <c r="NZ9" s="131"/>
      <c r="OA9" s="131"/>
      <c r="OB9" s="131"/>
      <c r="OC9" s="131"/>
      <c r="OD9" s="131"/>
      <c r="OE9" s="131"/>
      <c r="OF9" s="131"/>
      <c r="OG9" s="131"/>
      <c r="OH9" s="131"/>
      <c r="OI9" s="131"/>
      <c r="OJ9" s="131"/>
      <c r="OK9" s="131"/>
      <c r="OL9" s="131"/>
      <c r="OM9" s="131"/>
      <c r="ON9" s="131"/>
      <c r="OO9" s="131"/>
      <c r="OP9" s="131"/>
      <c r="OQ9" s="131"/>
      <c r="OR9" s="131"/>
      <c r="OS9" s="131"/>
      <c r="OT9" s="131"/>
      <c r="OU9" s="131"/>
      <c r="OV9" s="131"/>
      <c r="OW9" s="131"/>
      <c r="OX9" s="131"/>
      <c r="OY9" s="131"/>
      <c r="OZ9" s="131"/>
      <c r="PA9" s="131"/>
      <c r="PB9" s="131"/>
      <c r="PC9" s="131"/>
      <c r="PD9" s="131"/>
      <c r="PE9" s="131"/>
      <c r="PF9" s="131"/>
      <c r="PG9" s="131"/>
      <c r="PH9" s="131"/>
      <c r="PI9" s="131"/>
      <c r="PJ9" s="131"/>
      <c r="PK9" s="131"/>
      <c r="PL9" s="131"/>
      <c r="PM9" s="131"/>
      <c r="PN9" s="131"/>
      <c r="PO9" s="131"/>
      <c r="PP9" s="131"/>
      <c r="PQ9" s="131"/>
      <c r="PR9" s="131"/>
      <c r="PS9" s="131"/>
      <c r="PT9" s="131"/>
      <c r="PU9" s="131"/>
      <c r="PV9" s="131"/>
      <c r="PW9" s="131"/>
      <c r="PX9" s="131"/>
      <c r="PY9" s="131"/>
      <c r="PZ9" s="131"/>
      <c r="QA9" s="131"/>
      <c r="QB9" s="131"/>
      <c r="QC9" s="131"/>
      <c r="QD9" s="131"/>
      <c r="QE9" s="131"/>
      <c r="QF9" s="131"/>
      <c r="QG9" s="131"/>
      <c r="QH9" s="131"/>
      <c r="QI9" s="131"/>
      <c r="QJ9" s="131"/>
      <c r="QK9" s="131"/>
      <c r="QL9" s="131"/>
      <c r="QM9" s="131"/>
      <c r="QN9" s="131"/>
      <c r="QO9" s="131"/>
      <c r="QP9" s="131"/>
      <c r="QQ9" s="131"/>
      <c r="QR9" s="131"/>
      <c r="QS9" s="131"/>
      <c r="QT9" s="131"/>
      <c r="QU9" s="131"/>
      <c r="QV9" s="131"/>
      <c r="QW9" s="131"/>
      <c r="QX9" s="131"/>
      <c r="QY9" s="131"/>
      <c r="QZ9" s="131"/>
      <c r="RA9" s="131"/>
      <c r="RB9" s="131"/>
      <c r="RC9" s="131"/>
      <c r="RD9" s="131"/>
      <c r="RE9" s="131"/>
      <c r="RF9" s="131"/>
      <c r="RG9" s="131"/>
      <c r="RH9" s="131"/>
      <c r="RI9" s="131"/>
      <c r="RJ9" s="131"/>
      <c r="RK9" s="131"/>
      <c r="RL9" s="131"/>
      <c r="RM9" s="131"/>
      <c r="RN9" s="131"/>
      <c r="RO9" s="131"/>
      <c r="RP9" s="131"/>
      <c r="RQ9" s="131"/>
      <c r="RR9" s="131"/>
      <c r="RS9" s="131"/>
      <c r="RT9" s="131"/>
      <c r="RU9" s="131"/>
      <c r="RV9" s="131"/>
      <c r="RW9" s="131"/>
      <c r="RX9" s="131"/>
      <c r="RY9" s="131"/>
      <c r="RZ9" s="131"/>
      <c r="SA9" s="131"/>
      <c r="SB9" s="131"/>
      <c r="SC9" s="131"/>
      <c r="SD9" s="131"/>
      <c r="SE9" s="131"/>
      <c r="SF9" s="131"/>
      <c r="SG9" s="131"/>
      <c r="SH9" s="131"/>
      <c r="SI9" s="131"/>
      <c r="SJ9" s="131"/>
      <c r="SK9" s="131"/>
      <c r="SL9" s="131"/>
      <c r="SM9" s="131"/>
      <c r="SN9" s="131"/>
      <c r="SO9" s="131"/>
      <c r="SP9" s="131"/>
      <c r="SQ9" s="131"/>
      <c r="SR9" s="131"/>
      <c r="SS9" s="131"/>
      <c r="ST9" s="131"/>
      <c r="SU9" s="131"/>
      <c r="SV9" s="131"/>
      <c r="SW9" s="131"/>
      <c r="SX9" s="131"/>
      <c r="SY9" s="131"/>
      <c r="SZ9" s="131"/>
      <c r="TA9" s="131"/>
      <c r="TB9" s="131"/>
      <c r="TC9" s="131"/>
      <c r="TD9" s="131"/>
      <c r="TE9" s="131"/>
      <c r="TF9" s="131"/>
      <c r="TG9" s="131"/>
      <c r="TH9" s="131"/>
      <c r="TI9" s="131"/>
      <c r="TJ9" s="131"/>
      <c r="TK9" s="131"/>
      <c r="TL9" s="131"/>
      <c r="TM9" s="131"/>
      <c r="TN9" s="131"/>
      <c r="TO9" s="131"/>
      <c r="TP9" s="131"/>
      <c r="TQ9" s="131"/>
      <c r="TR9" s="131"/>
      <c r="TS9" s="131"/>
      <c r="TT9" s="131"/>
      <c r="TU9" s="131"/>
      <c r="TV9" s="131"/>
      <c r="TW9" s="131"/>
      <c r="TX9" s="131"/>
      <c r="TY9" s="131"/>
      <c r="TZ9" s="131"/>
      <c r="UA9" s="131"/>
      <c r="UB9" s="131"/>
      <c r="UC9" s="131"/>
      <c r="UD9" s="131"/>
      <c r="UE9" s="131"/>
      <c r="UF9" s="131"/>
      <c r="UG9" s="131"/>
      <c r="UH9" s="131"/>
      <c r="UI9" s="131"/>
      <c r="UJ9" s="131"/>
      <c r="UK9" s="131"/>
      <c r="UL9" s="131"/>
      <c r="UM9" s="131"/>
      <c r="UN9" s="131"/>
      <c r="UO9" s="131"/>
      <c r="UP9" s="131"/>
      <c r="UQ9" s="131"/>
      <c r="UR9" s="131"/>
      <c r="US9" s="131"/>
      <c r="UT9" s="131"/>
      <c r="UU9" s="131"/>
      <c r="UV9" s="131"/>
      <c r="UW9" s="131"/>
      <c r="UX9" s="131"/>
      <c r="UY9" s="131"/>
      <c r="UZ9" s="131"/>
      <c r="VA9" s="131"/>
      <c r="VB9" s="131"/>
      <c r="VC9" s="131"/>
      <c r="VD9" s="131"/>
      <c r="VE9" s="131"/>
      <c r="VF9" s="131"/>
      <c r="VG9" s="131"/>
      <c r="VH9" s="131"/>
      <c r="VI9" s="131"/>
      <c r="VJ9" s="131"/>
      <c r="VK9" s="131"/>
      <c r="VL9" s="131"/>
      <c r="VM9" s="131"/>
      <c r="VN9" s="131"/>
      <c r="VO9" s="131"/>
      <c r="VP9" s="131"/>
      <c r="VQ9" s="131"/>
      <c r="VR9" s="131"/>
      <c r="VS9" s="131"/>
      <c r="VT9" s="131"/>
      <c r="VU9" s="131"/>
      <c r="VV9" s="131"/>
      <c r="VW9" s="131"/>
      <c r="VX9" s="131"/>
      <c r="VY9" s="131"/>
      <c r="VZ9" s="131"/>
      <c r="WA9" s="131"/>
      <c r="WB9" s="131"/>
      <c r="WC9" s="131"/>
      <c r="WD9" s="131"/>
      <c r="WE9" s="131"/>
      <c r="WF9" s="131"/>
      <c r="WG9" s="131"/>
      <c r="WH9" s="131"/>
      <c r="WI9" s="131"/>
      <c r="WJ9" s="131"/>
      <c r="WK9" s="131"/>
      <c r="WL9" s="131"/>
      <c r="WM9" s="131"/>
      <c r="WN9" s="131"/>
      <c r="WO9" s="131"/>
      <c r="WP9" s="131"/>
      <c r="WQ9" s="131"/>
      <c r="WR9" s="131"/>
      <c r="WS9" s="131"/>
      <c r="WT9" s="131"/>
      <c r="WU9" s="131"/>
      <c r="WV9" s="131"/>
      <c r="WW9" s="131"/>
      <c r="WX9" s="131"/>
      <c r="WY9" s="131"/>
      <c r="WZ9" s="131"/>
      <c r="XA9" s="131"/>
      <c r="XB9" s="131"/>
      <c r="XC9" s="131"/>
      <c r="XD9" s="131"/>
      <c r="XE9" s="131"/>
      <c r="XF9" s="131"/>
      <c r="XG9" s="131"/>
      <c r="XH9" s="131"/>
      <c r="XI9" s="131"/>
      <c r="XJ9" s="131"/>
      <c r="XK9" s="131"/>
      <c r="XL9" s="131"/>
      <c r="XM9" s="131"/>
      <c r="XN9" s="131"/>
      <c r="XO9" s="131"/>
      <c r="XP9" s="131"/>
      <c r="XQ9" s="131"/>
      <c r="XR9" s="131"/>
      <c r="XS9" s="131"/>
      <c r="XT9" s="131"/>
      <c r="XU9" s="131"/>
      <c r="XV9" s="131"/>
      <c r="XW9" s="131"/>
      <c r="XX9" s="131"/>
      <c r="XY9" s="131"/>
      <c r="XZ9" s="131"/>
      <c r="YA9" s="131"/>
      <c r="YB9" s="131"/>
      <c r="YC9" s="131"/>
      <c r="YD9" s="131"/>
      <c r="YE9" s="131"/>
      <c r="YF9" s="131"/>
      <c r="YG9" s="131"/>
      <c r="YH9" s="131"/>
      <c r="YI9" s="131"/>
      <c r="YJ9" s="131"/>
      <c r="YK9" s="131"/>
      <c r="YL9" s="131"/>
      <c r="YM9" s="131"/>
      <c r="YN9" s="131"/>
      <c r="YO9" s="131"/>
      <c r="YP9" s="131"/>
      <c r="YQ9" s="131"/>
      <c r="YR9" s="131"/>
      <c r="YS9" s="131"/>
      <c r="YT9" s="131"/>
      <c r="YU9" s="131"/>
      <c r="YV9" s="131"/>
      <c r="YW9" s="131"/>
      <c r="YX9" s="131"/>
      <c r="YY9" s="131"/>
      <c r="YZ9" s="131"/>
      <c r="ZA9" s="131"/>
      <c r="ZB9" s="131"/>
      <c r="ZC9" s="131"/>
      <c r="ZD9" s="131"/>
      <c r="ZE9" s="131"/>
      <c r="ZF9" s="131"/>
      <c r="ZG9" s="131"/>
      <c r="ZH9" s="131"/>
      <c r="ZI9" s="131"/>
      <c r="ZJ9" s="131"/>
      <c r="ZK9" s="131"/>
      <c r="ZL9" s="131"/>
      <c r="ZM9" s="131"/>
      <c r="ZN9" s="131"/>
      <c r="ZO9" s="131"/>
      <c r="ZP9" s="131"/>
      <c r="ZQ9" s="131"/>
      <c r="ZR9" s="131"/>
      <c r="ZS9" s="131"/>
      <c r="ZT9" s="131"/>
      <c r="ZU9" s="131"/>
      <c r="ZV9" s="131"/>
      <c r="ZW9" s="131"/>
      <c r="ZX9" s="131"/>
      <c r="ZY9" s="131"/>
      <c r="ZZ9" s="131"/>
      <c r="AAA9" s="131"/>
      <c r="AAB9" s="131"/>
      <c r="AAC9" s="131"/>
      <c r="AAD9" s="131"/>
      <c r="AAE9" s="131"/>
      <c r="AAF9" s="131"/>
      <c r="AAG9" s="131"/>
      <c r="AAH9" s="131"/>
      <c r="AAI9" s="131"/>
      <c r="AAJ9" s="131"/>
      <c r="AAK9" s="131"/>
      <c r="AAL9" s="131"/>
      <c r="AAM9" s="131"/>
      <c r="AAN9" s="131"/>
      <c r="AAO9" s="131"/>
      <c r="AAP9" s="131"/>
      <c r="AAQ9" s="131"/>
      <c r="AAR9" s="131"/>
      <c r="AAS9" s="131"/>
      <c r="AAT9" s="131"/>
      <c r="AAU9" s="131"/>
      <c r="AAV9" s="131"/>
      <c r="AAW9" s="131"/>
      <c r="AAX9" s="131"/>
      <c r="AAY9" s="131"/>
      <c r="AAZ9" s="131"/>
      <c r="ABA9" s="131"/>
      <c r="ABB9" s="131"/>
      <c r="ABC9" s="131"/>
      <c r="ABD9" s="131"/>
      <c r="ABE9" s="131"/>
      <c r="ABF9" s="131"/>
      <c r="ABG9" s="131"/>
      <c r="ABH9" s="131"/>
      <c r="ABI9" s="131"/>
      <c r="ABJ9" s="131"/>
      <c r="ABK9" s="131"/>
      <c r="ABL9" s="131"/>
      <c r="ABM9" s="131"/>
      <c r="ABN9" s="131"/>
      <c r="ABO9" s="131"/>
      <c r="ABP9" s="131"/>
      <c r="ABQ9" s="131"/>
      <c r="ABR9" s="131"/>
      <c r="ABS9" s="131"/>
      <c r="ABT9" s="131"/>
      <c r="ABU9" s="131"/>
      <c r="ABV9" s="131"/>
      <c r="ABW9" s="131"/>
      <c r="ABX9" s="131"/>
      <c r="ABY9" s="131"/>
      <c r="ABZ9" s="131"/>
      <c r="ACA9" s="131"/>
      <c r="ACB9" s="131"/>
      <c r="ACC9" s="131"/>
      <c r="ACD9" s="131"/>
      <c r="ACE9" s="131"/>
      <c r="ACF9" s="131"/>
      <c r="ACG9" s="131"/>
      <c r="ACH9" s="131"/>
      <c r="ACI9" s="131"/>
      <c r="ACJ9" s="131"/>
      <c r="ACK9" s="131"/>
      <c r="ACL9" s="131"/>
      <c r="ACM9" s="131"/>
      <c r="ACN9" s="131"/>
      <c r="ACO9" s="131"/>
      <c r="ACP9" s="131"/>
      <c r="ACQ9" s="131"/>
      <c r="ACR9" s="131"/>
      <c r="ACS9" s="131"/>
      <c r="ACT9" s="131"/>
      <c r="ACU9" s="131"/>
      <c r="ACV9" s="131"/>
      <c r="ACW9" s="131"/>
      <c r="ACX9" s="131"/>
      <c r="ACY9" s="131"/>
      <c r="ACZ9" s="131"/>
      <c r="ADA9" s="131"/>
      <c r="ADB9" s="131"/>
      <c r="ADC9" s="131"/>
      <c r="ADD9" s="131"/>
      <c r="ADE9" s="131"/>
      <c r="ADF9" s="131"/>
      <c r="ADG9" s="131"/>
      <c r="ADH9" s="131"/>
      <c r="ADI9" s="131"/>
      <c r="ADJ9" s="131"/>
      <c r="ADK9" s="131"/>
      <c r="ADL9" s="131"/>
      <c r="ADM9" s="131"/>
      <c r="ADN9" s="131"/>
      <c r="ADO9" s="131"/>
      <c r="ADP9" s="131"/>
      <c r="ADQ9" s="131"/>
      <c r="ADR9" s="131"/>
      <c r="ADS9" s="131"/>
      <c r="ADT9" s="131"/>
      <c r="ADU9" s="131"/>
      <c r="ADV9" s="131"/>
      <c r="ADW9" s="131"/>
      <c r="ADX9" s="131"/>
      <c r="ADY9" s="131"/>
      <c r="ADZ9" s="131"/>
      <c r="AEA9" s="131"/>
      <c r="AEB9" s="131"/>
      <c r="AEC9" s="131"/>
      <c r="AED9" s="131"/>
      <c r="AEE9" s="131"/>
      <c r="AEF9" s="131"/>
      <c r="AEG9" s="131"/>
      <c r="AEH9" s="131"/>
      <c r="AEI9" s="131"/>
      <c r="AEJ9" s="131"/>
      <c r="AEK9" s="131"/>
      <c r="AEL9" s="131"/>
      <c r="AEM9" s="131"/>
      <c r="AEN9" s="131"/>
      <c r="AEO9" s="131"/>
      <c r="AEP9" s="131"/>
      <c r="AEQ9" s="131"/>
      <c r="AER9" s="131"/>
      <c r="AES9" s="131"/>
      <c r="AET9" s="131"/>
      <c r="AEU9" s="131"/>
      <c r="AEV9" s="131"/>
      <c r="AEW9" s="131"/>
      <c r="AEX9" s="131"/>
      <c r="AEY9" s="131"/>
      <c r="AEZ9" s="131"/>
      <c r="AFA9" s="131"/>
      <c r="AFB9" s="131"/>
      <c r="AFC9" s="131"/>
      <c r="AFD9" s="131"/>
      <c r="AFE9" s="131"/>
      <c r="AFF9" s="131"/>
      <c r="AFG9" s="131"/>
      <c r="AFH9" s="131"/>
      <c r="AFI9" s="131"/>
      <c r="AFJ9" s="131"/>
      <c r="AFK9" s="131"/>
      <c r="AFL9" s="131"/>
      <c r="AFM9" s="131"/>
      <c r="AFN9" s="131"/>
      <c r="AFO9" s="131"/>
      <c r="AFP9" s="131"/>
      <c r="AFQ9" s="131"/>
      <c r="AFR9" s="131"/>
      <c r="AFS9" s="131"/>
      <c r="AFT9" s="131"/>
      <c r="AFU9" s="131"/>
      <c r="AFV9" s="131"/>
      <c r="AFW9" s="131"/>
      <c r="AFX9" s="131"/>
      <c r="AFY9" s="131"/>
      <c r="AFZ9" s="131"/>
      <c r="AGA9" s="131"/>
      <c r="AGB9" s="131"/>
      <c r="AGC9" s="131"/>
      <c r="AGD9" s="131"/>
      <c r="AGE9" s="131"/>
      <c r="AGF9" s="131"/>
      <c r="AGG9" s="131"/>
      <c r="AGH9" s="131"/>
      <c r="AGI9" s="131"/>
      <c r="AGJ9" s="131"/>
      <c r="AGK9" s="131"/>
      <c r="AGL9" s="131"/>
      <c r="AGM9" s="131"/>
    </row>
    <row r="10" spans="2:871" ht="12" hidden="1" customHeight="1" x14ac:dyDescent="0.2">
      <c r="B10" s="295" t="str">
        <f t="shared" si="0"/>
        <v/>
      </c>
      <c r="C10" s="296"/>
      <c r="D10" s="297"/>
      <c r="E10" s="298" t="str">
        <f t="shared" si="15"/>
        <v/>
      </c>
      <c r="F10" s="299"/>
      <c r="G10" s="299"/>
      <c r="H10" s="300"/>
      <c r="I10" s="299"/>
      <c r="J10" s="297"/>
      <c r="K10" s="299"/>
      <c r="L10" s="297"/>
      <c r="M10" s="297"/>
      <c r="N10" s="301"/>
      <c r="O10" s="302"/>
      <c r="P10" s="302"/>
      <c r="Q10" s="302">
        <f t="shared" si="36"/>
        <v>0</v>
      </c>
      <c r="R10" s="302" t="str">
        <f t="shared" si="37"/>
        <v/>
      </c>
      <c r="S10" s="302"/>
      <c r="T10" s="303">
        <f t="shared" si="38"/>
        <v>0</v>
      </c>
      <c r="U10" s="302" t="str">
        <f t="shared" si="39"/>
        <v/>
      </c>
      <c r="V10" s="302"/>
      <c r="W10" s="303">
        <f t="shared" si="40"/>
        <v>0</v>
      </c>
      <c r="X10" s="302" t="str">
        <f t="shared" si="41"/>
        <v/>
      </c>
      <c r="Y10" s="302"/>
      <c r="Z10" s="302">
        <f t="shared" si="42"/>
        <v>0</v>
      </c>
      <c r="AA10" s="302">
        <f t="shared" si="1"/>
        <v>0</v>
      </c>
      <c r="AB10" s="302" t="str">
        <f t="shared" si="43"/>
        <v/>
      </c>
      <c r="AC10" s="302"/>
      <c r="AD10" s="302">
        <f t="shared" si="2"/>
        <v>0</v>
      </c>
      <c r="AE10" s="302" t="str">
        <f t="shared" si="44"/>
        <v/>
      </c>
      <c r="AF10" s="302"/>
      <c r="AG10" s="302"/>
      <c r="AH10" s="302" t="e">
        <f>IF(AND(Q10&gt;0,AE10=1,#REF!=""),100,0)</f>
        <v>#REF!</v>
      </c>
      <c r="AI10" s="302" t="str">
        <f t="shared" si="45"/>
        <v/>
      </c>
      <c r="AJ10" s="302"/>
      <c r="AK10" s="302"/>
      <c r="AL10" s="302">
        <f t="shared" si="3"/>
        <v>0</v>
      </c>
      <c r="AM10" s="302" t="str">
        <f t="shared" si="46"/>
        <v/>
      </c>
      <c r="AN10" s="302"/>
      <c r="AO10" s="302"/>
      <c r="AP10" s="302"/>
      <c r="AQ10" s="302"/>
      <c r="AR10" s="302"/>
      <c r="AS10" s="302"/>
      <c r="AT10" s="302"/>
      <c r="AU10" s="302">
        <f t="shared" si="47"/>
        <v>0</v>
      </c>
      <c r="AV10" s="302">
        <f t="shared" si="48"/>
        <v>0</v>
      </c>
      <c r="AW10" s="302"/>
      <c r="AX10" s="302"/>
      <c r="AY10" s="302"/>
      <c r="AZ10" s="302">
        <f>IF(OR(D10="新築",D10="登録"),MIN(1000,Q10+T10+W10+AA10+AH10+AL10+AV10),0)</f>
        <v>0</v>
      </c>
      <c r="BA10" s="302"/>
      <c r="BB10" s="304"/>
      <c r="BC10" s="302"/>
      <c r="BD10" s="302">
        <f t="shared" si="49"/>
        <v>0</v>
      </c>
      <c r="BE10" s="302" t="str">
        <f t="shared" si="50"/>
        <v/>
      </c>
      <c r="BF10" s="302"/>
      <c r="BG10" s="302"/>
      <c r="BH10" s="302" t="e">
        <f>IF(AND(BD10&gt;0,BE10=1,#REF!=""),100,0)</f>
        <v>#REF!</v>
      </c>
      <c r="BI10" s="302" t="str">
        <f t="shared" si="51"/>
        <v/>
      </c>
      <c r="BJ10" s="302"/>
      <c r="BK10" s="302"/>
      <c r="BL10" s="302"/>
      <c r="BM10" s="302">
        <f t="shared" si="52"/>
        <v>0</v>
      </c>
      <c r="BN10" s="302" t="str">
        <f t="shared" si="53"/>
        <v/>
      </c>
      <c r="BO10" s="302"/>
      <c r="BP10" s="302"/>
      <c r="BQ10" s="302"/>
      <c r="BR10" s="302">
        <f t="shared" si="54"/>
        <v>0</v>
      </c>
      <c r="BS10" s="302"/>
      <c r="BT10" s="302">
        <f>IF(D10="改修",MIN(500,BD10+BH10+BM10+BR10,INT(CM10*10/2)),0)</f>
        <v>0</v>
      </c>
      <c r="BU10" s="305"/>
      <c r="BV10" s="306"/>
      <c r="BW10" s="306"/>
      <c r="BX10" s="306"/>
      <c r="BY10" s="306"/>
      <c r="BZ10" s="307"/>
      <c r="CA10" s="305"/>
      <c r="CB10" s="306"/>
      <c r="CC10" s="306"/>
      <c r="CD10" s="306"/>
      <c r="CE10" s="306"/>
      <c r="CF10" s="307"/>
      <c r="CG10" s="300"/>
      <c r="CH10" s="308">
        <f t="shared" si="16"/>
        <v>0</v>
      </c>
      <c r="CI10" s="299"/>
      <c r="CJ10" s="299"/>
      <c r="CK10" s="297"/>
      <c r="CL10" s="299"/>
      <c r="CM10" s="309"/>
      <c r="CN10" s="297"/>
      <c r="CO10" s="300"/>
      <c r="CP10" s="299"/>
      <c r="CQ10" s="299"/>
      <c r="CR10" s="300"/>
      <c r="CS10" s="300"/>
      <c r="CT10" s="299"/>
      <c r="CU10" s="299"/>
      <c r="CV10" s="299"/>
      <c r="CW10" s="299"/>
      <c r="CX10" s="299"/>
      <c r="CY10" s="299"/>
      <c r="CZ10" s="299"/>
      <c r="DA10" s="310"/>
      <c r="DB10" s="299"/>
      <c r="DC10" s="302"/>
      <c r="DD10" s="302"/>
      <c r="DE10" s="302"/>
      <c r="DF10" s="302">
        <f t="shared" si="4"/>
        <v>0</v>
      </c>
      <c r="DG10" s="302">
        <f>MIN(Q10,DF10)</f>
        <v>0</v>
      </c>
      <c r="DH10" s="302" t="str">
        <f t="shared" si="17"/>
        <v/>
      </c>
      <c r="DI10" s="302"/>
      <c r="DJ10" s="302"/>
      <c r="DK10" s="303">
        <f t="shared" si="18"/>
        <v>0</v>
      </c>
      <c r="DL10" s="302">
        <f>MIN(T10,DK10)</f>
        <v>0</v>
      </c>
      <c r="DM10" s="302" t="str">
        <f t="shared" si="19"/>
        <v/>
      </c>
      <c r="DN10" s="302"/>
      <c r="DO10" s="302"/>
      <c r="DP10" s="303">
        <f t="shared" si="20"/>
        <v>0</v>
      </c>
      <c r="DQ10" s="302">
        <f>MIN(W10,DP10)</f>
        <v>0</v>
      </c>
      <c r="DR10" s="302" t="str">
        <f t="shared" si="21"/>
        <v/>
      </c>
      <c r="DS10" s="302"/>
      <c r="DT10" s="302">
        <f t="shared" si="5"/>
        <v>0</v>
      </c>
      <c r="DU10" s="302" t="str">
        <f t="shared" si="22"/>
        <v/>
      </c>
      <c r="DV10" s="302"/>
      <c r="DW10" s="302"/>
      <c r="DX10" s="302">
        <f t="shared" si="23"/>
        <v>0</v>
      </c>
      <c r="DY10" s="302">
        <f t="shared" si="6"/>
        <v>0</v>
      </c>
      <c r="DZ10" s="302">
        <f>MIN(AA10,DY10)</f>
        <v>0</v>
      </c>
      <c r="EA10" s="302" t="str">
        <f t="shared" si="24"/>
        <v/>
      </c>
      <c r="EB10" s="302"/>
      <c r="EC10" s="302"/>
      <c r="ED10" s="302" t="e">
        <f>IF(AND(DF10&gt;0,EA10=1,#REF!=""),100,0)</f>
        <v>#REF!</v>
      </c>
      <c r="EE10" s="302" t="e">
        <f>MIN(AH10,ED10)</f>
        <v>#REF!</v>
      </c>
      <c r="EF10" s="302" t="str">
        <f t="shared" si="25"/>
        <v/>
      </c>
      <c r="EG10" s="302"/>
      <c r="EH10" s="302"/>
      <c r="EI10" s="302">
        <f t="shared" si="7"/>
        <v>0</v>
      </c>
      <c r="EJ10" s="302">
        <f>MIN(AL10,EI10)</f>
        <v>0</v>
      </c>
      <c r="EK10" s="302" t="str">
        <f t="shared" si="26"/>
        <v/>
      </c>
      <c r="EL10" s="302"/>
      <c r="EM10" s="302"/>
      <c r="EN10" s="302"/>
      <c r="EO10" s="302"/>
      <c r="EP10" s="302"/>
      <c r="EQ10" s="302"/>
      <c r="ER10" s="302"/>
      <c r="ES10" s="302">
        <f t="shared" si="27"/>
        <v>0</v>
      </c>
      <c r="ET10" s="302">
        <f t="shared" si="28"/>
        <v>0</v>
      </c>
      <c r="EU10" s="302">
        <f>MIN(AV10,ET10)</f>
        <v>0</v>
      </c>
      <c r="EV10" s="302"/>
      <c r="EW10" s="302"/>
      <c r="EX10" s="302"/>
      <c r="EY10" s="302"/>
      <c r="EZ10" s="302"/>
      <c r="FA10" s="302">
        <f>IF(D10="新築",MIN(1500,CH10,MIN(DG10+DL10+DQ10+DZ10+EE10+EJ10+EU10,1000)),0)</f>
        <v>0</v>
      </c>
      <c r="FB10" s="302">
        <f t="shared" si="8"/>
        <v>0</v>
      </c>
      <c r="FC10" s="302"/>
      <c r="FD10" s="311"/>
      <c r="FE10" s="311"/>
      <c r="FF10" s="302"/>
      <c r="FG10" s="302"/>
      <c r="FH10" s="302">
        <f t="shared" si="29"/>
        <v>0</v>
      </c>
      <c r="FI10" s="302">
        <f t="shared" si="9"/>
        <v>0</v>
      </c>
      <c r="FJ10" s="302" t="str">
        <f t="shared" si="30"/>
        <v/>
      </c>
      <c r="FK10" s="302"/>
      <c r="FL10" s="302"/>
      <c r="FM10" s="302" t="e">
        <f>IF(AND(FH10&gt;0,FJ10=1,#REF!=""),100,0)</f>
        <v>#REF!</v>
      </c>
      <c r="FN10" s="302" t="e">
        <f t="shared" si="10"/>
        <v>#REF!</v>
      </c>
      <c r="FO10" s="302" t="str">
        <f t="shared" si="31"/>
        <v/>
      </c>
      <c r="FP10" s="302"/>
      <c r="FQ10" s="302"/>
      <c r="FR10" s="302"/>
      <c r="FS10" s="302">
        <f t="shared" si="32"/>
        <v>0</v>
      </c>
      <c r="FT10" s="302">
        <f t="shared" si="11"/>
        <v>0</v>
      </c>
      <c r="FU10" s="302" t="str">
        <f t="shared" si="33"/>
        <v/>
      </c>
      <c r="FV10" s="302"/>
      <c r="FW10" s="302"/>
      <c r="FX10" s="302"/>
      <c r="FY10" s="302">
        <f t="shared" si="34"/>
        <v>0</v>
      </c>
      <c r="FZ10" s="302">
        <f t="shared" si="12"/>
        <v>0</v>
      </c>
      <c r="GA10" s="302"/>
      <c r="GB10" s="302"/>
      <c r="GC10" s="302">
        <f>IF(D10="改修",MIN(500,FI10+FN10+FT10+FZ10,INT(CM10*10/2)),0)</f>
        <v>0</v>
      </c>
      <c r="GD10" s="302">
        <f t="shared" si="13"/>
        <v>0</v>
      </c>
      <c r="GE10" s="299"/>
      <c r="GF10" s="300"/>
      <c r="GG10" s="300"/>
      <c r="GH10" s="300"/>
      <c r="GI10" s="285">
        <f>IF(D10="新築",AZ10,IF(D10="改修",BT10,0))</f>
        <v>0</v>
      </c>
      <c r="GJ10" s="285">
        <f t="shared" si="14"/>
        <v>0</v>
      </c>
      <c r="GK10" s="285">
        <f t="shared" si="35"/>
        <v>0</v>
      </c>
    </row>
    <row r="11" spans="2:871" s="292" customFormat="1" ht="21.65" customHeight="1" outlineLevel="1" x14ac:dyDescent="0.2">
      <c r="B11" s="266" t="str">
        <f t="shared" si="0"/>
        <v/>
      </c>
      <c r="C11" s="312"/>
      <c r="D11" s="268" t="s">
        <v>407</v>
      </c>
      <c r="E11" s="269" t="str">
        <f t="shared" si="15"/>
        <v/>
      </c>
      <c r="F11" s="270"/>
      <c r="G11" s="268"/>
      <c r="H11" s="271"/>
      <c r="I11" s="272" t="s">
        <v>430</v>
      </c>
      <c r="J11" s="273" t="s">
        <v>430</v>
      </c>
      <c r="K11" s="272" t="s">
        <v>430</v>
      </c>
      <c r="L11" s="313" t="s">
        <v>430</v>
      </c>
      <c r="M11" s="273" t="s">
        <v>430</v>
      </c>
      <c r="N11" s="314" t="s">
        <v>430</v>
      </c>
      <c r="O11" s="275"/>
      <c r="P11" s="275"/>
      <c r="Q11" s="276"/>
      <c r="R11" s="275"/>
      <c r="S11" s="275"/>
      <c r="T11" s="277"/>
      <c r="U11" s="275"/>
      <c r="V11" s="275"/>
      <c r="W11" s="277"/>
      <c r="X11" s="275"/>
      <c r="Y11" s="275"/>
      <c r="Z11" s="275"/>
      <c r="AA11" s="276"/>
      <c r="AB11" s="275"/>
      <c r="AC11" s="275"/>
      <c r="AD11" s="275"/>
      <c r="AE11" s="275"/>
      <c r="AF11" s="275"/>
      <c r="AG11" s="275"/>
      <c r="AH11" s="276"/>
      <c r="AI11" s="275"/>
      <c r="AJ11" s="275"/>
      <c r="AK11" s="275"/>
      <c r="AL11" s="276"/>
      <c r="AM11" s="275"/>
      <c r="AN11" s="275"/>
      <c r="AO11" s="275"/>
      <c r="AP11" s="275"/>
      <c r="AQ11" s="275"/>
      <c r="AR11" s="275"/>
      <c r="AS11" s="275"/>
      <c r="AT11" s="275"/>
      <c r="AU11" s="275"/>
      <c r="AV11" s="276"/>
      <c r="AW11" s="278"/>
      <c r="AX11" s="278"/>
      <c r="AY11" s="278"/>
      <c r="AZ11" s="276"/>
      <c r="BA11" s="278"/>
      <c r="BB11" s="279"/>
      <c r="BC11" s="278"/>
      <c r="BD11" s="276"/>
      <c r="BE11" s="275"/>
      <c r="BF11" s="280"/>
      <c r="BG11" s="280"/>
      <c r="BH11" s="276"/>
      <c r="BI11" s="275"/>
      <c r="BJ11" s="278"/>
      <c r="BK11" s="278"/>
      <c r="BL11" s="278"/>
      <c r="BM11" s="276"/>
      <c r="BN11" s="275"/>
      <c r="BO11" s="278"/>
      <c r="BP11" s="278"/>
      <c r="BQ11" s="278"/>
      <c r="BR11" s="276"/>
      <c r="BS11" s="278"/>
      <c r="BT11" s="276"/>
      <c r="BU11" s="315"/>
      <c r="BV11" s="282"/>
      <c r="BW11" s="282"/>
      <c r="BX11" s="282"/>
      <c r="BY11" s="282"/>
      <c r="BZ11" s="284"/>
      <c r="CA11" s="315"/>
      <c r="CB11" s="282"/>
      <c r="CC11" s="282"/>
      <c r="CD11" s="282"/>
      <c r="CE11" s="282"/>
      <c r="CF11" s="284"/>
      <c r="CG11" s="316"/>
      <c r="CH11" s="285"/>
      <c r="CI11" s="272"/>
      <c r="CJ11" s="272"/>
      <c r="CK11" s="268"/>
      <c r="CL11" s="272"/>
      <c r="CM11" s="272"/>
      <c r="CN11" s="272"/>
      <c r="CO11" s="270"/>
      <c r="CP11" s="270"/>
      <c r="CQ11" s="270"/>
      <c r="CR11" s="271"/>
      <c r="CS11" s="271"/>
      <c r="CT11" s="270"/>
      <c r="CU11" s="270"/>
      <c r="CV11" s="270"/>
      <c r="CW11" s="270"/>
      <c r="CX11" s="270"/>
      <c r="CY11" s="270"/>
      <c r="CZ11" s="270"/>
      <c r="DA11" s="287" t="s">
        <v>431</v>
      </c>
      <c r="DB11" s="268" t="s">
        <v>444</v>
      </c>
      <c r="DC11" s="275"/>
      <c r="DD11" s="275"/>
      <c r="DE11" s="280"/>
      <c r="DF11" s="276"/>
      <c r="DG11" s="276"/>
      <c r="DH11" s="275"/>
      <c r="DI11" s="275"/>
      <c r="DJ11" s="280"/>
      <c r="DK11" s="277"/>
      <c r="DL11" s="276"/>
      <c r="DM11" s="275"/>
      <c r="DN11" s="275"/>
      <c r="DO11" s="280"/>
      <c r="DP11" s="277"/>
      <c r="DQ11" s="276"/>
      <c r="DR11" s="275"/>
      <c r="DS11" s="275"/>
      <c r="DT11" s="275"/>
      <c r="DU11" s="275"/>
      <c r="DV11" s="275"/>
      <c r="DW11" s="280"/>
      <c r="DX11" s="275"/>
      <c r="DY11" s="276"/>
      <c r="DZ11" s="276"/>
      <c r="EA11" s="275"/>
      <c r="EB11" s="275"/>
      <c r="EC11" s="275"/>
      <c r="ED11" s="276"/>
      <c r="EE11" s="276"/>
      <c r="EF11" s="275"/>
      <c r="EG11" s="275"/>
      <c r="EH11" s="275"/>
      <c r="EI11" s="276"/>
      <c r="EJ11" s="276"/>
      <c r="EK11" s="275"/>
      <c r="EL11" s="275"/>
      <c r="EM11" s="275"/>
      <c r="EN11" s="275"/>
      <c r="EO11" s="275"/>
      <c r="EP11" s="275"/>
      <c r="EQ11" s="275"/>
      <c r="ER11" s="275"/>
      <c r="ES11" s="275"/>
      <c r="ET11" s="276"/>
      <c r="EU11" s="276"/>
      <c r="EV11" s="275"/>
      <c r="EW11" s="278"/>
      <c r="EX11" s="278"/>
      <c r="EY11" s="280"/>
      <c r="EZ11" s="280"/>
      <c r="FA11" s="276"/>
      <c r="FB11" s="317"/>
      <c r="FC11" s="275" t="str">
        <f>IF(【様式第６号の２】事業報告書兼チェックシート!Q86="","",【様式第６号の２】事業報告書兼チェックシート!Q86)</f>
        <v/>
      </c>
      <c r="FD11" s="335">
        <f>IF(【様式第６号の２】事業報告書兼チェックシート!Q87="",0,【様式第６号の２】事業報告書兼チェックシート!Q87)</f>
        <v>0</v>
      </c>
      <c r="FE11" s="288"/>
      <c r="FF11" s="335">
        <f>IF(【様式第６号の２】事業報告書兼チェックシート!Q88="",0,【様式第６号の２】事業報告書兼チェックシート!Q88)</f>
        <v>0</v>
      </c>
      <c r="FG11" s="278"/>
      <c r="FH11" s="276">
        <f>IFERROR(MIN(ROUNDDOWN(FD11,1)*20+INT(FF11)*2,250),0)</f>
        <v>0</v>
      </c>
      <c r="FI11" s="276">
        <f>IF('要入力　交付決定状況入力シート'!D3="",0,MIN('要入力　交付決定状況入力シート'!D3/1000,FH11))</f>
        <v>0</v>
      </c>
      <c r="FJ11" s="275" t="str">
        <f>IF(OR(FK11=1,FL11=1),1,"")</f>
        <v/>
      </c>
      <c r="FK11" s="275" t="str">
        <f>IF(【様式第６号の２】事業報告書兼チェックシート!Y100="","",IF(【様式第６号の２】事業報告書兼チェックシート!B102="","",1))</f>
        <v/>
      </c>
      <c r="FL11" s="275" t="str">
        <f>IF(【様式第６号の２】事業報告書兼チェックシート!Y100="","",IF(【様式第６号の２】事業報告書兼チェックシート!P102="","",1))</f>
        <v/>
      </c>
      <c r="FM11" s="276" t="str">
        <f>IFERROR(【様式第６号の２】事業報告書兼チェックシート!Y100*10,"")</f>
        <v/>
      </c>
      <c r="FN11" s="276">
        <f>IF('要入力　交付決定状況入力シート'!D5="",0,MIN('要入力　交付決定状況入力シート'!D5/1000,FM11))</f>
        <v>0</v>
      </c>
      <c r="FO11" s="275" t="str">
        <f>IF(OR(FP11=1,FQ11=1,FR11=1),1,"")</f>
        <v/>
      </c>
      <c r="FP11" s="275" t="str">
        <f>IF(【様式第６号の２】事業報告書兼チェックシート!Y118="","",IF(【様式第６号の２】事業報告書兼チェックシート!B131="","",1))</f>
        <v/>
      </c>
      <c r="FQ11" s="275" t="str">
        <f>IF(【様式第６号の２】事業報告書兼チェックシート!Y118="","",IF(【様式第６号の２】事業報告書兼チェックシート!B133="","",1))</f>
        <v/>
      </c>
      <c r="FR11" s="275" t="str">
        <f>IF(【様式第６号の２】事業報告書兼チェックシート!Y118="","",IF(【様式第６号の２】事業報告書兼チェックシート!B135="","",1))</f>
        <v/>
      </c>
      <c r="FS11" s="276" t="str">
        <f>IFERROR(【様式第６号の２】事業報告書兼チェックシート!Y118*10,"")</f>
        <v/>
      </c>
      <c r="FT11" s="276">
        <f>IF('要入力　交付決定状況入力シート'!D6="",0,MIN('要入力　交付決定状況入力シート'!D6/1000,FS11))</f>
        <v>0</v>
      </c>
      <c r="FU11" s="275" t="str">
        <f>IFERROR(IF(OR(AND(FV11&gt;=7,FW11&gt;=7,FV11+FW11&gt;=14),AND(FV11&gt;=7,FX11&gt;=3,FV11+FX11&gt;=10),AND(FW11&gt;=7,FX11&gt;=3,FW11+FX11&gt;=10)),1,""),0)</f>
        <v/>
      </c>
      <c r="FV11" s="275">
        <f>IF(【様式第６号の２】事業報告書兼チェックシート!N161="",0,【様式第６号の２】事業報告書兼チェックシート!N161)</f>
        <v>0</v>
      </c>
      <c r="FW11" s="275">
        <f>IF(【様式第６号の２】事業報告書兼チェックシート!N168="",0,【様式第６号の２】事業報告書兼チェックシート!N168)</f>
        <v>0</v>
      </c>
      <c r="FX11" s="275">
        <f>IF(【様式第６号の２】事業報告書兼チェックシート!N179="",0,【様式第６号の２】事業報告書兼チェックシート!N179)</f>
        <v>0</v>
      </c>
      <c r="FY11" s="276">
        <f t="shared" si="34"/>
        <v>0</v>
      </c>
      <c r="FZ11" s="276">
        <f>IF('要入力　交付決定状況入力シート'!D4="",0,MIN('要入力　交付決定状況入力シート'!D4/1000,FY11))</f>
        <v>0</v>
      </c>
      <c r="GA11" s="275" t="str">
        <f>IF(【様式第６号の２】事業報告書兼チェックシート!R168="","",【様式第６号の２】事業報告書兼チェックシート!R168)</f>
        <v/>
      </c>
      <c r="GB11" s="278"/>
      <c r="GC11" s="276">
        <f>IF(D11="改修",MIN(500,FI11+FN11+FT11+FZ11,INT(【様式第６号の２】事業報告書兼チェックシート!S31*10/2)),0)</f>
        <v>0</v>
      </c>
      <c r="GD11" s="276">
        <f>IFERROR('要入力　交付決定状況入力シート'!D9/1000-GC11,0)</f>
        <v>0</v>
      </c>
      <c r="GE11" s="289"/>
      <c r="GF11" s="290"/>
      <c r="GG11" s="290"/>
      <c r="GH11" s="290"/>
      <c r="GI11" s="285">
        <f>IFERROR(IF(D11="改修",'要入力　交付決定状況入力シート'!D9/1000,0),0)</f>
        <v>0</v>
      </c>
      <c r="GJ11" s="285">
        <f t="shared" si="14"/>
        <v>0</v>
      </c>
      <c r="GK11" s="285">
        <f>GI11-GJ11</f>
        <v>0</v>
      </c>
      <c r="GL11" s="131"/>
      <c r="GM11" s="131"/>
      <c r="GN11" s="131"/>
      <c r="GO11" s="131"/>
      <c r="GP11" s="131"/>
      <c r="GQ11" s="131"/>
      <c r="GR11" s="131"/>
      <c r="GS11" s="131"/>
      <c r="GT11" s="131"/>
      <c r="GU11" s="131"/>
      <c r="GV11" s="131"/>
      <c r="GW11" s="131"/>
      <c r="GX11" s="131"/>
      <c r="GY11" s="131"/>
      <c r="GZ11" s="131"/>
      <c r="HA11" s="131"/>
      <c r="HB11" s="131"/>
      <c r="HC11" s="131"/>
      <c r="HD11" s="131"/>
      <c r="HE11" s="131"/>
      <c r="HF11" s="131"/>
      <c r="HG11" s="131"/>
      <c r="HH11" s="131"/>
      <c r="HI11" s="131"/>
      <c r="HJ11" s="131"/>
      <c r="HK11" s="131"/>
      <c r="HL11" s="131"/>
      <c r="HM11" s="131"/>
      <c r="HN11" s="131"/>
      <c r="HO11" s="131"/>
      <c r="HP11" s="131"/>
      <c r="HQ11" s="131"/>
      <c r="HR11" s="131"/>
      <c r="HS11" s="131"/>
      <c r="HT11" s="131"/>
      <c r="HU11" s="131"/>
      <c r="HV11" s="131"/>
      <c r="HW11" s="131"/>
      <c r="HX11" s="131"/>
      <c r="HY11" s="131"/>
      <c r="HZ11" s="131"/>
      <c r="IA11" s="131"/>
      <c r="IB11" s="131"/>
      <c r="IC11" s="131"/>
      <c r="ID11" s="131"/>
      <c r="IE11" s="131"/>
      <c r="IF11" s="131"/>
      <c r="IG11" s="131"/>
      <c r="IH11" s="131"/>
      <c r="II11" s="131"/>
      <c r="IJ11" s="131"/>
      <c r="IK11" s="131"/>
      <c r="IL11" s="131"/>
      <c r="IM11" s="131"/>
      <c r="IN11" s="131"/>
      <c r="IO11" s="131"/>
      <c r="IP11" s="131"/>
      <c r="IQ11" s="131"/>
      <c r="IR11" s="131"/>
      <c r="IS11" s="131"/>
      <c r="IT11" s="131"/>
      <c r="IU11" s="131"/>
      <c r="IV11" s="131"/>
      <c r="IW11" s="131"/>
      <c r="IX11" s="131"/>
      <c r="IY11" s="131"/>
      <c r="IZ11" s="131"/>
      <c r="JA11" s="131"/>
      <c r="JB11" s="131"/>
      <c r="JC11" s="131"/>
      <c r="JD11" s="131"/>
      <c r="JE11" s="131"/>
      <c r="JF11" s="131"/>
      <c r="JG11" s="131"/>
      <c r="JH11" s="131"/>
      <c r="JI11" s="131"/>
      <c r="JJ11" s="131"/>
      <c r="JK11" s="131"/>
      <c r="JL11" s="131"/>
      <c r="JM11" s="131"/>
      <c r="JN11" s="131"/>
      <c r="JO11" s="131"/>
      <c r="JP11" s="131"/>
      <c r="JQ11" s="131"/>
      <c r="JR11" s="131"/>
      <c r="JS11" s="131"/>
      <c r="JT11" s="131"/>
      <c r="JU11" s="131"/>
      <c r="JV11" s="131"/>
      <c r="JW11" s="131"/>
      <c r="JX11" s="131"/>
      <c r="JY11" s="131"/>
      <c r="JZ11" s="131"/>
      <c r="KA11" s="131"/>
      <c r="KB11" s="131"/>
      <c r="KC11" s="131"/>
      <c r="KD11" s="131"/>
      <c r="KE11" s="131"/>
      <c r="KF11" s="131"/>
      <c r="KG11" s="131"/>
      <c r="KH11" s="131"/>
      <c r="KI11" s="131"/>
      <c r="KJ11" s="131"/>
      <c r="KK11" s="131"/>
      <c r="KL11" s="131"/>
      <c r="KM11" s="131"/>
      <c r="KN11" s="131"/>
      <c r="KO11" s="131"/>
      <c r="KP11" s="131"/>
      <c r="KQ11" s="131"/>
      <c r="KR11" s="131"/>
      <c r="KS11" s="131"/>
      <c r="KT11" s="131"/>
      <c r="KU11" s="131"/>
      <c r="KV11" s="131"/>
      <c r="KW11" s="131"/>
      <c r="KX11" s="131"/>
      <c r="KY11" s="131"/>
      <c r="KZ11" s="131"/>
      <c r="LA11" s="131"/>
      <c r="LB11" s="131"/>
      <c r="LC11" s="131"/>
      <c r="LD11" s="131"/>
      <c r="LE11" s="131"/>
      <c r="LF11" s="131"/>
      <c r="LG11" s="131"/>
      <c r="LH11" s="131"/>
      <c r="LI11" s="131"/>
      <c r="LJ11" s="131"/>
      <c r="LK11" s="131"/>
      <c r="LL11" s="131"/>
      <c r="LM11" s="131"/>
      <c r="LN11" s="131"/>
      <c r="LO11" s="131"/>
      <c r="LP11" s="131"/>
      <c r="LQ11" s="131"/>
      <c r="LR11" s="131"/>
      <c r="LS11" s="131"/>
      <c r="LT11" s="131"/>
      <c r="LU11" s="131"/>
      <c r="LV11" s="131"/>
      <c r="LW11" s="131"/>
      <c r="LX11" s="131"/>
      <c r="LY11" s="131"/>
      <c r="LZ11" s="131"/>
      <c r="MA11" s="131"/>
      <c r="MB11" s="131"/>
      <c r="MC11" s="131"/>
      <c r="MD11" s="131"/>
      <c r="ME11" s="131"/>
      <c r="MF11" s="131"/>
      <c r="MG11" s="131"/>
      <c r="MH11" s="131"/>
      <c r="MI11" s="131"/>
      <c r="MJ11" s="131"/>
      <c r="MK11" s="131"/>
      <c r="ML11" s="131"/>
      <c r="MM11" s="131"/>
      <c r="MN11" s="131"/>
      <c r="MO11" s="131"/>
      <c r="MP11" s="131"/>
      <c r="MQ11" s="131"/>
      <c r="MR11" s="131"/>
      <c r="MS11" s="131"/>
      <c r="MT11" s="131"/>
      <c r="MU11" s="131"/>
      <c r="MV11" s="131"/>
      <c r="MW11" s="131"/>
      <c r="MX11" s="131"/>
      <c r="MY11" s="131"/>
      <c r="MZ11" s="131"/>
      <c r="NA11" s="131"/>
      <c r="NB11" s="131"/>
      <c r="NC11" s="131"/>
      <c r="ND11" s="131"/>
      <c r="NE11" s="131"/>
      <c r="NF11" s="131"/>
      <c r="NG11" s="131"/>
      <c r="NH11" s="131"/>
      <c r="NI11" s="131"/>
      <c r="NJ11" s="131"/>
      <c r="NK11" s="131"/>
      <c r="NL11" s="131"/>
      <c r="NM11" s="131"/>
      <c r="NN11" s="131"/>
      <c r="NO11" s="131"/>
      <c r="NP11" s="131"/>
      <c r="NQ11" s="131"/>
      <c r="NR11" s="131"/>
      <c r="NS11" s="131"/>
      <c r="NT11" s="131"/>
      <c r="NU11" s="131"/>
      <c r="NV11" s="131"/>
      <c r="NW11" s="131"/>
      <c r="NX11" s="131"/>
      <c r="NY11" s="131"/>
      <c r="NZ11" s="131"/>
      <c r="OA11" s="131"/>
      <c r="OB11" s="131"/>
      <c r="OC11" s="131"/>
      <c r="OD11" s="131"/>
      <c r="OE11" s="131"/>
      <c r="OF11" s="131"/>
      <c r="OG11" s="131"/>
      <c r="OH11" s="131"/>
      <c r="OI11" s="131"/>
      <c r="OJ11" s="131"/>
      <c r="OK11" s="131"/>
      <c r="OL11" s="131"/>
      <c r="OM11" s="131"/>
      <c r="ON11" s="131"/>
      <c r="OO11" s="131"/>
      <c r="OP11" s="131"/>
      <c r="OQ11" s="131"/>
      <c r="OR11" s="131"/>
      <c r="OS11" s="131"/>
      <c r="OT11" s="131"/>
      <c r="OU11" s="131"/>
      <c r="OV11" s="131"/>
      <c r="OW11" s="131"/>
      <c r="OX11" s="131"/>
      <c r="OY11" s="131"/>
      <c r="OZ11" s="131"/>
      <c r="PA11" s="131"/>
      <c r="PB11" s="131"/>
      <c r="PC11" s="131"/>
      <c r="PD11" s="131"/>
      <c r="PE11" s="131"/>
      <c r="PF11" s="131"/>
      <c r="PG11" s="131"/>
      <c r="PH11" s="131"/>
      <c r="PI11" s="131"/>
      <c r="PJ11" s="131"/>
      <c r="PK11" s="131"/>
      <c r="PL11" s="131"/>
      <c r="PM11" s="131"/>
      <c r="PN11" s="131"/>
      <c r="PO11" s="131"/>
      <c r="PP11" s="131"/>
      <c r="PQ11" s="131"/>
      <c r="PR11" s="131"/>
      <c r="PS11" s="131"/>
      <c r="PT11" s="131"/>
      <c r="PU11" s="131"/>
      <c r="PV11" s="131"/>
      <c r="PW11" s="131"/>
      <c r="PX11" s="131"/>
      <c r="PY11" s="131"/>
      <c r="PZ11" s="131"/>
      <c r="QA11" s="131"/>
      <c r="QB11" s="131"/>
      <c r="QC11" s="131"/>
      <c r="QD11" s="131"/>
      <c r="QE11" s="131"/>
      <c r="QF11" s="131"/>
      <c r="QG11" s="131"/>
      <c r="QH11" s="131"/>
      <c r="QI11" s="131"/>
      <c r="QJ11" s="131"/>
      <c r="QK11" s="131"/>
      <c r="QL11" s="131"/>
      <c r="QM11" s="131"/>
      <c r="QN11" s="131"/>
      <c r="QO11" s="131"/>
      <c r="QP11" s="131"/>
      <c r="QQ11" s="131"/>
      <c r="QR11" s="131"/>
      <c r="QS11" s="131"/>
      <c r="QT11" s="131"/>
      <c r="QU11" s="131"/>
      <c r="QV11" s="131"/>
      <c r="QW11" s="131"/>
      <c r="QX11" s="131"/>
      <c r="QY11" s="131"/>
      <c r="QZ11" s="131"/>
      <c r="RA11" s="131"/>
      <c r="RB11" s="131"/>
      <c r="RC11" s="131"/>
      <c r="RD11" s="131"/>
      <c r="RE11" s="131"/>
      <c r="RF11" s="131"/>
      <c r="RG11" s="131"/>
      <c r="RH11" s="131"/>
      <c r="RI11" s="131"/>
      <c r="RJ11" s="131"/>
      <c r="RK11" s="131"/>
      <c r="RL11" s="131"/>
      <c r="RM11" s="131"/>
      <c r="RN11" s="131"/>
      <c r="RO11" s="131"/>
      <c r="RP11" s="131"/>
      <c r="RQ11" s="131"/>
      <c r="RR11" s="131"/>
      <c r="RS11" s="131"/>
      <c r="RT11" s="131"/>
      <c r="RU11" s="131"/>
      <c r="RV11" s="131"/>
      <c r="RW11" s="131"/>
      <c r="RX11" s="131"/>
      <c r="RY11" s="131"/>
      <c r="RZ11" s="131"/>
      <c r="SA11" s="131"/>
      <c r="SB11" s="131"/>
      <c r="SC11" s="131"/>
      <c r="SD11" s="131"/>
      <c r="SE11" s="131"/>
      <c r="SF11" s="131"/>
      <c r="SG11" s="131"/>
      <c r="SH11" s="131"/>
      <c r="SI11" s="131"/>
      <c r="SJ11" s="131"/>
      <c r="SK11" s="131"/>
      <c r="SL11" s="131"/>
      <c r="SM11" s="131"/>
      <c r="SN11" s="131"/>
      <c r="SO11" s="131"/>
      <c r="SP11" s="131"/>
      <c r="SQ11" s="131"/>
      <c r="SR11" s="131"/>
      <c r="SS11" s="131"/>
      <c r="ST11" s="131"/>
      <c r="SU11" s="131"/>
      <c r="SV11" s="131"/>
      <c r="SW11" s="131"/>
      <c r="SX11" s="131"/>
      <c r="SY11" s="131"/>
      <c r="SZ11" s="131"/>
      <c r="TA11" s="131"/>
      <c r="TB11" s="131"/>
      <c r="TC11" s="131"/>
      <c r="TD11" s="131"/>
      <c r="TE11" s="131"/>
      <c r="TF11" s="131"/>
      <c r="TG11" s="131"/>
      <c r="TH11" s="131"/>
      <c r="TI11" s="131"/>
      <c r="TJ11" s="131"/>
      <c r="TK11" s="131"/>
      <c r="TL11" s="131"/>
      <c r="TM11" s="131"/>
      <c r="TN11" s="131"/>
      <c r="TO11" s="131"/>
      <c r="TP11" s="131"/>
      <c r="TQ11" s="131"/>
      <c r="TR11" s="131"/>
      <c r="TS11" s="131"/>
      <c r="TT11" s="131"/>
      <c r="TU11" s="131"/>
      <c r="TV11" s="131"/>
      <c r="TW11" s="131"/>
      <c r="TX11" s="131"/>
      <c r="TY11" s="131"/>
      <c r="TZ11" s="131"/>
      <c r="UA11" s="131"/>
      <c r="UB11" s="131"/>
      <c r="UC11" s="131"/>
      <c r="UD11" s="131"/>
      <c r="UE11" s="131"/>
      <c r="UF11" s="131"/>
      <c r="UG11" s="131"/>
      <c r="UH11" s="131"/>
      <c r="UI11" s="131"/>
      <c r="UJ11" s="131"/>
      <c r="UK11" s="131"/>
      <c r="UL11" s="131"/>
      <c r="UM11" s="131"/>
      <c r="UN11" s="131"/>
      <c r="UO11" s="131"/>
      <c r="UP11" s="131"/>
      <c r="UQ11" s="131"/>
      <c r="UR11" s="131"/>
      <c r="US11" s="131"/>
      <c r="UT11" s="131"/>
      <c r="UU11" s="131"/>
      <c r="UV11" s="131"/>
      <c r="UW11" s="131"/>
      <c r="UX11" s="131"/>
      <c r="UY11" s="131"/>
      <c r="UZ11" s="131"/>
      <c r="VA11" s="131"/>
      <c r="VB11" s="131"/>
      <c r="VC11" s="131"/>
      <c r="VD11" s="131"/>
      <c r="VE11" s="131"/>
      <c r="VF11" s="131"/>
      <c r="VG11" s="131"/>
      <c r="VH11" s="131"/>
      <c r="VI11" s="131"/>
      <c r="VJ11" s="131"/>
      <c r="VK11" s="131"/>
      <c r="VL11" s="131"/>
      <c r="VM11" s="131"/>
      <c r="VN11" s="131"/>
      <c r="VO11" s="131"/>
      <c r="VP11" s="131"/>
      <c r="VQ11" s="131"/>
      <c r="VR11" s="131"/>
      <c r="VS11" s="131"/>
      <c r="VT11" s="131"/>
      <c r="VU11" s="131"/>
      <c r="VV11" s="131"/>
      <c r="VW11" s="131"/>
      <c r="VX11" s="131"/>
      <c r="VY11" s="131"/>
      <c r="VZ11" s="131"/>
      <c r="WA11" s="131"/>
      <c r="WB11" s="131"/>
      <c r="WC11" s="131"/>
      <c r="WD11" s="131"/>
      <c r="WE11" s="131"/>
      <c r="WF11" s="131"/>
      <c r="WG11" s="131"/>
      <c r="WH11" s="131"/>
      <c r="WI11" s="131"/>
      <c r="WJ11" s="131"/>
      <c r="WK11" s="131"/>
      <c r="WL11" s="131"/>
      <c r="WM11" s="131"/>
      <c r="WN11" s="131"/>
      <c r="WO11" s="131"/>
      <c r="WP11" s="131"/>
      <c r="WQ11" s="131"/>
      <c r="WR11" s="131"/>
      <c r="WS11" s="131"/>
      <c r="WT11" s="131"/>
      <c r="WU11" s="131"/>
      <c r="WV11" s="131"/>
      <c r="WW11" s="131"/>
      <c r="WX11" s="131"/>
      <c r="WY11" s="131"/>
      <c r="WZ11" s="131"/>
      <c r="XA11" s="131"/>
      <c r="XB11" s="131"/>
      <c r="XC11" s="131"/>
      <c r="XD11" s="131"/>
      <c r="XE11" s="131"/>
      <c r="XF11" s="131"/>
      <c r="XG11" s="131"/>
      <c r="XH11" s="131"/>
      <c r="XI11" s="131"/>
      <c r="XJ11" s="131"/>
      <c r="XK11" s="131"/>
      <c r="XL11" s="131"/>
      <c r="XM11" s="131"/>
      <c r="XN11" s="131"/>
      <c r="XO11" s="131"/>
      <c r="XP11" s="131"/>
      <c r="XQ11" s="131"/>
      <c r="XR11" s="131"/>
      <c r="XS11" s="131"/>
      <c r="XT11" s="131"/>
      <c r="XU11" s="131"/>
      <c r="XV11" s="131"/>
      <c r="XW11" s="131"/>
      <c r="XX11" s="131"/>
      <c r="XY11" s="131"/>
      <c r="XZ11" s="131"/>
      <c r="YA11" s="131"/>
      <c r="YB11" s="131"/>
      <c r="YC11" s="131"/>
      <c r="YD11" s="131"/>
      <c r="YE11" s="131"/>
      <c r="YF11" s="131"/>
      <c r="YG11" s="131"/>
      <c r="YH11" s="131"/>
      <c r="YI11" s="131"/>
      <c r="YJ11" s="131"/>
      <c r="YK11" s="131"/>
      <c r="YL11" s="131"/>
      <c r="YM11" s="131"/>
      <c r="YN11" s="131"/>
      <c r="YO11" s="131"/>
      <c r="YP11" s="131"/>
      <c r="YQ11" s="131"/>
      <c r="YR11" s="131"/>
      <c r="YS11" s="131"/>
      <c r="YT11" s="131"/>
      <c r="YU11" s="131"/>
      <c r="YV11" s="131"/>
      <c r="YW11" s="131"/>
      <c r="YX11" s="131"/>
      <c r="YY11" s="131"/>
      <c r="YZ11" s="131"/>
      <c r="ZA11" s="131"/>
      <c r="ZB11" s="131"/>
      <c r="ZC11" s="131"/>
      <c r="ZD11" s="131"/>
      <c r="ZE11" s="131"/>
      <c r="ZF11" s="131"/>
      <c r="ZG11" s="131"/>
      <c r="ZH11" s="131"/>
      <c r="ZI11" s="131"/>
      <c r="ZJ11" s="131"/>
      <c r="ZK11" s="131"/>
      <c r="ZL11" s="131"/>
      <c r="ZM11" s="131"/>
      <c r="ZN11" s="131"/>
      <c r="ZO11" s="131"/>
      <c r="ZP11" s="131"/>
      <c r="ZQ11" s="131"/>
      <c r="ZR11" s="131"/>
      <c r="ZS11" s="131"/>
      <c r="ZT11" s="131"/>
      <c r="ZU11" s="131"/>
      <c r="ZV11" s="131"/>
      <c r="ZW11" s="131"/>
      <c r="ZX11" s="131"/>
      <c r="ZY11" s="131"/>
      <c r="ZZ11" s="131"/>
      <c r="AAA11" s="131"/>
      <c r="AAB11" s="131"/>
      <c r="AAC11" s="131"/>
      <c r="AAD11" s="131"/>
      <c r="AAE11" s="131"/>
      <c r="AAF11" s="131"/>
      <c r="AAG11" s="131"/>
      <c r="AAH11" s="131"/>
      <c r="AAI11" s="131"/>
      <c r="AAJ11" s="131"/>
      <c r="AAK11" s="131"/>
      <c r="AAL11" s="131"/>
      <c r="AAM11" s="131"/>
      <c r="AAN11" s="131"/>
      <c r="AAO11" s="131"/>
      <c r="AAP11" s="131"/>
      <c r="AAQ11" s="131"/>
      <c r="AAR11" s="131"/>
      <c r="AAS11" s="131"/>
      <c r="AAT11" s="131"/>
      <c r="AAU11" s="131"/>
      <c r="AAV11" s="131"/>
      <c r="AAW11" s="131"/>
      <c r="AAX11" s="131"/>
      <c r="AAY11" s="131"/>
      <c r="AAZ11" s="131"/>
      <c r="ABA11" s="131"/>
      <c r="ABB11" s="131"/>
      <c r="ABC11" s="131"/>
      <c r="ABD11" s="131"/>
      <c r="ABE11" s="131"/>
      <c r="ABF11" s="131"/>
      <c r="ABG11" s="131"/>
      <c r="ABH11" s="131"/>
      <c r="ABI11" s="131"/>
      <c r="ABJ11" s="131"/>
      <c r="ABK11" s="131"/>
      <c r="ABL11" s="131"/>
      <c r="ABM11" s="131"/>
      <c r="ABN11" s="131"/>
      <c r="ABO11" s="131"/>
      <c r="ABP11" s="131"/>
      <c r="ABQ11" s="131"/>
      <c r="ABR11" s="131"/>
      <c r="ABS11" s="131"/>
      <c r="ABT11" s="131"/>
      <c r="ABU11" s="131"/>
      <c r="ABV11" s="131"/>
      <c r="ABW11" s="131"/>
      <c r="ABX11" s="131"/>
      <c r="ABY11" s="131"/>
      <c r="ABZ11" s="131"/>
      <c r="ACA11" s="131"/>
      <c r="ACB11" s="131"/>
      <c r="ACC11" s="131"/>
      <c r="ACD11" s="131"/>
      <c r="ACE11" s="131"/>
      <c r="ACF11" s="131"/>
      <c r="ACG11" s="131"/>
      <c r="ACH11" s="131"/>
      <c r="ACI11" s="131"/>
      <c r="ACJ11" s="131"/>
      <c r="ACK11" s="131"/>
      <c r="ACL11" s="131"/>
      <c r="ACM11" s="131"/>
      <c r="ACN11" s="131"/>
      <c r="ACO11" s="131"/>
      <c r="ACP11" s="131"/>
      <c r="ACQ11" s="131"/>
      <c r="ACR11" s="131"/>
      <c r="ACS11" s="131"/>
      <c r="ACT11" s="131"/>
      <c r="ACU11" s="131"/>
      <c r="ACV11" s="131"/>
      <c r="ACW11" s="131"/>
      <c r="ACX11" s="131"/>
      <c r="ACY11" s="131"/>
      <c r="ACZ11" s="131"/>
      <c r="ADA11" s="131"/>
      <c r="ADB11" s="131"/>
      <c r="ADC11" s="131"/>
      <c r="ADD11" s="131"/>
      <c r="ADE11" s="131"/>
      <c r="ADF11" s="131"/>
      <c r="ADG11" s="131"/>
      <c r="ADH11" s="131"/>
      <c r="ADI11" s="131"/>
      <c r="ADJ11" s="131"/>
      <c r="ADK11" s="131"/>
      <c r="ADL11" s="131"/>
      <c r="ADM11" s="131"/>
      <c r="ADN11" s="131"/>
      <c r="ADO11" s="131"/>
      <c r="ADP11" s="131"/>
      <c r="ADQ11" s="131"/>
      <c r="ADR11" s="131"/>
      <c r="ADS11" s="131"/>
      <c r="ADT11" s="131"/>
      <c r="ADU11" s="131"/>
      <c r="ADV11" s="131"/>
      <c r="ADW11" s="131"/>
      <c r="ADX11" s="131"/>
      <c r="ADY11" s="131"/>
      <c r="ADZ11" s="131"/>
      <c r="AEA11" s="131"/>
      <c r="AEB11" s="131"/>
      <c r="AEC11" s="131"/>
      <c r="AED11" s="131"/>
      <c r="AEE11" s="131"/>
      <c r="AEF11" s="131"/>
      <c r="AEG11" s="131"/>
      <c r="AEH11" s="131"/>
      <c r="AEI11" s="131"/>
      <c r="AEJ11" s="131"/>
      <c r="AEK11" s="131"/>
      <c r="AEL11" s="131"/>
      <c r="AEM11" s="131"/>
      <c r="AEN11" s="131"/>
      <c r="AEO11" s="131"/>
      <c r="AEP11" s="131"/>
      <c r="AEQ11" s="131"/>
      <c r="AER11" s="131"/>
      <c r="AES11" s="131"/>
      <c r="AET11" s="131"/>
      <c r="AEU11" s="131"/>
      <c r="AEV11" s="131"/>
      <c r="AEW11" s="131"/>
      <c r="AEX11" s="131"/>
      <c r="AEY11" s="131"/>
      <c r="AEZ11" s="131"/>
      <c r="AFA11" s="131"/>
      <c r="AFB11" s="131"/>
      <c r="AFC11" s="131"/>
      <c r="AFD11" s="131"/>
      <c r="AFE11" s="131"/>
      <c r="AFF11" s="131"/>
      <c r="AFG11" s="131"/>
      <c r="AFH11" s="131"/>
      <c r="AFI11" s="131"/>
      <c r="AFJ11" s="131"/>
      <c r="AFK11" s="131"/>
      <c r="AFL11" s="131"/>
      <c r="AFM11" s="131"/>
      <c r="AFN11" s="131"/>
      <c r="AFO11" s="131"/>
      <c r="AFP11" s="131"/>
      <c r="AFQ11" s="131"/>
      <c r="AFR11" s="131"/>
      <c r="AFS11" s="131"/>
      <c r="AFT11" s="131"/>
      <c r="AFU11" s="131"/>
      <c r="AFV11" s="131"/>
      <c r="AFW11" s="131"/>
      <c r="AFX11" s="131"/>
      <c r="AFY11" s="131"/>
      <c r="AFZ11" s="131"/>
      <c r="AGA11" s="131"/>
      <c r="AGB11" s="131"/>
      <c r="AGC11" s="131"/>
      <c r="AGD11" s="131"/>
      <c r="AGE11" s="131"/>
      <c r="AGF11" s="131"/>
      <c r="AGG11" s="131"/>
      <c r="AGH11" s="131"/>
      <c r="AGI11" s="131"/>
      <c r="AGJ11" s="131"/>
      <c r="AGK11" s="131"/>
      <c r="AGL11" s="131"/>
      <c r="AGM11" s="131"/>
    </row>
    <row r="12" spans="2:871" ht="30" customHeight="1" outlineLevel="1" x14ac:dyDescent="0.2">
      <c r="K12" s="125" t="s">
        <v>432</v>
      </c>
      <c r="FC12" s="318" t="s">
        <v>445</v>
      </c>
    </row>
    <row r="13" spans="2:871" s="292" customFormat="1" ht="30" hidden="1" customHeight="1" x14ac:dyDescent="0.2">
      <c r="B13" s="319">
        <f>SUBTOTAL(3,B11:B11)</f>
        <v>1</v>
      </c>
      <c r="C13" s="320" t="s">
        <v>433</v>
      </c>
      <c r="D13" s="321">
        <f>SUBTOTAL(3,D11:D11)</f>
        <v>1</v>
      </c>
      <c r="E13" s="321">
        <f>SUBTOTAL(3,E11:E11)</f>
        <v>1</v>
      </c>
      <c r="G13" s="321">
        <f>SUBTOTAL(3,G11:G11)</f>
        <v>0</v>
      </c>
      <c r="H13" s="322"/>
      <c r="J13" s="323"/>
      <c r="K13" s="319">
        <f>SUBTOTAL(3,K11:K11)</f>
        <v>1</v>
      </c>
      <c r="L13" s="323"/>
      <c r="M13" s="323"/>
      <c r="N13" s="324"/>
      <c r="O13" s="319">
        <f t="shared" ref="O13:AM13" si="55">SUBTOTAL(9,O11:O11)</f>
        <v>0</v>
      </c>
      <c r="P13" s="319">
        <f t="shared" si="55"/>
        <v>0</v>
      </c>
      <c r="Q13" s="319">
        <f t="shared" si="55"/>
        <v>0</v>
      </c>
      <c r="R13" s="319">
        <f t="shared" si="55"/>
        <v>0</v>
      </c>
      <c r="S13" s="319">
        <f t="shared" si="55"/>
        <v>0</v>
      </c>
      <c r="T13" s="319">
        <f t="shared" si="55"/>
        <v>0</v>
      </c>
      <c r="U13" s="319">
        <f t="shared" si="55"/>
        <v>0</v>
      </c>
      <c r="V13" s="319">
        <f t="shared" si="55"/>
        <v>0</v>
      </c>
      <c r="W13" s="319">
        <f t="shared" si="55"/>
        <v>0</v>
      </c>
      <c r="X13" s="319">
        <f t="shared" si="55"/>
        <v>0</v>
      </c>
      <c r="Y13" s="319">
        <f t="shared" si="55"/>
        <v>0</v>
      </c>
      <c r="Z13" s="319">
        <f t="shared" si="55"/>
        <v>0</v>
      </c>
      <c r="AA13" s="319">
        <f t="shared" si="55"/>
        <v>0</v>
      </c>
      <c r="AB13" s="319">
        <f t="shared" si="55"/>
        <v>0</v>
      </c>
      <c r="AC13" s="319">
        <f t="shared" si="55"/>
        <v>0</v>
      </c>
      <c r="AD13" s="319">
        <f t="shared" si="55"/>
        <v>0</v>
      </c>
      <c r="AE13" s="319">
        <f t="shared" si="55"/>
        <v>0</v>
      </c>
      <c r="AF13" s="319">
        <f t="shared" si="55"/>
        <v>0</v>
      </c>
      <c r="AG13" s="319">
        <f t="shared" si="55"/>
        <v>0</v>
      </c>
      <c r="AH13" s="319">
        <f t="shared" si="55"/>
        <v>0</v>
      </c>
      <c r="AI13" s="319">
        <f t="shared" si="55"/>
        <v>0</v>
      </c>
      <c r="AJ13" s="319">
        <f t="shared" si="55"/>
        <v>0</v>
      </c>
      <c r="AK13" s="319">
        <f t="shared" si="55"/>
        <v>0</v>
      </c>
      <c r="AL13" s="319">
        <f t="shared" si="55"/>
        <v>0</v>
      </c>
      <c r="AM13" s="319">
        <f t="shared" si="55"/>
        <v>0</v>
      </c>
      <c r="AN13" s="319">
        <f t="shared" ref="AN13:AT13" si="56">SUBTOTAL(3,AN11:AN11)</f>
        <v>0</v>
      </c>
      <c r="AO13" s="319">
        <f t="shared" si="56"/>
        <v>0</v>
      </c>
      <c r="AP13" s="319">
        <f t="shared" si="56"/>
        <v>0</v>
      </c>
      <c r="AQ13" s="319">
        <f t="shared" si="56"/>
        <v>0</v>
      </c>
      <c r="AR13" s="319">
        <f t="shared" si="56"/>
        <v>0</v>
      </c>
      <c r="AS13" s="319">
        <f t="shared" si="56"/>
        <v>0</v>
      </c>
      <c r="AT13" s="319">
        <f t="shared" si="56"/>
        <v>0</v>
      </c>
      <c r="AU13" s="319">
        <f>SUBTOTAL(9,AU11:AU11)</f>
        <v>0</v>
      </c>
      <c r="AV13" s="319">
        <f>SUBTOTAL(9,AV11:AV11)</f>
        <v>0</v>
      </c>
      <c r="AW13" s="319">
        <f>SUBTOTAL(3,AW11:AW11)</f>
        <v>0</v>
      </c>
      <c r="AX13" s="319">
        <f>SUBTOTAL(3,AX11:AX11)</f>
        <v>0</v>
      </c>
      <c r="AY13" s="319">
        <f>SUBTOTAL(3,AY11:AY11)</f>
        <v>0</v>
      </c>
      <c r="AZ13" s="319">
        <f t="shared" ref="AZ13:BN13" si="57">SUBTOTAL(9,AZ11:AZ11)</f>
        <v>0</v>
      </c>
      <c r="BA13" s="319">
        <f t="shared" si="57"/>
        <v>0</v>
      </c>
      <c r="BB13" s="319">
        <f t="shared" si="57"/>
        <v>0</v>
      </c>
      <c r="BC13" s="319">
        <f t="shared" si="57"/>
        <v>0</v>
      </c>
      <c r="BD13" s="319">
        <f t="shared" si="57"/>
        <v>0</v>
      </c>
      <c r="BE13" s="319">
        <f t="shared" si="57"/>
        <v>0</v>
      </c>
      <c r="BF13" s="319">
        <f t="shared" si="57"/>
        <v>0</v>
      </c>
      <c r="BG13" s="319">
        <f t="shared" si="57"/>
        <v>0</v>
      </c>
      <c r="BH13" s="319">
        <f t="shared" si="57"/>
        <v>0</v>
      </c>
      <c r="BI13" s="319">
        <f t="shared" si="57"/>
        <v>0</v>
      </c>
      <c r="BJ13" s="319">
        <f t="shared" si="57"/>
        <v>0</v>
      </c>
      <c r="BK13" s="319">
        <f t="shared" si="57"/>
        <v>0</v>
      </c>
      <c r="BL13" s="319">
        <f t="shared" si="57"/>
        <v>0</v>
      </c>
      <c r="BM13" s="319">
        <f t="shared" si="57"/>
        <v>0</v>
      </c>
      <c r="BN13" s="319">
        <f t="shared" si="57"/>
        <v>0</v>
      </c>
      <c r="BO13" s="319">
        <f>SUBTOTAL(3,BO11:BO11)</f>
        <v>0</v>
      </c>
      <c r="BP13" s="319">
        <f>SUBTOTAL(3,BP11:BP11)</f>
        <v>0</v>
      </c>
      <c r="BQ13" s="319">
        <f>SUBTOTAL(3,BQ11:BQ11)</f>
        <v>0</v>
      </c>
      <c r="BR13" s="319">
        <f>SUBTOTAL(9,BR11:BR11)</f>
        <v>0</v>
      </c>
      <c r="BS13" s="319">
        <f>SUBTOTAL(3,BS11:BS11)</f>
        <v>0</v>
      </c>
      <c r="BT13" s="319">
        <f>SUBTOTAL(9,BT11:BT11)</f>
        <v>0</v>
      </c>
      <c r="BU13" s="322"/>
      <c r="BV13" s="322"/>
      <c r="BW13" s="322"/>
      <c r="BX13" s="322"/>
      <c r="BY13" s="322"/>
      <c r="BZ13" s="322"/>
      <c r="CA13" s="322"/>
      <c r="CB13" s="322"/>
      <c r="CC13" s="322"/>
      <c r="CD13" s="322"/>
      <c r="CE13" s="322"/>
      <c r="CF13" s="322"/>
      <c r="CG13" s="322"/>
      <c r="CH13" s="319">
        <f>SUBTOTAL(9,CH11:CH11)</f>
        <v>0</v>
      </c>
      <c r="CI13" s="319">
        <f>SUBTOTAL(3,CI11:CI11)</f>
        <v>0</v>
      </c>
      <c r="CK13" s="321">
        <f>SUBTOTAL(3,CK11:CK11)</f>
        <v>0</v>
      </c>
      <c r="CL13" s="319">
        <f>SUBTOTAL(9,CL11:CL11)</f>
        <v>0</v>
      </c>
      <c r="CM13" s="319">
        <f>SUBTOTAL(9,CM11:CM11)</f>
        <v>0</v>
      </c>
      <c r="CN13" s="323"/>
      <c r="CO13" s="322"/>
      <c r="CR13" s="322"/>
      <c r="CS13" s="322"/>
      <c r="CV13" s="319">
        <f>SUBTOTAL(3,CV11:CV11)</f>
        <v>0</v>
      </c>
      <c r="DB13" s="321">
        <f>SUBTOTAL(3,DB11:DB11)</f>
        <v>1</v>
      </c>
      <c r="DC13" s="319">
        <f>SUBTOTAL(9,DC11:DC11)</f>
        <v>0</v>
      </c>
      <c r="DD13" s="319">
        <f>SUBTOTAL(9,DD11:DD11)</f>
        <v>0</v>
      </c>
      <c r="DE13" s="319">
        <f>SUBTOTAL(3,DE11:DE11)</f>
        <v>0</v>
      </c>
      <c r="DF13" s="319">
        <f>SUBTOTAL(9,DF11:DF11)</f>
        <v>0</v>
      </c>
      <c r="DG13" s="319">
        <f>SUBTOTAL(9,DG11:DG11)</f>
        <v>0</v>
      </c>
      <c r="DH13" s="319">
        <f>SUBTOTAL(9,DH11:DH11)</f>
        <v>0</v>
      </c>
      <c r="DI13" s="319">
        <f>SUBTOTAL(9,DI11:DI11)</f>
        <v>0</v>
      </c>
      <c r="DJ13" s="319">
        <f>SUBTOTAL(3,DJ11:DJ11)</f>
        <v>0</v>
      </c>
      <c r="DK13" s="319">
        <f>SUBTOTAL(9,DK11:DK11)</f>
        <v>0</v>
      </c>
      <c r="DL13" s="319">
        <f>SUBTOTAL(9,DL11:DL11)</f>
        <v>0</v>
      </c>
      <c r="DM13" s="319">
        <f>SUBTOTAL(9,DM11:DM11)</f>
        <v>0</v>
      </c>
      <c r="DN13" s="319">
        <f>SUBTOTAL(9,DN11:DN11)</f>
        <v>0</v>
      </c>
      <c r="DO13" s="319">
        <f>SUBTOTAL(3,DO11:DO11)</f>
        <v>0</v>
      </c>
      <c r="DP13" s="319">
        <f t="shared" ref="DP13:DV13" si="58">SUBTOTAL(9,DP11:DP11)</f>
        <v>0</v>
      </c>
      <c r="DQ13" s="319">
        <f t="shared" si="58"/>
        <v>0</v>
      </c>
      <c r="DR13" s="319">
        <f t="shared" si="58"/>
        <v>0</v>
      </c>
      <c r="DS13" s="319">
        <f t="shared" si="58"/>
        <v>0</v>
      </c>
      <c r="DT13" s="319">
        <f t="shared" si="58"/>
        <v>0</v>
      </c>
      <c r="DU13" s="319">
        <f t="shared" si="58"/>
        <v>0</v>
      </c>
      <c r="DV13" s="319">
        <f t="shared" si="58"/>
        <v>0</v>
      </c>
      <c r="DW13" s="319">
        <f>SUBTOTAL(3,DW11:DW11)</f>
        <v>0</v>
      </c>
      <c r="DX13" s="319">
        <f t="shared" ref="DX13:EK13" si="59">SUBTOTAL(9,DX11:DX11)</f>
        <v>0</v>
      </c>
      <c r="DY13" s="319">
        <f t="shared" si="59"/>
        <v>0</v>
      </c>
      <c r="DZ13" s="319">
        <f t="shared" si="59"/>
        <v>0</v>
      </c>
      <c r="EA13" s="319">
        <f t="shared" si="59"/>
        <v>0</v>
      </c>
      <c r="EB13" s="319">
        <f t="shared" si="59"/>
        <v>0</v>
      </c>
      <c r="EC13" s="319">
        <f t="shared" si="59"/>
        <v>0</v>
      </c>
      <c r="ED13" s="319">
        <f t="shared" si="59"/>
        <v>0</v>
      </c>
      <c r="EE13" s="319">
        <f t="shared" si="59"/>
        <v>0</v>
      </c>
      <c r="EF13" s="319">
        <f t="shared" si="59"/>
        <v>0</v>
      </c>
      <c r="EG13" s="319">
        <f t="shared" si="59"/>
        <v>0</v>
      </c>
      <c r="EH13" s="319">
        <f t="shared" si="59"/>
        <v>0</v>
      </c>
      <c r="EI13" s="319">
        <f t="shared" si="59"/>
        <v>0</v>
      </c>
      <c r="EJ13" s="319">
        <f t="shared" si="59"/>
        <v>0</v>
      </c>
      <c r="EK13" s="319">
        <f t="shared" si="59"/>
        <v>0</v>
      </c>
      <c r="EL13" s="319">
        <f t="shared" ref="EL13:ER13" si="60">SUBTOTAL(3,EL11:EL11)</f>
        <v>0</v>
      </c>
      <c r="EM13" s="319">
        <f t="shared" si="60"/>
        <v>0</v>
      </c>
      <c r="EN13" s="319">
        <f t="shared" si="60"/>
        <v>0</v>
      </c>
      <c r="EO13" s="319">
        <f t="shared" si="60"/>
        <v>0</v>
      </c>
      <c r="EP13" s="319">
        <f t="shared" si="60"/>
        <v>0</v>
      </c>
      <c r="EQ13" s="319">
        <f t="shared" si="60"/>
        <v>0</v>
      </c>
      <c r="ER13" s="319">
        <f t="shared" si="60"/>
        <v>0</v>
      </c>
      <c r="ES13" s="319">
        <f>SUBTOTAL(9,ES11:ES11)</f>
        <v>0</v>
      </c>
      <c r="ET13" s="319">
        <f>SUBTOTAL(9,ET11:ET11)</f>
        <v>0</v>
      </c>
      <c r="EU13" s="319">
        <f>SUBTOTAL(9,EU11:EU11)</f>
        <v>0</v>
      </c>
      <c r="EV13" s="319">
        <f>SUBTOTAL(3,EV11:EV11)</f>
        <v>0</v>
      </c>
      <c r="EW13" s="319">
        <f>SUBTOTAL(3,EW11:EW11)</f>
        <v>0</v>
      </c>
      <c r="EX13" s="319">
        <f>SUBTOTAL(3,EX11:EX11)</f>
        <v>0</v>
      </c>
      <c r="EY13" s="319">
        <f>SUBTOTAL(3,EY11:EY11)</f>
        <v>0</v>
      </c>
      <c r="EZ13" s="319">
        <f>SUBTOTAL(3,EZ11:EZ11)</f>
        <v>0</v>
      </c>
      <c r="FA13" s="319">
        <f>SUBTOTAL(9,FA11:FA11)</f>
        <v>0</v>
      </c>
      <c r="FB13" s="319">
        <f>SUBTOTAL(9,FB11:FB11)</f>
        <v>0</v>
      </c>
      <c r="FC13" s="319">
        <f>SUBTOTAL(9,FC11:FC11)</f>
        <v>0</v>
      </c>
      <c r="FD13" s="319">
        <f>SUBTOTAL(9,FD11:FD11)</f>
        <v>0</v>
      </c>
      <c r="FE13" s="319">
        <f>SUBTOTAL(3,FE11:FE11)</f>
        <v>0</v>
      </c>
      <c r="FF13" s="319">
        <f>SUBTOTAL(9,FF11:FF11)</f>
        <v>0</v>
      </c>
      <c r="FG13" s="319">
        <f>SUBTOTAL(3,FG11:FG11)</f>
        <v>0</v>
      </c>
      <c r="FH13" s="319">
        <f t="shared" ref="FH13:FU13" si="61">SUBTOTAL(9,FH11:FH11)</f>
        <v>0</v>
      </c>
      <c r="FI13" s="319">
        <f t="shared" si="61"/>
        <v>0</v>
      </c>
      <c r="FJ13" s="319">
        <f t="shared" si="61"/>
        <v>0</v>
      </c>
      <c r="FK13" s="319">
        <f t="shared" si="61"/>
        <v>0</v>
      </c>
      <c r="FL13" s="319">
        <f t="shared" si="61"/>
        <v>0</v>
      </c>
      <c r="FM13" s="319">
        <f t="shared" si="61"/>
        <v>0</v>
      </c>
      <c r="FN13" s="319">
        <f t="shared" si="61"/>
        <v>0</v>
      </c>
      <c r="FO13" s="319">
        <f t="shared" si="61"/>
        <v>0</v>
      </c>
      <c r="FP13" s="319">
        <f t="shared" si="61"/>
        <v>0</v>
      </c>
      <c r="FQ13" s="319">
        <f t="shared" si="61"/>
        <v>0</v>
      </c>
      <c r="FR13" s="319">
        <f t="shared" si="61"/>
        <v>0</v>
      </c>
      <c r="FS13" s="319">
        <f t="shared" si="61"/>
        <v>0</v>
      </c>
      <c r="FT13" s="319">
        <f t="shared" si="61"/>
        <v>0</v>
      </c>
      <c r="FU13" s="319">
        <f t="shared" si="61"/>
        <v>0</v>
      </c>
      <c r="FV13" s="319">
        <f>SUBTOTAL(3,FV11:FV11)</f>
        <v>1</v>
      </c>
      <c r="FW13" s="319">
        <f>SUBTOTAL(3,FW11:FW11)</f>
        <v>1</v>
      </c>
      <c r="FX13" s="319">
        <f>SUBTOTAL(3,FX11:FX11)</f>
        <v>1</v>
      </c>
      <c r="FY13" s="319">
        <f>SUBTOTAL(9,FY11:FY11)</f>
        <v>0</v>
      </c>
      <c r="FZ13" s="319">
        <f>SUBTOTAL(9,FZ11:FZ11)</f>
        <v>0</v>
      </c>
      <c r="GA13" s="319">
        <f>SUBTOTAL(3,GA11:GA11)</f>
        <v>1</v>
      </c>
      <c r="GB13" s="319">
        <f>SUBTOTAL(3,GB11:GB11)</f>
        <v>0</v>
      </c>
      <c r="GC13" s="319">
        <f>SUBTOTAL(9,GC11:GC11)</f>
        <v>0</v>
      </c>
      <c r="GD13" s="319">
        <f>SUBTOTAL(9,GD11:GD11)</f>
        <v>0</v>
      </c>
      <c r="GF13" s="322"/>
      <c r="GG13" s="322"/>
      <c r="GH13" s="322"/>
      <c r="GI13" s="319">
        <f>SUBTOTAL(9,GI11:GI11)</f>
        <v>0</v>
      </c>
      <c r="GJ13" s="319">
        <f>SUBTOTAL(9,GJ11:GJ11)</f>
        <v>0</v>
      </c>
      <c r="GK13" s="319">
        <f>SUBTOTAL(9,GK11:GK11)</f>
        <v>0</v>
      </c>
    </row>
    <row r="14" spans="2:871" ht="30" customHeight="1" x14ac:dyDescent="0.2"/>
    <row r="15" spans="2:871" ht="30" customHeight="1" x14ac:dyDescent="0.2"/>
    <row r="16" spans="2:871" ht="30" customHeight="1" x14ac:dyDescent="0.2"/>
    <row r="17" ht="30" customHeight="1" x14ac:dyDescent="0.2"/>
    <row r="18" ht="30" customHeight="1" x14ac:dyDescent="0.2"/>
    <row r="19" ht="30" customHeight="1" x14ac:dyDescent="0.2"/>
    <row r="20" ht="30" customHeight="1" x14ac:dyDescent="0.2"/>
    <row r="21" ht="30" customHeight="1" x14ac:dyDescent="0.2"/>
    <row r="22" ht="30" customHeight="1" x14ac:dyDescent="0.2"/>
    <row r="23" ht="30" customHeight="1" x14ac:dyDescent="0.2"/>
    <row r="24" ht="30" customHeight="1" x14ac:dyDescent="0.2"/>
    <row r="25" ht="30" customHeight="1" x14ac:dyDescent="0.2"/>
    <row r="26" ht="30" customHeight="1" x14ac:dyDescent="0.2"/>
    <row r="27" ht="30" customHeight="1" x14ac:dyDescent="0.2"/>
  </sheetData>
  <mergeCells count="8">
    <mergeCell ref="X4:Z4"/>
    <mergeCell ref="AB4:AD4"/>
    <mergeCell ref="DR4:DT4"/>
    <mergeCell ref="DU4:DX4"/>
    <mergeCell ref="BU5:BZ5"/>
    <mergeCell ref="CA5:CF5"/>
    <mergeCell ref="AZ3:AZ5"/>
    <mergeCell ref="CX3:CZ4"/>
  </mergeCells>
  <phoneticPr fontId="1"/>
  <conditionalFormatting sqref="O6:AX11 AZ6:AZ11">
    <cfRule type="expression" dxfId="7" priority="8">
      <formula>($D6="改修")</formula>
    </cfRule>
  </conditionalFormatting>
  <conditionalFormatting sqref="BA6:BT11 FC6:GD11">
    <cfRule type="expression" dxfId="6" priority="7">
      <formula>OR($D6="新築",$D6="登録")</formula>
    </cfRule>
  </conditionalFormatting>
  <conditionalFormatting sqref="DU6:DX10 DR6:DS10 DX11 DR11 DT6:DT11 DC6:DQ11 DY6:EV11 EX6:FB11">
    <cfRule type="expression" dxfId="5" priority="6">
      <formula>OR($D6="改修",$D6="登録")</formula>
    </cfRule>
  </conditionalFormatting>
  <conditionalFormatting sqref="DU11">
    <cfRule type="expression" dxfId="4" priority="5">
      <formula>OR($D11="改修",$D11="登録")</formula>
    </cfRule>
  </conditionalFormatting>
  <conditionalFormatting sqref="DV11:DW11">
    <cfRule type="expression" dxfId="3" priority="4">
      <formula>OR($D11="改修",$D11="登録")</formula>
    </cfRule>
  </conditionalFormatting>
  <conditionalFormatting sqref="DS11">
    <cfRule type="expression" dxfId="2" priority="3">
      <formula>OR($D11="改修",$D11="登録")</formula>
    </cfRule>
  </conditionalFormatting>
  <conditionalFormatting sqref="EW6:EW11">
    <cfRule type="expression" dxfId="1" priority="2">
      <formula>OR($D6="改修",$D6="登録")</formula>
    </cfRule>
  </conditionalFormatting>
  <conditionalFormatting sqref="AY6:AY11">
    <cfRule type="expression" dxfId="0" priority="1">
      <formula>($D6="改修")</formula>
    </cfRule>
  </conditionalFormatting>
  <dataValidations xWindow="830" yWindow="909" count="59">
    <dataValidation type="whole" operator="greaterThanOrEqual" allowBlank="1" showInputMessage="1" showErrorMessage="1" error="３未満の値は入力しないでください。_x000a_（建具は見付３㎡以上が補助対象です）" prompt="FU列の木製建具事業者名も選択してください。" sqref="FX6:FX10">
      <formula1>3</formula1>
    </dataValidation>
    <dataValidation type="whole" operator="greaterThanOrEqual" allowBlank="1" showInputMessage="1" showErrorMessage="1" error="７未満の値は入力しないでください。（補助対象となるのは最低７平方メートル以上です）" prompt="FT列の左官材料の種類も選択してください。" sqref="FW6:FW10">
      <formula1>7</formula1>
    </dataValidation>
    <dataValidation allowBlank="1" showErrorMessage="1" sqref="GB6:GB11"/>
    <dataValidation operator="greaterThanOrEqual" allowBlank="1" showInputMessage="1" showErrorMessage="1" error="整数値で入力" sqref="FG6:FG10"/>
    <dataValidation allowBlank="1" showInputMessage="1" showErrorMessage="1" error="0.3以上が補助対象、実木材使用量以下の数値を入力" sqref="FE6:FE10"/>
    <dataValidation type="list" allowBlank="1" showInputMessage="1" showErrorMessage="1" prompt="EO列に畳事業者名を入力してください。" sqref="EQ6:EQ10">
      <formula1>"1"</formula1>
    </dataValidation>
    <dataValidation type="list" allowBlank="1" showInputMessage="1" showErrorMessage="1" prompt="EN列の木製建具事業者名も入力してください。" sqref="EP6:EP10">
      <formula1>"1,2"</formula1>
    </dataValidation>
    <dataValidation type="list" allowBlank="1" showInputMessage="1" showErrorMessage="1" prompt="EM列の左官材料の種類も選択してください。" sqref="EN6:EN10">
      <formula1>"1,2"</formula1>
    </dataValidation>
    <dataValidation type="list" allowBlank="1" showInputMessage="1" showErrorMessage="1" prompt="EL列の瓦の種類も選択してください。" sqref="EO6:EO10">
      <formula1>"2"</formula1>
    </dataValidation>
    <dataValidation type="list" allowBlank="1" showErrorMessage="1" sqref="EW6:EX11 GA6:GA10">
      <formula1>"モルタル塗,漆喰塗,土壁塗,そとん壁,じゅらく塗,珪藻土塗,その他"</formula1>
    </dataValidation>
    <dataValidation type="list" allowBlank="1" showErrorMessage="1" sqref="EV6:EV10">
      <formula1>"平板瓦,和瓦,S瓦"</formula1>
    </dataValidation>
    <dataValidation operator="greaterThanOrEqual" allowBlank="1" showInputMessage="1" showErrorMessage="1" error="県産材の実使用量より大きな値は入力しないでください。" sqref="DW6:DW10"/>
    <dataValidation operator="lessThanOrEqual" allowBlank="1" showInputMessage="1" showErrorMessage="1" error="県産材の実使用量より大きな値は入力しないでください。" sqref="DO6:DO10"/>
    <dataValidation operator="lessThanOrEqual" allowBlank="1" showInputMessage="1" showErrorMessage="1" error="県産材の実使用量より大きな値は入力しないでください（整数値入力）。" sqref="DJ6:DJ10 S11 V11 AC11 Y11 AF11:AG11 AJ11:AK11 AN11:AT11"/>
    <dataValidation allowBlank="1" showInputMessage="1" showErrorMessage="1" error="実木材使用量より大きな値は入力しないでください。補助対象は10m3以上です（整数値で入力）。" sqref="DE6:DE10 P11"/>
    <dataValidation type="whole" operator="greaterThanOrEqual" allowBlank="1" showInputMessage="1" showErrorMessage="1" error="７未満の値は入力しないでください。（補助対象となるのは最低７平方メートル以上です）" prompt="BU列の左官材料の種類も選択してください。" sqref="BP6:BP11">
      <formula1>7</formula1>
    </dataValidation>
    <dataValidation type="list" allowBlank="1" showInputMessage="1" showErrorMessage="1" prompt="AX列の左官材料の種類も選択してください。" sqref="AP6:AP10">
      <formula1>"1,2"</formula1>
    </dataValidation>
    <dataValidation type="list" allowBlank="1" showInputMessage="1" showErrorMessage="1" prompt="AW列の瓦の種類も選択してください。" sqref="AQ6:AQ10">
      <formula1>"2"</formula1>
    </dataValidation>
    <dataValidation allowBlank="1" showInputMessage="1" showErrorMessage="1" prompt="自動計算" sqref="E6:E11 EI6:EK11 FS6:FU11 ES6:EU11 FH6:FJ11 DF6:DH11 ED6:EF11 DX6:EA11 FA6:FB11 GC6:GD11 FM6:FO11 AD6:AE11 B6:B11 BH6:BI11 Q6:R11 GI6:GK11 T6:U11 AU6:AV11 AL6:AM11 BD6:BE11 BM6:BN11 BR6:BR11 BT6:BT11 CH6:CH11 AH6:AI11 AZ6:AZ11 Z6:AB11 W6:X11 DK6:DM11 DP6:DR11 DT6:DU11 FY6:FZ11"/>
    <dataValidation type="list" allowBlank="1" showInputMessage="1" showErrorMessage="1" sqref="BS6:BS11 AX6:AY11">
      <formula1>"モルタル塗,漆喰塗,土壁塗,そとん壁,じゅらく塗,珪藻土塗,その他"</formula1>
    </dataValidation>
    <dataValidation type="list" allowBlank="1" showInputMessage="1" showErrorMessage="1" sqref="AW6:AW11">
      <formula1>"平板瓦,和瓦,S瓦"</formula1>
    </dataValidation>
    <dataValidation type="list" allowBlank="1" showInputMessage="1" showErrorMessage="1" promptTitle="重要" prompt="登録を入力した場合は、登録住宅の交付申請のため、次の行を空欄としてください。なお、実績については登録住宅の行ではなく、登録住宅の交付申請に係る次の行の新築欄に入力してください。" sqref="D6:D11">
      <formula1>"新築,改修,登録"</formula1>
    </dataValidation>
    <dataValidation type="list" allowBlank="1" showInputMessage="1" showErrorMessage="1" sqref="CK6:CK11">
      <formula1>"手刻み,智頭,久大,大山,ミヨシ,その他"</formula1>
    </dataValidation>
    <dataValidation type="whole" operator="greaterThanOrEqual" allowBlank="1" showInputMessage="1" showErrorMessage="1" error="３未満の値は入力しないでください。_x000a_（建具は見付３㎡以上が補助対象です）" sqref="BQ6:BQ11">
      <formula1>3</formula1>
    </dataValidation>
    <dataValidation type="whole" operator="greaterThanOrEqual" allowBlank="1" showInputMessage="1" showErrorMessage="1" error="７未満の値は入力しないでください。（補助対象となるのは最低７平方メートル以上です）" sqref="BO6:BO11 FV6:FV10">
      <formula1>7</formula1>
    </dataValidation>
    <dataValidation type="whole" operator="greaterThanOrEqual" allowBlank="1" showInputMessage="1" showErrorMessage="1" error="整数値で入力" sqref="BC6:BC11 FF6:FF10">
      <formula1>0</formula1>
    </dataValidation>
    <dataValidation type="list" allowBlank="1" showInputMessage="1" showErrorMessage="1" sqref="AO6:AO10 EM6:EM10">
      <formula1>"2"</formula1>
    </dataValidation>
    <dataValidation type="list" allowBlank="1" showInputMessage="1" showErrorMessage="1" sqref="AR6:AR10 AT6:AT10 ER6:ER10">
      <formula1>"1,2"</formula1>
    </dataValidation>
    <dataValidation type="list" allowBlank="1" showInputMessage="1" showErrorMessage="1" sqref="AN6:AN10 EL6:EL10">
      <formula1>"4"</formula1>
    </dataValidation>
    <dataValidation type="whole" operator="greaterThanOrEqual" allowBlank="1" showInputMessage="1" showErrorMessage="1" error="10以上の整数値を入力してください。" sqref="O6:O10 DC6:DC10">
      <formula1>10</formula1>
    </dataValidation>
    <dataValidation type="whole" operator="greaterThanOrEqual" allowBlank="1" showInputMessage="1" showErrorMessage="1" error="県産材の実使用量より大きな値は入力しないでください。" sqref="AC6:AC10 DV6:DV10">
      <formula1>0</formula1>
    </dataValidation>
    <dataValidation type="list" allowBlank="1" showInputMessage="1" showErrorMessage="1" sqref="M6:M10">
      <formula1>"鳥取市,米子市,倉吉市,境港市,岩美町,若桜町,智頭町,八頭町,三朝町,湯梨浜町,琴浦町,北栄町,大山町,日吉津村,伯耆町,南部町,日野町,日南町,江府町,"</formula1>
    </dataValidation>
    <dataValidation type="list" allowBlank="1" showInputMessage="1" showErrorMessage="1" sqref="F6:F11 DB6:DB10 G6:G10">
      <formula1>"債,支→債,債→支"</formula1>
    </dataValidation>
    <dataValidation type="date" operator="greaterThanOrEqual" allowBlank="1" showInputMessage="1" showErrorMessage="1" error="日付以外の内容は入力できません" sqref="CF10 BV10 BW6:BW10 BX10 BY6:BY10 BZ10 CB10 CC6:CC10 CD10 CE6:CE10 BU6:BU10">
      <formula1>1</formula1>
    </dataValidation>
    <dataValidation type="list" allowBlank="1" showInputMessage="1" showErrorMessage="1" sqref="CN6:CN10">
      <formula1>"要,不要"</formula1>
    </dataValidation>
    <dataValidation type="decimal" operator="greaterThanOrEqual" allowBlank="1" showInputMessage="1" showErrorMessage="1" error="数値以外は入力できません" sqref="CL6:CM10">
      <formula1>0</formula1>
    </dataValidation>
    <dataValidation type="date" operator="greaterThanOrEqual" allowBlank="1" showInputMessage="1" showErrorMessage="1" error="日付以外は入力できません" sqref="CO6:CO10 GF6:GH11 CR6:CS11">
      <formula1>1</formula1>
    </dataValidation>
    <dataValidation type="date" operator="greaterThanOrEqual" allowBlank="1" showInputMessage="1" showErrorMessage="1" error="日付以外の値は入力できません" sqref="H6:H11">
      <formula1>1</formula1>
    </dataValidation>
    <dataValidation type="list" allowBlank="1" showInputMessage="1" showErrorMessage="1" sqref="GE6:GE11">
      <formula1>"実績,取下,取消"</formula1>
    </dataValidation>
    <dataValidation type="list" allowBlank="1" showInputMessage="1" showErrorMessage="1" sqref="CQ6:CQ11">
      <formula1>"若年子育て,三世代近居,三世代同居"</formula1>
    </dataValidation>
    <dataValidation type="list" allowBlank="1" showInputMessage="1" showErrorMessage="1" sqref="EB6:EC10 FK6:FL10 AS6:AS10 EG6:EH10 AJ6:AK10 BF6:BG11 BJ6:BL11 AF6:AG10 FP6:FR10">
      <formula1>"1"</formula1>
    </dataValidation>
    <dataValidation type="decimal" operator="greaterThanOrEqual" allowBlank="1" showInputMessage="1" showErrorMessage="1" sqref="BA6:BA11 FC6:FC10">
      <formula1>0</formula1>
    </dataValidation>
    <dataValidation type="whole" operator="lessThanOrEqual" allowBlank="1" showInputMessage="1" showErrorMessage="1" error="県産材の実使用量より大きな値は入力しないでください。" sqref="DN6:DN10">
      <formula1>DI6</formula1>
    </dataValidation>
    <dataValidation imeMode="halfAlpha" allowBlank="1" showInputMessage="1" showErrorMessage="1" sqref="L1:L1048576 J1:J1048576"/>
    <dataValidation type="whole" allowBlank="1" showInputMessage="1" showErrorMessage="1" error="実木材使用量より大きな値は入力しないでください。補助対象は10m3以上です（整数値で入力）。" sqref="P6:P10 DD6:DD10">
      <formula1>10</formula1>
      <formula2>O6</formula2>
    </dataValidation>
    <dataValidation type="decimal" operator="lessThanOrEqual" allowBlank="1" showInputMessage="1" showErrorMessage="1" error="県産材の実使用量より大きな値は入力しないでください。" sqref="DS6:DS10">
      <formula1>DI6</formula1>
    </dataValidation>
    <dataValidation type="whole" operator="lessThanOrEqual" allowBlank="1" showInputMessage="1" showErrorMessage="1" error="県産材の実使用量より大きな値は入力しないでください（整数値入力）。" sqref="DI6:DI10">
      <formula1>DD6</formula1>
    </dataValidation>
    <dataValidation type="decimal" allowBlank="1" showInputMessage="1" showErrorMessage="1" error="0.3以上が補助対象、実木材使用量以下の数値を入力" sqref="BB6:BB11 FD6:FD10">
      <formula1>0.3</formula1>
      <formula2>BA6</formula2>
    </dataValidation>
    <dataValidation type="whole" operator="lessThanOrEqual" allowBlank="1" showInputMessage="1" showErrorMessage="1" error="県産材の実使用量より大きな値は入力しないでください（整数値入力）。" sqref="S6:S10">
      <formula1>P6</formula1>
    </dataValidation>
    <dataValidation type="whole" operator="lessThanOrEqual" allowBlank="1" showInputMessage="1" showErrorMessage="1" error="県産材の実使用量より大きな値は入力しないでください。" sqref="V6:V10">
      <formula1>S6</formula1>
    </dataValidation>
    <dataValidation type="date" operator="greaterThanOrEqual" allowBlank="1" showInputMessage="1" showErrorMessage="1" error="申請日より前の日付や、日付以外の内容は入力できません" sqref="CA6:CA10">
      <formula1>BU6</formula1>
    </dataValidation>
    <dataValidation type="date" operator="greaterThanOrEqual" allowBlank="1" showInputMessage="1" showErrorMessage="1" error="申請日より前の日付や、日付以外の内容は入力できません" sqref="CG6:CG10">
      <formula1>H6</formula1>
    </dataValidation>
    <dataValidation type="decimal" operator="lessThanOrEqual" allowBlank="1" showInputMessage="1" showErrorMessage="1" error="県産材の実使用量より大きな値は入力しないでください。" sqref="Y6:Y10">
      <formula1>S6</formula1>
    </dataValidation>
    <dataValidation operator="greaterThanOrEqual" allowBlank="1" showInputMessage="1" showErrorMessage="1" error="10以上の整数値を入力してください。" sqref="O11 DC11:DE11 DI11:DJ11 DN11:DO11 DV11:DW11 DS11 EB11:EC11 EG11:EH11 EL11:ER11 EY11:EZ11 EV11"/>
    <dataValidation operator="greaterThanOrEqual" allowBlank="1" showInputMessage="1" showErrorMessage="1" error="日付以外の内容は入力できません" sqref="BZ6:BZ9 BV6:BV9 BX6:BX9 CD6:CD9 CF6:CF9 CB6:CB9 BU11:CG11"/>
    <dataValidation operator="greaterThanOrEqual" allowBlank="1" showInputMessage="1" showErrorMessage="1" error="数値以外は入力できません" sqref="CL11:CP11 CT11:CZ11"/>
    <dataValidation type="decimal" operator="greaterThanOrEqual" allowBlank="1" showInputMessage="1" sqref="FC11">
      <formula1>0</formula1>
    </dataValidation>
    <dataValidation allowBlank="1" showInputMessage="1" sqref="FD11:FG11 GA11 FV11:FX11 FP11:FR11 FK11:FL11"/>
    <dataValidation type="list" allowBlank="1" showInputMessage="1" showErrorMessage="1" sqref="G11 DB11">
      <formula1>"〇"</formula1>
    </dataValidation>
  </dataValidation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BreakPreview" zoomScaleNormal="100" zoomScaleSheetLayoutView="100" workbookViewId="0">
      <selection activeCell="B15" sqref="B15"/>
    </sheetView>
  </sheetViews>
  <sheetFormatPr defaultColWidth="9" defaultRowHeight="13" x14ac:dyDescent="0.2"/>
  <cols>
    <col min="1" max="1" width="4.7265625" style="1" customWidth="1"/>
    <col min="2" max="4" width="24.6328125" style="1" customWidth="1"/>
    <col min="5" max="16384" width="9" style="1"/>
  </cols>
  <sheetData>
    <row r="1" spans="1:6" x14ac:dyDescent="0.2">
      <c r="A1" s="1" t="s">
        <v>146</v>
      </c>
    </row>
    <row r="5" spans="1:6" ht="14" x14ac:dyDescent="0.2">
      <c r="A5" s="527" t="s">
        <v>116</v>
      </c>
      <c r="B5" s="527"/>
      <c r="C5" s="527"/>
      <c r="D5" s="527"/>
      <c r="E5" s="527"/>
    </row>
    <row r="7" spans="1:6" ht="44.25" customHeight="1" x14ac:dyDescent="0.2">
      <c r="C7" s="6" t="s">
        <v>36</v>
      </c>
      <c r="D7" s="338" t="str">
        <f>IF(【様式第６号の２】事業報告書兼チェックシート!N11="","",【様式第６号の２】事業報告書兼チェックシート!N11)</f>
        <v/>
      </c>
      <c r="E7" s="338"/>
    </row>
    <row r="8" spans="1:6" x14ac:dyDescent="0.2">
      <c r="C8" s="6" t="s">
        <v>37</v>
      </c>
      <c r="D8" s="528" t="str">
        <f>IF(【様式第６号の２】事業報告書兼チェックシート!N12="","",【様式第６号の２】事業報告書兼チェックシート!N12)</f>
        <v/>
      </c>
      <c r="E8" s="528"/>
    </row>
    <row r="10" spans="1:6" x14ac:dyDescent="0.2">
      <c r="A10" s="1" t="s">
        <v>31</v>
      </c>
    </row>
    <row r="11" spans="1:6" x14ac:dyDescent="0.2">
      <c r="A11" s="1" t="s">
        <v>32</v>
      </c>
    </row>
    <row r="13" spans="1:6" x14ac:dyDescent="0.2">
      <c r="B13" s="107" t="s">
        <v>30</v>
      </c>
      <c r="C13" s="107" t="s">
        <v>5</v>
      </c>
      <c r="D13" s="107" t="s">
        <v>35</v>
      </c>
    </row>
    <row r="14" spans="1:6" ht="28" customHeight="1" x14ac:dyDescent="0.2">
      <c r="A14" s="119" t="s">
        <v>34</v>
      </c>
      <c r="B14" s="117" t="s">
        <v>245</v>
      </c>
      <c r="C14" s="120" t="s">
        <v>246</v>
      </c>
      <c r="D14" s="118" t="s">
        <v>247</v>
      </c>
    </row>
    <row r="15" spans="1:6" ht="29.5" customHeight="1" x14ac:dyDescent="0.2">
      <c r="A15" s="119" t="s">
        <v>34</v>
      </c>
      <c r="B15" s="61" t="s">
        <v>248</v>
      </c>
      <c r="C15" s="61" t="s">
        <v>249</v>
      </c>
      <c r="D15" s="61" t="s">
        <v>250</v>
      </c>
      <c r="F15" s="121"/>
    </row>
    <row r="16" spans="1:6" x14ac:dyDescent="0.2">
      <c r="B16" s="62"/>
      <c r="C16" s="62"/>
      <c r="D16" s="62"/>
    </row>
    <row r="17" spans="1:7" x14ac:dyDescent="0.2">
      <c r="B17" s="60" t="s">
        <v>30</v>
      </c>
      <c r="C17" s="107" t="s">
        <v>5</v>
      </c>
      <c r="D17" s="107" t="s">
        <v>22</v>
      </c>
    </row>
    <row r="18" spans="1:7" ht="36" customHeight="1" x14ac:dyDescent="0.2">
      <c r="B18" s="67"/>
      <c r="C18" s="67"/>
      <c r="D18" s="68"/>
    </row>
    <row r="19" spans="1:7" ht="36" customHeight="1" x14ac:dyDescent="0.2">
      <c r="B19" s="67"/>
      <c r="C19" s="67"/>
      <c r="D19" s="68"/>
    </row>
    <row r="20" spans="1:7" ht="36" customHeight="1" x14ac:dyDescent="0.2">
      <c r="B20" s="67"/>
      <c r="C20" s="67"/>
      <c r="D20" s="68"/>
    </row>
    <row r="21" spans="1:7" ht="36" customHeight="1" x14ac:dyDescent="0.2">
      <c r="B21" s="67"/>
      <c r="C21" s="67"/>
      <c r="D21" s="68"/>
      <c r="G21" s="1" t="s">
        <v>225</v>
      </c>
    </row>
    <row r="22" spans="1:7" ht="36" customHeight="1" x14ac:dyDescent="0.2">
      <c r="B22" s="67"/>
      <c r="C22" s="67"/>
      <c r="D22" s="68"/>
      <c r="G22" s="1" t="s">
        <v>226</v>
      </c>
    </row>
    <row r="23" spans="1:7" ht="36" customHeight="1" x14ac:dyDescent="0.2">
      <c r="B23" s="67"/>
      <c r="C23" s="67"/>
      <c r="D23" s="68"/>
      <c r="G23" s="1" t="s">
        <v>227</v>
      </c>
    </row>
    <row r="24" spans="1:7" ht="36" customHeight="1" x14ac:dyDescent="0.2">
      <c r="B24" s="67"/>
      <c r="C24" s="67"/>
      <c r="D24" s="68"/>
      <c r="G24" s="1" t="s">
        <v>228</v>
      </c>
    </row>
    <row r="26" spans="1:7" x14ac:dyDescent="0.2">
      <c r="B26" s="108"/>
      <c r="C26" s="108"/>
      <c r="D26" s="109"/>
      <c r="G26" s="1" t="s">
        <v>229</v>
      </c>
    </row>
    <row r="27" spans="1:7" x14ac:dyDescent="0.2">
      <c r="A27" s="1" t="s">
        <v>43</v>
      </c>
    </row>
    <row r="28" spans="1:7" x14ac:dyDescent="0.2">
      <c r="A28" s="63" t="s">
        <v>230</v>
      </c>
      <c r="B28" s="526" t="s">
        <v>42</v>
      </c>
      <c r="C28" s="526"/>
      <c r="D28" s="526"/>
      <c r="E28" s="526"/>
    </row>
    <row r="29" spans="1:7" x14ac:dyDescent="0.2">
      <c r="A29" s="64"/>
      <c r="B29" s="526"/>
      <c r="C29" s="526"/>
      <c r="D29" s="526"/>
      <c r="E29" s="526"/>
    </row>
    <row r="30" spans="1:7" x14ac:dyDescent="0.2">
      <c r="A30" s="63" t="s">
        <v>230</v>
      </c>
      <c r="B30" s="526" t="s">
        <v>44</v>
      </c>
      <c r="C30" s="526"/>
      <c r="D30" s="526"/>
      <c r="E30" s="526"/>
      <c r="G30" s="1" t="s">
        <v>231</v>
      </c>
    </row>
    <row r="31" spans="1:7" x14ac:dyDescent="0.2">
      <c r="A31" s="63"/>
      <c r="B31" s="526"/>
      <c r="C31" s="526"/>
      <c r="D31" s="526"/>
      <c r="E31" s="526"/>
      <c r="G31" s="1" t="s">
        <v>232</v>
      </c>
    </row>
    <row r="32" spans="1:7" x14ac:dyDescent="0.2">
      <c r="A32" s="63"/>
      <c r="B32" s="526"/>
      <c r="C32" s="526"/>
      <c r="D32" s="526"/>
      <c r="E32" s="526"/>
    </row>
    <row r="33" spans="1:5" x14ac:dyDescent="0.2">
      <c r="A33" s="64"/>
      <c r="B33" s="526"/>
      <c r="C33" s="526"/>
      <c r="D33" s="526"/>
      <c r="E33" s="526"/>
    </row>
  </sheetData>
  <sheetProtection algorithmName="SHA-512" hashValue="z6qWo62HVb8IQjoidYj6PcWB6EpLHP2EHvSauf69vnZsJOFGLXIRnBYpMbTEkc/jg8GCkTe+NT6d5ZyJhf8dVQ==" saltValue="f+e9JY+R3THtUBAkbUqg5w==" spinCount="100000" sheet="1" objects="1" scenarios="1"/>
  <mergeCells count="5">
    <mergeCell ref="B30:E33"/>
    <mergeCell ref="A5:E5"/>
    <mergeCell ref="D7:E7"/>
    <mergeCell ref="D8:E8"/>
    <mergeCell ref="B28:E29"/>
  </mergeCells>
  <phoneticPr fontId="1"/>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【様式第６号の２】事業報告書兼チェックシート</vt:lpstr>
      <vt:lpstr>実績報告書鑑（申請日、交付決定日及び番号要入力）</vt:lpstr>
      <vt:lpstr>要入力　交付決定状況入力シート</vt:lpstr>
      <vt:lpstr>台帳コピー</vt:lpstr>
      <vt:lpstr>【様式第６号の２】（別紙）補助金併用一覧</vt:lpstr>
      <vt:lpstr>'【様式第６号の２】（別紙）補助金併用一覧'!Print_Area</vt:lpstr>
      <vt:lpstr>【様式第６号の２】事業報告書兼チェックシート!Print_Area</vt:lpstr>
      <vt:lpstr>'実績報告書鑑（申請日、交付決定日及び番号要入力）'!Print_Area</vt:lpstr>
      <vt:lpstr>'要入力　交付決定状況入力シート'!Print_Area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鳥取県</cp:lastModifiedBy>
  <cp:lastPrinted>2020-07-27T11:08:49Z</cp:lastPrinted>
  <dcterms:created xsi:type="dcterms:W3CDTF">2017-01-19T07:37:02Z</dcterms:created>
  <dcterms:modified xsi:type="dcterms:W3CDTF">2024-02-14T06:10:57Z</dcterms:modified>
</cp:coreProperties>
</file>